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6400" windowHeight="10980" activeTab="1"/>
  </bookViews>
  <sheets>
    <sheet name="8 ENERO 2023" sheetId="1" r:id="rId1"/>
    <sheet name="29-ENERO-2023" sheetId="3" r:id="rId2"/>
    <sheet name="Hoja2" sheetId="2" r:id="rId3"/>
    <sheet name="Hoja4" sheetId="4" r:id="rId4"/>
  </sheets>
  <definedNames>
    <definedName name="_xlnm._FilterDatabase" localSheetId="0" hidden="1">'8 ENERO 2023'!$A$4:$H$481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1" i="3" l="1"/>
  <c r="H58" i="3"/>
  <c r="H6" i="3"/>
  <c r="E239" i="3"/>
  <c r="E246" i="3"/>
  <c r="E249" i="3"/>
  <c r="E250" i="3"/>
  <c r="E255" i="3"/>
  <c r="E251" i="3"/>
  <c r="E253" i="3"/>
  <c r="E252" i="3"/>
  <c r="E273" i="3"/>
  <c r="E191" i="3"/>
  <c r="E115" i="3"/>
  <c r="E19" i="3"/>
  <c r="E22" i="3"/>
  <c r="E313" i="3"/>
  <c r="E214" i="3"/>
  <c r="E288" i="3"/>
  <c r="E412" i="3"/>
  <c r="E258" i="3"/>
  <c r="E267" i="3"/>
  <c r="E240" i="3"/>
  <c r="E280" i="3"/>
  <c r="E279" i="3"/>
  <c r="E9" i="3"/>
  <c r="E276" i="3"/>
  <c r="E330" i="3"/>
  <c r="E192" i="3"/>
  <c r="E211" i="3"/>
  <c r="E210" i="3"/>
  <c r="E241" i="3"/>
  <c r="E368" i="3"/>
  <c r="E308" i="3"/>
  <c r="E400" i="3"/>
  <c r="E293" i="3"/>
  <c r="E289" i="3"/>
  <c r="E235" i="3"/>
  <c r="E213" i="3"/>
  <c r="E290" i="3"/>
  <c r="E312" i="3"/>
  <c r="E219" i="3"/>
  <c r="E300" i="3"/>
  <c r="E263" i="3"/>
  <c r="E434" i="3"/>
  <c r="E432" i="3"/>
  <c r="E103" i="3"/>
  <c r="E435" i="3"/>
  <c r="E346" i="3"/>
  <c r="E344" i="3"/>
  <c r="E491" i="3"/>
  <c r="E234" i="3"/>
  <c r="E295" i="3"/>
  <c r="E297" i="3"/>
  <c r="E233" i="3"/>
  <c r="E296" i="3"/>
  <c r="E269" i="3"/>
  <c r="E226" i="3"/>
  <c r="E285" i="3"/>
  <c r="E232" i="3"/>
  <c r="E452" i="3" l="1"/>
  <c r="E457" i="3"/>
  <c r="E80" i="3"/>
  <c r="E79" i="3"/>
  <c r="E78" i="3"/>
  <c r="E59" i="3"/>
  <c r="E173" i="3"/>
  <c r="E67" i="3"/>
  <c r="E176" i="3"/>
  <c r="E203" i="3"/>
  <c r="E195" i="3"/>
  <c r="E202" i="3"/>
  <c r="E454" i="3"/>
  <c r="E64" i="3"/>
  <c r="E205" i="3"/>
  <c r="E187" i="3"/>
  <c r="E188" i="3"/>
  <c r="E6" i="3"/>
  <c r="E181" i="3"/>
  <c r="E35" i="3"/>
  <c r="E469" i="3"/>
  <c r="E41" i="3"/>
  <c r="E44" i="3"/>
  <c r="E12" i="3"/>
  <c r="E182" i="3"/>
  <c r="E291" i="3"/>
  <c r="E224" i="3"/>
  <c r="E207" i="3"/>
  <c r="E223" i="3"/>
  <c r="E218" i="3"/>
  <c r="E278" i="3"/>
  <c r="E212" i="3"/>
  <c r="E282" i="3"/>
  <c r="E281" i="3"/>
  <c r="E380" i="3"/>
  <c r="H491" i="3"/>
  <c r="H492" i="3"/>
  <c r="H493" i="3"/>
  <c r="H494" i="3"/>
  <c r="H495" i="3"/>
  <c r="H496" i="3"/>
  <c r="H497" i="3"/>
  <c r="H498" i="3"/>
  <c r="E407" i="3"/>
  <c r="E406" i="3"/>
  <c r="E337" i="3"/>
  <c r="E336" i="3"/>
  <c r="E338" i="3"/>
  <c r="E389" i="3"/>
  <c r="E374" i="3"/>
  <c r="E382" i="3"/>
  <c r="E381" i="3"/>
  <c r="E277" i="3"/>
  <c r="E225" i="3"/>
  <c r="E396" i="3"/>
  <c r="E373" i="3"/>
  <c r="E215" i="3"/>
  <c r="E372" i="3"/>
  <c r="E208" i="3"/>
  <c r="E399" i="3"/>
  <c r="E299" i="3"/>
  <c r="E401" i="3"/>
  <c r="E490" i="3"/>
  <c r="E428" i="3"/>
  <c r="E311" i="3"/>
  <c r="E424" i="3"/>
  <c r="E443" i="3"/>
  <c r="E402" i="3"/>
  <c r="E445" i="3"/>
  <c r="E489" i="3"/>
  <c r="H489" i="3" s="1"/>
  <c r="E284" i="3"/>
  <c r="E488" i="3"/>
  <c r="E487" i="3"/>
  <c r="H487" i="3" s="1"/>
  <c r="H488" i="3"/>
  <c r="H490" i="3"/>
  <c r="E486" i="3"/>
  <c r="E425" i="3"/>
  <c r="E221" i="3"/>
  <c r="E394" i="3"/>
  <c r="E444" i="3"/>
  <c r="E411" i="3"/>
  <c r="E449" i="3"/>
  <c r="E363" i="3"/>
  <c r="E376" i="3"/>
  <c r="E421" i="3"/>
  <c r="E415" i="3"/>
  <c r="E238" i="3"/>
  <c r="E414" i="3"/>
  <c r="E323" i="3"/>
  <c r="E302" i="3"/>
  <c r="E417" i="3"/>
  <c r="E418" i="3"/>
  <c r="E427" i="3"/>
  <c r="E441" i="3"/>
  <c r="E272" i="3"/>
  <c r="E77" i="3"/>
  <c r="E8" i="3"/>
  <c r="E423" i="3"/>
  <c r="E451" i="3"/>
  <c r="E386" i="3"/>
  <c r="E328" i="3"/>
  <c r="E395" i="3"/>
  <c r="E388" i="3"/>
  <c r="E448" i="3"/>
  <c r="E447" i="3"/>
  <c r="E416" i="3"/>
  <c r="E332" i="3"/>
  <c r="E286" i="3"/>
  <c r="E244" i="3"/>
  <c r="E485" i="3"/>
  <c r="E318" i="3"/>
  <c r="E329" i="3"/>
  <c r="E322" i="3"/>
  <c r="E231" i="3"/>
  <c r="H484" i="3"/>
  <c r="H485" i="3"/>
  <c r="H486" i="3"/>
  <c r="E484" i="3"/>
  <c r="E237" i="3"/>
  <c r="E315" i="3"/>
  <c r="E442" i="3"/>
  <c r="E446" i="3"/>
  <c r="E309" i="3"/>
  <c r="E426" i="3"/>
  <c r="E461" i="3"/>
  <c r="E157" i="3"/>
  <c r="E149" i="3"/>
  <c r="E58" i="3"/>
  <c r="E36" i="3"/>
  <c r="E47" i="3"/>
  <c r="E460" i="3"/>
  <c r="E45" i="3"/>
  <c r="E33" i="3"/>
  <c r="E49" i="3"/>
  <c r="E48" i="3"/>
  <c r="E204" i="3"/>
  <c r="E65" i="3"/>
  <c r="E62" i="3"/>
  <c r="E24" i="3"/>
  <c r="E197" i="3"/>
  <c r="E199" i="3"/>
  <c r="E101" i="3"/>
  <c r="E468" i="3"/>
  <c r="E198" i="3"/>
  <c r="H481" i="3"/>
  <c r="H482" i="3"/>
  <c r="H483" i="3"/>
  <c r="H499" i="3"/>
  <c r="E88" i="3"/>
  <c r="E134" i="3"/>
  <c r="E143" i="3"/>
  <c r="E459" i="3"/>
  <c r="E91" i="3"/>
  <c r="E23" i="3"/>
  <c r="E21" i="3"/>
  <c r="E121" i="3"/>
  <c r="E124" i="3"/>
  <c r="E54" i="3"/>
  <c r="E118" i="3"/>
  <c r="E30" i="3"/>
  <c r="E27" i="3"/>
  <c r="E28" i="3"/>
  <c r="E31" i="3"/>
  <c r="E477" i="3"/>
  <c r="E114" i="3"/>
  <c r="E18" i="3"/>
  <c r="E116" i="3"/>
  <c r="E106" i="3"/>
  <c r="E111" i="3"/>
  <c r="E474" i="3"/>
  <c r="E112" i="3"/>
  <c r="E169" i="3"/>
  <c r="E159" i="3"/>
  <c r="E160" i="3"/>
  <c r="E162" i="3"/>
  <c r="E147" i="3"/>
  <c r="E170" i="3"/>
  <c r="E13" i="3"/>
  <c r="E34" i="3"/>
  <c r="E7" i="3"/>
  <c r="E100" i="3"/>
  <c r="E97" i="3"/>
  <c r="E190" i="3"/>
  <c r="E364" i="3" l="1"/>
  <c r="E327" i="3"/>
  <c r="E331" i="3"/>
  <c r="E387" i="3"/>
  <c r="E17" i="3"/>
  <c r="G504" i="3" l="1"/>
  <c r="F501" i="3"/>
  <c r="H500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F411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501" i="3" s="1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G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5" i="3"/>
  <c r="H487" i="4" l="1"/>
  <c r="G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F469" i="4"/>
  <c r="I469" i="4" s="1"/>
  <c r="I468" i="4"/>
  <c r="I467" i="4"/>
  <c r="I466" i="4"/>
  <c r="I465" i="4"/>
  <c r="I464" i="4"/>
  <c r="I463" i="4"/>
  <c r="I462" i="4"/>
  <c r="I461" i="4"/>
  <c r="F461" i="4"/>
  <c r="F460" i="4"/>
  <c r="I460" i="4" s="1"/>
  <c r="I459" i="4"/>
  <c r="F459" i="4"/>
  <c r="I458" i="4"/>
  <c r="I457" i="4"/>
  <c r="I456" i="4"/>
  <c r="F455" i="4"/>
  <c r="I455" i="4" s="1"/>
  <c r="F454" i="4"/>
  <c r="I454" i="4" s="1"/>
  <c r="F453" i="4"/>
  <c r="I453" i="4" s="1"/>
  <c r="I452" i="4"/>
  <c r="I451" i="4"/>
  <c r="F451" i="4"/>
  <c r="F450" i="4"/>
  <c r="I450" i="4" s="1"/>
  <c r="I449" i="4"/>
  <c r="F449" i="4"/>
  <c r="F448" i="4"/>
  <c r="I448" i="4" s="1"/>
  <c r="I447" i="4"/>
  <c r="F447" i="4"/>
  <c r="F446" i="4"/>
  <c r="I446" i="4" s="1"/>
  <c r="I445" i="4"/>
  <c r="F445" i="4"/>
  <c r="F444" i="4"/>
  <c r="I444" i="4" s="1"/>
  <c r="I443" i="4"/>
  <c r="F443" i="4"/>
  <c r="F442" i="4"/>
  <c r="I442" i="4" s="1"/>
  <c r="I441" i="4"/>
  <c r="F441" i="4"/>
  <c r="I440" i="4"/>
  <c r="I439" i="4"/>
  <c r="I438" i="4"/>
  <c r="I437" i="4"/>
  <c r="F436" i="4"/>
  <c r="I436" i="4" s="1"/>
  <c r="I435" i="4"/>
  <c r="I434" i="4"/>
  <c r="F433" i="4"/>
  <c r="I433" i="4" s="1"/>
  <c r="I432" i="4"/>
  <c r="F431" i="4"/>
  <c r="I431" i="4" s="1"/>
  <c r="F430" i="4"/>
  <c r="I430" i="4" s="1"/>
  <c r="F429" i="4"/>
  <c r="I429" i="4" s="1"/>
  <c r="F428" i="4"/>
  <c r="I428" i="4" s="1"/>
  <c r="F427" i="4"/>
  <c r="I427" i="4" s="1"/>
  <c r="F426" i="4"/>
  <c r="I426" i="4" s="1"/>
  <c r="F425" i="4"/>
  <c r="I425" i="4" s="1"/>
  <c r="F424" i="4"/>
  <c r="I424" i="4" s="1"/>
  <c r="F423" i="4"/>
  <c r="I423" i="4" s="1"/>
  <c r="F422" i="4"/>
  <c r="I422" i="4" s="1"/>
  <c r="F421" i="4"/>
  <c r="I421" i="4" s="1"/>
  <c r="F420" i="4"/>
  <c r="I420" i="4" s="1"/>
  <c r="F419" i="4"/>
  <c r="I419" i="4" s="1"/>
  <c r="F418" i="4"/>
  <c r="I418" i="4" s="1"/>
  <c r="F417" i="4"/>
  <c r="I417" i="4" s="1"/>
  <c r="F416" i="4"/>
  <c r="I416" i="4" s="1"/>
  <c r="F415" i="4"/>
  <c r="I415" i="4" s="1"/>
  <c r="F414" i="4"/>
  <c r="I414" i="4" s="1"/>
  <c r="F413" i="4"/>
  <c r="I413" i="4" s="1"/>
  <c r="I412" i="4"/>
  <c r="G412" i="4"/>
  <c r="F412" i="4"/>
  <c r="I411" i="4"/>
  <c r="I410" i="4"/>
  <c r="I409" i="4"/>
  <c r="I408" i="4"/>
  <c r="F407" i="4"/>
  <c r="I407" i="4" s="1"/>
  <c r="I406" i="4"/>
  <c r="I405" i="4"/>
  <c r="I404" i="4"/>
  <c r="I403" i="4"/>
  <c r="I402" i="4"/>
  <c r="F402" i="4"/>
  <c r="F401" i="4"/>
  <c r="I401" i="4" s="1"/>
  <c r="I400" i="4"/>
  <c r="F400" i="4"/>
  <c r="I399" i="4"/>
  <c r="I398" i="4"/>
  <c r="I397" i="4"/>
  <c r="F397" i="4"/>
  <c r="F396" i="4"/>
  <c r="I396" i="4" s="1"/>
  <c r="I395" i="4"/>
  <c r="F395" i="4"/>
  <c r="F394" i="4"/>
  <c r="I394" i="4" s="1"/>
  <c r="I393" i="4"/>
  <c r="I392" i="4"/>
  <c r="F391" i="4"/>
  <c r="I391" i="4" s="1"/>
  <c r="I390" i="4"/>
  <c r="F390" i="4"/>
  <c r="F389" i="4"/>
  <c r="I389" i="4" s="1"/>
  <c r="I388" i="4"/>
  <c r="F387" i="4"/>
  <c r="I387" i="4" s="1"/>
  <c r="F386" i="4"/>
  <c r="I386" i="4" s="1"/>
  <c r="F385" i="4"/>
  <c r="I385" i="4" s="1"/>
  <c r="F384" i="4"/>
  <c r="I384" i="4" s="1"/>
  <c r="I383" i="4"/>
  <c r="F382" i="4"/>
  <c r="I382" i="4" s="1"/>
  <c r="I381" i="4"/>
  <c r="F381" i="4"/>
  <c r="I380" i="4"/>
  <c r="I379" i="4"/>
  <c r="I378" i="4"/>
  <c r="F377" i="4"/>
  <c r="I377" i="4" s="1"/>
  <c r="I376" i="4"/>
  <c r="I375" i="4"/>
  <c r="F375" i="4"/>
  <c r="F374" i="4"/>
  <c r="I374" i="4" s="1"/>
  <c r="I373" i="4"/>
  <c r="F373" i="4"/>
  <c r="I372" i="4"/>
  <c r="F371" i="4"/>
  <c r="I371" i="4" s="1"/>
  <c r="I370" i="4"/>
  <c r="F369" i="4"/>
  <c r="I369" i="4" s="1"/>
  <c r="I368" i="4"/>
  <c r="I367" i="4"/>
  <c r="I366" i="4"/>
  <c r="I365" i="4"/>
  <c r="I364" i="4"/>
  <c r="F364" i="4"/>
  <c r="F363" i="4"/>
  <c r="I363" i="4" s="1"/>
  <c r="I362" i="4"/>
  <c r="I361" i="4"/>
  <c r="I360" i="4"/>
  <c r="I359" i="4"/>
  <c r="I358" i="4"/>
  <c r="F358" i="4"/>
  <c r="I357" i="4"/>
  <c r="I356" i="4"/>
  <c r="I355" i="4"/>
  <c r="I354" i="4"/>
  <c r="I353" i="4"/>
  <c r="I352" i="4"/>
  <c r="I351" i="4"/>
  <c r="I350" i="4"/>
  <c r="F349" i="4"/>
  <c r="I349" i="4" s="1"/>
  <c r="I348" i="4"/>
  <c r="I347" i="4"/>
  <c r="F347" i="4"/>
  <c r="I346" i="4"/>
  <c r="I345" i="4"/>
  <c r="I344" i="4"/>
  <c r="I343" i="4"/>
  <c r="I342" i="4"/>
  <c r="I341" i="4"/>
  <c r="I340" i="4"/>
  <c r="F339" i="4"/>
  <c r="I339" i="4" s="1"/>
  <c r="I338" i="4"/>
  <c r="F338" i="4"/>
  <c r="F337" i="4"/>
  <c r="I337" i="4" s="1"/>
  <c r="I336" i="4"/>
  <c r="I335" i="4"/>
  <c r="I334" i="4"/>
  <c r="I333" i="4"/>
  <c r="I332" i="4"/>
  <c r="F332" i="4"/>
  <c r="I331" i="4"/>
  <c r="I330" i="4"/>
  <c r="I329" i="4"/>
  <c r="I328" i="4"/>
  <c r="I327" i="4"/>
  <c r="I326" i="4"/>
  <c r="I325" i="4"/>
  <c r="I324" i="4"/>
  <c r="F324" i="4"/>
  <c r="F323" i="4"/>
  <c r="I323" i="4" s="1"/>
  <c r="I322" i="4"/>
  <c r="F321" i="4"/>
  <c r="I321" i="4" s="1"/>
  <c r="I320" i="4"/>
  <c r="F320" i="4"/>
  <c r="I319" i="4"/>
  <c r="F319" i="4"/>
  <c r="I318" i="4"/>
  <c r="F318" i="4"/>
  <c r="I317" i="4"/>
  <c r="F316" i="4"/>
  <c r="I316" i="4" s="1"/>
  <c r="I315" i="4"/>
  <c r="I314" i="4"/>
  <c r="F314" i="4"/>
  <c r="I313" i="4"/>
  <c r="F312" i="4"/>
  <c r="I312" i="4" s="1"/>
  <c r="F311" i="4"/>
  <c r="I311" i="4" s="1"/>
  <c r="F310" i="4"/>
  <c r="I310" i="4" s="1"/>
  <c r="F309" i="4"/>
  <c r="I309" i="4" s="1"/>
  <c r="I308" i="4"/>
  <c r="I307" i="4"/>
  <c r="F306" i="4"/>
  <c r="I306" i="4" s="1"/>
  <c r="F305" i="4"/>
  <c r="I305" i="4" s="1"/>
  <c r="F304" i="4"/>
  <c r="I304" i="4" s="1"/>
  <c r="F303" i="4"/>
  <c r="I303" i="4" s="1"/>
  <c r="I302" i="4"/>
  <c r="I301" i="4"/>
  <c r="F301" i="4"/>
  <c r="I300" i="4"/>
  <c r="F300" i="4"/>
  <c r="I299" i="4"/>
  <c r="I298" i="4"/>
  <c r="I297" i="4"/>
  <c r="F297" i="4"/>
  <c r="I296" i="4"/>
  <c r="I295" i="4"/>
  <c r="I294" i="4"/>
  <c r="F294" i="4"/>
  <c r="I293" i="4"/>
  <c r="F292" i="4"/>
  <c r="I292" i="4" s="1"/>
  <c r="I291" i="4"/>
  <c r="I290" i="4"/>
  <c r="F290" i="4"/>
  <c r="I289" i="4"/>
  <c r="F288" i="4"/>
  <c r="I288" i="4" s="1"/>
  <c r="F287" i="4"/>
  <c r="I287" i="4" s="1"/>
  <c r="F286" i="4"/>
  <c r="I286" i="4" s="1"/>
  <c r="F285" i="4"/>
  <c r="I285" i="4" s="1"/>
  <c r="I284" i="4"/>
  <c r="I283" i="4"/>
  <c r="F282" i="4"/>
  <c r="I282" i="4" s="1"/>
  <c r="I281" i="4"/>
  <c r="I280" i="4"/>
  <c r="F280" i="4"/>
  <c r="I279" i="4"/>
  <c r="F278" i="4"/>
  <c r="I278" i="4" s="1"/>
  <c r="F277" i="4"/>
  <c r="I277" i="4" s="1"/>
  <c r="I276" i="4"/>
  <c r="I275" i="4"/>
  <c r="I274" i="4"/>
  <c r="I273" i="4"/>
  <c r="I272" i="4"/>
  <c r="I271" i="4"/>
  <c r="F270" i="4"/>
  <c r="I270" i="4" s="1"/>
  <c r="I269" i="4"/>
  <c r="I268" i="4"/>
  <c r="F268" i="4"/>
  <c r="I267" i="4"/>
  <c r="I266" i="4"/>
  <c r="I265" i="4"/>
  <c r="F265" i="4"/>
  <c r="F264" i="4"/>
  <c r="I264" i="4" s="1"/>
  <c r="I263" i="4"/>
  <c r="F263" i="4"/>
  <c r="I262" i="4"/>
  <c r="I261" i="4"/>
  <c r="I260" i="4"/>
  <c r="F259" i="4"/>
  <c r="I259" i="4" s="1"/>
  <c r="I258" i="4"/>
  <c r="I257" i="4"/>
  <c r="F256" i="4"/>
  <c r="I256" i="4" s="1"/>
  <c r="F255" i="4"/>
  <c r="I255" i="4" s="1"/>
  <c r="I254" i="4"/>
  <c r="F253" i="4"/>
  <c r="I253" i="4" s="1"/>
  <c r="I252" i="4"/>
  <c r="F252" i="4"/>
  <c r="F251" i="4"/>
  <c r="I251" i="4" s="1"/>
  <c r="I250" i="4"/>
  <c r="F250" i="4"/>
  <c r="I249" i="4"/>
  <c r="I248" i="4"/>
  <c r="I247" i="4"/>
  <c r="I246" i="4"/>
  <c r="I245" i="4"/>
  <c r="I244" i="4"/>
  <c r="I243" i="4"/>
  <c r="F243" i="4"/>
  <c r="I242" i="4"/>
  <c r="F241" i="4"/>
  <c r="I241" i="4" s="1"/>
  <c r="I240" i="4"/>
  <c r="F240" i="4"/>
  <c r="I239" i="4"/>
  <c r="I238" i="4"/>
  <c r="F238" i="4"/>
  <c r="I237" i="4"/>
  <c r="F236" i="4"/>
  <c r="I236" i="4" s="1"/>
  <c r="I235" i="4"/>
  <c r="F235" i="4"/>
  <c r="F234" i="4"/>
  <c r="I234" i="4" s="1"/>
  <c r="I233" i="4"/>
  <c r="I232" i="4"/>
  <c r="F231" i="4"/>
  <c r="I231" i="4" s="1"/>
  <c r="I230" i="4"/>
  <c r="I229" i="4"/>
  <c r="I228" i="4"/>
  <c r="I227" i="4"/>
  <c r="I226" i="4"/>
  <c r="F226" i="4"/>
  <c r="F225" i="4"/>
  <c r="I225" i="4" s="1"/>
  <c r="I224" i="4"/>
  <c r="F224" i="4"/>
  <c r="F223" i="4"/>
  <c r="I223" i="4" s="1"/>
  <c r="I222" i="4"/>
  <c r="F222" i="4"/>
  <c r="I221" i="4"/>
  <c r="I220" i="4"/>
  <c r="F220" i="4"/>
  <c r="F219" i="4"/>
  <c r="I219" i="4" s="1"/>
  <c r="I217" i="4"/>
  <c r="I216" i="4"/>
  <c r="F216" i="4"/>
  <c r="I215" i="4"/>
  <c r="I214" i="4"/>
  <c r="F214" i="4"/>
  <c r="F213" i="4"/>
  <c r="I213" i="4" s="1"/>
  <c r="I212" i="4"/>
  <c r="F212" i="4"/>
  <c r="F211" i="4"/>
  <c r="I211" i="4" s="1"/>
  <c r="I210" i="4"/>
  <c r="I209" i="4"/>
  <c r="F209" i="4"/>
  <c r="I208" i="4"/>
  <c r="F208" i="4"/>
  <c r="I207" i="4"/>
  <c r="I206" i="4"/>
  <c r="I205" i="4"/>
  <c r="F205" i="4"/>
  <c r="I204" i="4"/>
  <c r="F204" i="4"/>
  <c r="F203" i="4"/>
  <c r="I203" i="4" s="1"/>
  <c r="I202" i="4"/>
  <c r="F202" i="4"/>
  <c r="F201" i="4"/>
  <c r="I201" i="4" s="1"/>
  <c r="I200" i="4"/>
  <c r="F200" i="4"/>
  <c r="F199" i="4"/>
  <c r="I199" i="4" s="1"/>
  <c r="I198" i="4"/>
  <c r="F198" i="4"/>
  <c r="I197" i="4"/>
  <c r="I196" i="4"/>
  <c r="F196" i="4"/>
  <c r="I195" i="4"/>
  <c r="I194" i="4"/>
  <c r="I193" i="4"/>
  <c r="I192" i="4"/>
  <c r="F192" i="4"/>
  <c r="F191" i="4"/>
  <c r="I191" i="4" s="1"/>
  <c r="I190" i="4"/>
  <c r="F189" i="4"/>
  <c r="I189" i="4" s="1"/>
  <c r="I188" i="4"/>
  <c r="F188" i="4"/>
  <c r="I187" i="4"/>
  <c r="I186" i="4"/>
  <c r="I185" i="4"/>
  <c r="F185" i="4"/>
  <c r="I184" i="4"/>
  <c r="I183" i="4"/>
  <c r="I182" i="4"/>
  <c r="F182" i="4"/>
  <c r="I181" i="4"/>
  <c r="I180" i="4"/>
  <c r="I179" i="4"/>
  <c r="I178" i="4"/>
  <c r="F177" i="4"/>
  <c r="I177" i="4" s="1"/>
  <c r="I176" i="4"/>
  <c r="F176" i="4"/>
  <c r="I175" i="4"/>
  <c r="I174" i="4"/>
  <c r="I173" i="4"/>
  <c r="I172" i="4"/>
  <c r="F172" i="4"/>
  <c r="F171" i="4"/>
  <c r="I171" i="4" s="1"/>
  <c r="I170" i="4"/>
  <c r="F170" i="4"/>
  <c r="I169" i="4"/>
  <c r="I168" i="4"/>
  <c r="I167" i="4"/>
  <c r="I166" i="4"/>
  <c r="I165" i="4"/>
  <c r="I164" i="4"/>
  <c r="I163" i="4"/>
  <c r="I162" i="4"/>
  <c r="F161" i="4"/>
  <c r="I161" i="4" s="1"/>
  <c r="I160" i="4"/>
  <c r="I159" i="4"/>
  <c r="I158" i="4"/>
  <c r="I157" i="4"/>
  <c r="I156" i="4"/>
  <c r="F156" i="4"/>
  <c r="I155" i="4"/>
  <c r="I154" i="4"/>
  <c r="I153" i="4"/>
  <c r="I152" i="4"/>
  <c r="F151" i="4"/>
  <c r="I151" i="4" s="1"/>
  <c r="I150" i="4"/>
  <c r="I149" i="4"/>
  <c r="F148" i="4"/>
  <c r="I148" i="4" s="1"/>
  <c r="I147" i="4"/>
  <c r="I146" i="4"/>
  <c r="I145" i="4"/>
  <c r="I144" i="4"/>
  <c r="F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F130" i="4"/>
  <c r="I130" i="4" s="1"/>
  <c r="I129" i="4"/>
  <c r="F129" i="4"/>
  <c r="I128" i="4"/>
  <c r="I127" i="4"/>
  <c r="I126" i="4"/>
  <c r="F125" i="4"/>
  <c r="I125" i="4" s="1"/>
  <c r="I124" i="4"/>
  <c r="F124" i="4"/>
  <c r="F123" i="4"/>
  <c r="I123" i="4" s="1"/>
  <c r="I122" i="4"/>
  <c r="F122" i="4"/>
  <c r="I121" i="4"/>
  <c r="I120" i="4"/>
  <c r="I119" i="4"/>
  <c r="F119" i="4"/>
  <c r="F118" i="4"/>
  <c r="I118" i="4" s="1"/>
  <c r="I117" i="4"/>
  <c r="F117" i="4"/>
  <c r="F116" i="4"/>
  <c r="I116" i="4" s="1"/>
  <c r="I115" i="4"/>
  <c r="F115" i="4"/>
  <c r="F114" i="4"/>
  <c r="I114" i="4" s="1"/>
  <c r="I113" i="4"/>
  <c r="I112" i="4"/>
  <c r="I111" i="4"/>
  <c r="I110" i="4"/>
  <c r="I109" i="4"/>
  <c r="I108" i="4"/>
  <c r="I107" i="4"/>
  <c r="I106" i="4"/>
  <c r="I105" i="4"/>
  <c r="I104" i="4"/>
  <c r="F104" i="4"/>
  <c r="F103" i="4"/>
  <c r="I103" i="4" s="1"/>
  <c r="I102" i="4"/>
  <c r="F102" i="4"/>
  <c r="I101" i="4"/>
  <c r="F101" i="4"/>
  <c r="I100" i="4"/>
  <c r="I99" i="4"/>
  <c r="F98" i="4"/>
  <c r="I98" i="4" s="1"/>
  <c r="I97" i="4"/>
  <c r="F97" i="4"/>
  <c r="I96" i="4"/>
  <c r="I95" i="4"/>
  <c r="I94" i="4"/>
  <c r="I93" i="4"/>
  <c r="I92" i="4"/>
  <c r="I91" i="4"/>
  <c r="I90" i="4"/>
  <c r="I89" i="4"/>
  <c r="I88" i="4"/>
  <c r="I87" i="4"/>
  <c r="I86" i="4"/>
  <c r="F86" i="4"/>
  <c r="I85" i="4"/>
  <c r="I84" i="4"/>
  <c r="I83" i="4"/>
  <c r="I82" i="4"/>
  <c r="F81" i="4"/>
  <c r="I81" i="4" s="1"/>
  <c r="I80" i="4"/>
  <c r="F80" i="4"/>
  <c r="F79" i="4"/>
  <c r="I79" i="4" s="1"/>
  <c r="I78" i="4"/>
  <c r="F78" i="4"/>
  <c r="F77" i="4"/>
  <c r="I77" i="4" s="1"/>
  <c r="I76" i="4"/>
  <c r="F76" i="4"/>
  <c r="F75" i="4"/>
  <c r="I75" i="4" s="1"/>
  <c r="I74" i="4"/>
  <c r="I73" i="4"/>
  <c r="I72" i="4"/>
  <c r="I71" i="4"/>
  <c r="I70" i="4"/>
  <c r="F69" i="4"/>
  <c r="I69" i="4" s="1"/>
  <c r="I68" i="4"/>
  <c r="F68" i="4"/>
  <c r="F67" i="4"/>
  <c r="I67" i="4" s="1"/>
  <c r="I66" i="4"/>
  <c r="I65" i="4"/>
  <c r="F65" i="4"/>
  <c r="I64" i="4"/>
  <c r="I63" i="4"/>
  <c r="F63" i="4"/>
  <c r="I62" i="4"/>
  <c r="I61" i="4"/>
  <c r="I60" i="4"/>
  <c r="F60" i="4"/>
  <c r="F59" i="4"/>
  <c r="I59" i="4" s="1"/>
  <c r="I58" i="4"/>
  <c r="I57" i="4"/>
  <c r="I56" i="4"/>
  <c r="F55" i="4"/>
  <c r="I55" i="4" s="1"/>
  <c r="I54" i="4"/>
  <c r="I53" i="4"/>
  <c r="I52" i="4"/>
  <c r="I51" i="4"/>
  <c r="I50" i="4"/>
  <c r="F50" i="4"/>
  <c r="F49" i="4"/>
  <c r="I49" i="4" s="1"/>
  <c r="I48" i="4"/>
  <c r="F48" i="4"/>
  <c r="F47" i="4"/>
  <c r="I47" i="4" s="1"/>
  <c r="I46" i="4"/>
  <c r="F46" i="4"/>
  <c r="I45" i="4"/>
  <c r="I44" i="4"/>
  <c r="I43" i="4"/>
  <c r="F42" i="4"/>
  <c r="I42" i="4" s="1"/>
  <c r="I41" i="4"/>
  <c r="I40" i="4"/>
  <c r="F40" i="4"/>
  <c r="I39" i="4"/>
  <c r="I38" i="4"/>
  <c r="I37" i="4"/>
  <c r="F37" i="4"/>
  <c r="F36" i="4"/>
  <c r="I36" i="4" s="1"/>
  <c r="I35" i="4"/>
  <c r="F35" i="4"/>
  <c r="F34" i="4"/>
  <c r="I34" i="4" s="1"/>
  <c r="I33" i="4"/>
  <c r="I32" i="4"/>
  <c r="I31" i="4"/>
  <c r="I30" i="4"/>
  <c r="I29" i="4"/>
  <c r="F28" i="4"/>
  <c r="I28" i="4" s="1"/>
  <c r="I27" i="4"/>
  <c r="H27" i="4"/>
  <c r="F27" i="4"/>
  <c r="F26" i="4"/>
  <c r="I26" i="4" s="1"/>
  <c r="I25" i="4"/>
  <c r="I24" i="4"/>
  <c r="F23" i="4"/>
  <c r="I23" i="4" s="1"/>
  <c r="F22" i="4"/>
  <c r="I22" i="4" s="1"/>
  <c r="F21" i="4"/>
  <c r="I21" i="4" s="1"/>
  <c r="F20" i="4"/>
  <c r="I20" i="4" s="1"/>
  <c r="F19" i="4"/>
  <c r="I19" i="4" s="1"/>
  <c r="F18" i="4"/>
  <c r="I18" i="4" s="1"/>
  <c r="I17" i="4"/>
  <c r="I16" i="4"/>
  <c r="F16" i="4"/>
  <c r="I15" i="4"/>
  <c r="F14" i="4"/>
  <c r="I14" i="4" s="1"/>
  <c r="F13" i="4"/>
  <c r="I13" i="4" s="1"/>
  <c r="I12" i="4"/>
  <c r="I11" i="4"/>
  <c r="F10" i="4"/>
  <c r="I10" i="4" s="1"/>
  <c r="F9" i="4"/>
  <c r="I9" i="4" s="1"/>
  <c r="F8" i="4"/>
  <c r="I8" i="4" s="1"/>
  <c r="I7" i="4"/>
  <c r="I6" i="4"/>
  <c r="I484" i="4" l="1"/>
  <c r="F484" i="4"/>
  <c r="E483" i="1"/>
  <c r="H483" i="1"/>
  <c r="H256" i="1" l="1"/>
  <c r="H257" i="1"/>
  <c r="H258" i="1"/>
  <c r="H259" i="1"/>
  <c r="H260" i="1"/>
  <c r="H261" i="1"/>
  <c r="H262" i="1"/>
  <c r="H263" i="1"/>
  <c r="H264" i="1"/>
  <c r="H265" i="1"/>
  <c r="E18" i="1" l="1"/>
  <c r="E121" i="1"/>
  <c r="E143" i="1"/>
  <c r="E15" i="1"/>
  <c r="E36" i="1"/>
  <c r="E446" i="1"/>
  <c r="E17" i="1"/>
  <c r="E459" i="1"/>
  <c r="E114" i="1"/>
  <c r="E115" i="1"/>
  <c r="E22" i="1"/>
  <c r="E123" i="1"/>
  <c r="E124" i="1"/>
  <c r="E113" i="1"/>
  <c r="E58" i="1"/>
  <c r="E67" i="1"/>
  <c r="E68" i="1"/>
  <c r="E175" i="1"/>
  <c r="E176" i="1"/>
  <c r="G26" i="1"/>
  <c r="E26" i="1"/>
  <c r="E27" i="1"/>
  <c r="E21" i="1"/>
  <c r="E117" i="1"/>
  <c r="E100" i="1"/>
  <c r="E76" i="1"/>
  <c r="E191" i="1"/>
  <c r="E102" i="1"/>
  <c r="E190" i="1"/>
  <c r="E97" i="1"/>
  <c r="E336" i="1"/>
  <c r="E337" i="1"/>
  <c r="E101" i="1"/>
  <c r="E85" i="1"/>
  <c r="E468" i="1"/>
  <c r="E171" i="1"/>
  <c r="E458" i="1"/>
  <c r="E78" i="1"/>
  <c r="E79" i="1"/>
  <c r="E80" i="1"/>
  <c r="E203" i="1"/>
  <c r="E170" i="1"/>
  <c r="E169" i="1"/>
  <c r="E59" i="1"/>
  <c r="E62" i="1"/>
  <c r="E147" i="1"/>
  <c r="E66" i="1"/>
  <c r="E454" i="1"/>
  <c r="E204" i="1"/>
  <c r="E411" i="1"/>
  <c r="E41" i="1"/>
  <c r="E187" i="1"/>
  <c r="E188" i="1"/>
  <c r="E96" i="1"/>
  <c r="E48" i="1"/>
  <c r="E45" i="1"/>
  <c r="E46" i="1"/>
  <c r="E460" i="1"/>
  <c r="E47" i="1"/>
  <c r="E181" i="1"/>
  <c r="E8" i="1"/>
  <c r="E33" i="1"/>
  <c r="E39" i="1"/>
  <c r="E116" i="1"/>
  <c r="E199" i="1"/>
  <c r="E201" i="1"/>
  <c r="E200" i="1"/>
  <c r="E122" i="1"/>
  <c r="E54" i="1"/>
  <c r="E20" i="1"/>
  <c r="E118" i="1"/>
  <c r="E25" i="1"/>
  <c r="E197" i="1"/>
  <c r="E198" i="1"/>
  <c r="E13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E19" i="1"/>
  <c r="E75" i="1"/>
  <c r="E202" i="1"/>
  <c r="E195" i="1"/>
  <c r="E35" i="1"/>
  <c r="E12" i="1"/>
  <c r="E49" i="1"/>
  <c r="H458" i="1"/>
  <c r="H457" i="1"/>
  <c r="H456" i="1"/>
  <c r="E160" i="1"/>
  <c r="E74" i="1"/>
  <c r="E155" i="1"/>
  <c r="E150" i="1"/>
  <c r="E64" i="1"/>
  <c r="E34" i="1"/>
  <c r="E7" i="1"/>
  <c r="E184" i="1" l="1"/>
  <c r="E453" i="1"/>
  <c r="E210" i="1"/>
  <c r="E6" i="1"/>
  <c r="E452" i="1"/>
  <c r="H452" i="1" s="1"/>
  <c r="E129" i="1"/>
  <c r="E128" i="1"/>
  <c r="E77" i="1"/>
  <c r="E383" i="1"/>
  <c r="E363" i="1"/>
  <c r="E323" i="1"/>
  <c r="E322" i="1"/>
  <c r="E388" i="1"/>
  <c r="E317" i="1"/>
  <c r="E386" i="1"/>
  <c r="E450" i="1"/>
  <c r="H450" i="1" s="1"/>
  <c r="E331" i="1"/>
  <c r="E207" i="1"/>
  <c r="E208" i="1"/>
  <c r="E235" i="1"/>
  <c r="E370" i="1"/>
  <c r="E302" i="1"/>
  <c r="E287" i="1"/>
  <c r="E389" i="1"/>
  <c r="E213" i="1"/>
  <c r="E286" i="1"/>
  <c r="E308" i="1"/>
  <c r="E296" i="1"/>
  <c r="E250" i="1"/>
  <c r="E240" i="1"/>
  <c r="E269" i="1"/>
  <c r="E399" i="1"/>
  <c r="E233" i="1"/>
  <c r="E267" i="1"/>
  <c r="E258" i="1"/>
  <c r="E400" i="1"/>
  <c r="E368" i="1"/>
  <c r="E251" i="1"/>
  <c r="E255" i="1"/>
  <c r="E263" i="1"/>
  <c r="E285" i="1"/>
  <c r="E211" i="1"/>
  <c r="E372" i="1"/>
  <c r="E381" i="1"/>
  <c r="E374" i="1"/>
  <c r="E215" i="1"/>
  <c r="E224" i="1"/>
  <c r="E218" i="1"/>
  <c r="E223" i="1"/>
  <c r="E313" i="1"/>
  <c r="E425" i="1"/>
  <c r="E396" i="1"/>
  <c r="E319" i="1"/>
  <c r="E384" i="1"/>
  <c r="E318" i="1"/>
  <c r="E385" i="1"/>
  <c r="E305" i="1"/>
  <c r="E281" i="1"/>
  <c r="E380" i="1"/>
  <c r="E277" i="1"/>
  <c r="E225" i="1"/>
  <c r="E276" i="1"/>
  <c r="E373" i="1"/>
  <c r="E9" i="1"/>
  <c r="E310" i="1"/>
  <c r="E254" i="1"/>
  <c r="E252" i="1"/>
  <c r="E212" i="1"/>
  <c r="E429" i="1"/>
  <c r="E418" i="1"/>
  <c r="E449" i="1"/>
  <c r="E448" i="1"/>
  <c r="H448" i="1" s="1"/>
  <c r="E423" i="1"/>
  <c r="H423" i="1" s="1"/>
  <c r="E447" i="1"/>
  <c r="E441" i="1"/>
  <c r="E445" i="1"/>
  <c r="E444" i="1"/>
  <c r="H444" i="1" s="1"/>
  <c r="E443" i="1"/>
  <c r="H443" i="1" s="1"/>
  <c r="E442" i="1"/>
  <c r="H442" i="1" s="1"/>
  <c r="H445" i="1"/>
  <c r="H446" i="1"/>
  <c r="H447" i="1"/>
  <c r="H449" i="1"/>
  <c r="H451" i="1"/>
  <c r="H453" i="1"/>
  <c r="H454" i="1"/>
  <c r="H455" i="1"/>
  <c r="E440" i="1"/>
  <c r="E357" i="1"/>
  <c r="H433" i="1"/>
  <c r="E435" i="1"/>
  <c r="H435" i="1" s="1"/>
  <c r="E346" i="1"/>
  <c r="E348" i="1"/>
  <c r="E432" i="1"/>
  <c r="H432" i="1" s="1"/>
  <c r="E362" i="1"/>
  <c r="E406" i="1"/>
  <c r="H431" i="1"/>
  <c r="H434" i="1"/>
  <c r="H436" i="1"/>
  <c r="H437" i="1"/>
  <c r="H438" i="1"/>
  <c r="H439" i="1"/>
  <c r="H440" i="1"/>
  <c r="H441" i="1"/>
  <c r="E430" i="1"/>
  <c r="H430" i="1" s="1"/>
  <c r="H429" i="1"/>
  <c r="E428" i="1"/>
  <c r="H428" i="1" s="1"/>
  <c r="H427" i="1"/>
  <c r="E427" i="1"/>
  <c r="E426" i="1"/>
  <c r="H425" i="1"/>
  <c r="E424" i="1"/>
  <c r="H424" i="1" s="1"/>
  <c r="H426" i="1"/>
  <c r="H422" i="1"/>
  <c r="E422" i="1"/>
  <c r="E421" i="1"/>
  <c r="E420" i="1"/>
  <c r="E419" i="1"/>
  <c r="E417" i="1"/>
  <c r="E416" i="1"/>
  <c r="E415" i="1"/>
  <c r="E414" i="1"/>
  <c r="E413" i="1"/>
  <c r="E412" i="1"/>
  <c r="E237" i="1"/>
  <c r="E303" i="1"/>
  <c r="E249" i="1"/>
  <c r="E262" i="1"/>
  <c r="E239" i="1" l="1"/>
  <c r="E299" i="1"/>
  <c r="E309" i="1"/>
  <c r="E304" i="1"/>
  <c r="E289" i="1"/>
  <c r="E311" i="1"/>
  <c r="E315" i="1"/>
  <c r="E103" i="1"/>
  <c r="E338" i="1"/>
  <c r="E230" i="1" l="1"/>
  <c r="E242" i="1"/>
  <c r="E234" i="1"/>
  <c r="H289" i="1"/>
  <c r="E291" i="1"/>
  <c r="H291" i="1" s="1"/>
  <c r="E401" i="1"/>
  <c r="E395" i="1"/>
  <c r="H396" i="1"/>
  <c r="E394" i="1"/>
  <c r="E393" i="1"/>
  <c r="E390" i="1"/>
  <c r="E293" i="1"/>
  <c r="H293" i="1" s="1"/>
  <c r="E221" i="1"/>
  <c r="H221" i="1" s="1"/>
  <c r="E219" i="1"/>
  <c r="E264" i="1"/>
  <c r="E376" i="1"/>
  <c r="H376" i="1" s="1"/>
  <c r="E320" i="1"/>
  <c r="H311" i="1"/>
  <c r="E222" i="1"/>
  <c r="F411" i="1"/>
  <c r="H411" i="1"/>
  <c r="H299" i="1"/>
  <c r="E300" i="1"/>
  <c r="H300" i="1" s="1"/>
  <c r="E279" i="1"/>
  <c r="E284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0" i="1"/>
  <c r="H292" i="1"/>
  <c r="H294" i="1"/>
  <c r="H295" i="1"/>
  <c r="H296" i="1"/>
  <c r="H297" i="1"/>
  <c r="H298" i="1"/>
  <c r="H301" i="1"/>
  <c r="H302" i="1"/>
  <c r="H303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7" i="1"/>
  <c r="H398" i="1"/>
  <c r="H399" i="1"/>
  <c r="H400" i="1"/>
  <c r="H402" i="1"/>
  <c r="H403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G486" i="1" l="1"/>
  <c r="H250" i="1" l="1"/>
  <c r="H248" i="1"/>
  <c r="H243" i="1"/>
  <c r="H241" i="1"/>
  <c r="H240" i="1"/>
  <c r="H238" i="1"/>
  <c r="H234" i="1"/>
  <c r="H233" i="1"/>
  <c r="H231" i="1"/>
  <c r="H230" i="1"/>
  <c r="H228" i="1"/>
  <c r="H255" i="1"/>
  <c r="H254" i="1"/>
  <c r="H253" i="1"/>
  <c r="H252" i="1"/>
  <c r="H251" i="1"/>
  <c r="H249" i="1"/>
  <c r="H247" i="1"/>
  <c r="H246" i="1"/>
  <c r="H245" i="1"/>
  <c r="H244" i="1"/>
  <c r="H242" i="1"/>
  <c r="H239" i="1"/>
  <c r="H237" i="1"/>
  <c r="H236" i="1"/>
  <c r="H235" i="1"/>
  <c r="H232" i="1"/>
  <c r="H229" i="1"/>
  <c r="H227" i="1"/>
  <c r="H226" i="1"/>
  <c r="H225" i="1"/>
  <c r="H224" i="1"/>
  <c r="H223" i="1"/>
  <c r="H111" i="2"/>
  <c r="E111" i="2"/>
  <c r="H110" i="2"/>
  <c r="E110" i="2"/>
  <c r="H109" i="2"/>
  <c r="E109" i="2"/>
  <c r="H108" i="2"/>
  <c r="E108" i="2"/>
  <c r="E107" i="2"/>
  <c r="H107" i="2" s="1"/>
  <c r="E106" i="2"/>
  <c r="H106" i="2" s="1"/>
  <c r="E105" i="2"/>
  <c r="H105" i="2" s="1"/>
  <c r="E104" i="2"/>
  <c r="H104" i="2" s="1"/>
  <c r="H103" i="2"/>
  <c r="E103" i="2"/>
  <c r="E102" i="2"/>
  <c r="H102" i="2" s="1"/>
  <c r="E101" i="2"/>
  <c r="H101" i="2" s="1"/>
  <c r="E100" i="2"/>
  <c r="H100" i="2" s="1"/>
  <c r="H99" i="2"/>
  <c r="E99" i="2"/>
  <c r="E98" i="2"/>
  <c r="H98" i="2" s="1"/>
  <c r="E97" i="2"/>
  <c r="H97" i="2" s="1"/>
  <c r="E96" i="2"/>
  <c r="H96" i="2" s="1"/>
  <c r="E95" i="2"/>
  <c r="H95" i="2" s="1"/>
  <c r="E94" i="2"/>
  <c r="H94" i="2" s="1"/>
  <c r="H93" i="2"/>
  <c r="E93" i="2"/>
  <c r="E92" i="2"/>
  <c r="H92" i="2" s="1"/>
  <c r="H91" i="2"/>
  <c r="E91" i="2"/>
  <c r="H90" i="2"/>
  <c r="E90" i="2"/>
  <c r="H89" i="2"/>
  <c r="E89" i="2"/>
  <c r="H88" i="2"/>
  <c r="E88" i="2"/>
  <c r="H87" i="2"/>
  <c r="E87" i="2"/>
  <c r="E86" i="2"/>
  <c r="H86" i="2" s="1"/>
  <c r="E85" i="2"/>
  <c r="H85" i="2" s="1"/>
  <c r="E84" i="2"/>
  <c r="H84" i="2" s="1"/>
  <c r="E83" i="2"/>
  <c r="H83" i="2" s="1"/>
  <c r="H82" i="2"/>
  <c r="E82" i="2"/>
  <c r="E81" i="2"/>
  <c r="H81" i="2" s="1"/>
  <c r="E80" i="2"/>
  <c r="H80" i="2" s="1"/>
  <c r="H79" i="2"/>
  <c r="E79" i="2"/>
  <c r="H78" i="2"/>
  <c r="E78" i="2"/>
  <c r="H77" i="2"/>
  <c r="E77" i="2"/>
  <c r="E76" i="2"/>
  <c r="H76" i="2" s="1"/>
  <c r="E75" i="2"/>
  <c r="H75" i="2" s="1"/>
  <c r="E74" i="2"/>
  <c r="H74" i="2" s="1"/>
  <c r="E73" i="2"/>
  <c r="H73" i="2" s="1"/>
  <c r="E72" i="2"/>
  <c r="H72" i="2" s="1"/>
  <c r="E71" i="2"/>
  <c r="H71" i="2" s="1"/>
  <c r="E70" i="2"/>
  <c r="H70" i="2" s="1"/>
  <c r="H69" i="2"/>
  <c r="E69" i="2"/>
  <c r="E68" i="2"/>
  <c r="H68" i="2" s="1"/>
  <c r="E67" i="2"/>
  <c r="H67" i="2" s="1"/>
  <c r="E66" i="2"/>
  <c r="H66" i="2" s="1"/>
  <c r="E65" i="2"/>
  <c r="H65" i="2" s="1"/>
  <c r="E64" i="2"/>
  <c r="H64" i="2" s="1"/>
  <c r="E63" i="2"/>
  <c r="H63" i="2" s="1"/>
  <c r="H62" i="2"/>
  <c r="E62" i="2"/>
  <c r="H61" i="2"/>
  <c r="E61" i="2"/>
  <c r="E60" i="2"/>
  <c r="H60" i="2" s="1"/>
  <c r="H59" i="2"/>
  <c r="E59" i="2"/>
  <c r="E58" i="2"/>
  <c r="H58" i="2" s="1"/>
  <c r="E57" i="2"/>
  <c r="H57" i="2" s="1"/>
  <c r="E56" i="2"/>
  <c r="H56" i="2" s="1"/>
  <c r="E55" i="2"/>
  <c r="H55" i="2" s="1"/>
  <c r="H54" i="2"/>
  <c r="E54" i="2"/>
  <c r="H53" i="2"/>
  <c r="E53" i="2"/>
  <c r="E52" i="2"/>
  <c r="H52" i="2" s="1"/>
  <c r="E51" i="2"/>
  <c r="H51" i="2" s="1"/>
  <c r="H50" i="2"/>
  <c r="E50" i="2"/>
  <c r="E49" i="2"/>
  <c r="H49" i="2" s="1"/>
  <c r="E48" i="2"/>
  <c r="H48" i="2" s="1"/>
  <c r="H47" i="2"/>
  <c r="E47" i="2"/>
  <c r="H46" i="2"/>
  <c r="E46" i="2"/>
  <c r="E45" i="2"/>
  <c r="H45" i="2" s="1"/>
  <c r="E44" i="2"/>
  <c r="H44" i="2" s="1"/>
  <c r="H43" i="2"/>
  <c r="E43" i="2"/>
  <c r="E42" i="2"/>
  <c r="H42" i="2" s="1"/>
  <c r="E41" i="2"/>
  <c r="H41" i="2" s="1"/>
  <c r="E40" i="2"/>
  <c r="H40" i="2" s="1"/>
  <c r="E39" i="2"/>
  <c r="H39" i="2" s="1"/>
  <c r="E38" i="2"/>
  <c r="H38" i="2" s="1"/>
  <c r="E37" i="2"/>
  <c r="H37" i="2" s="1"/>
  <c r="E36" i="2"/>
  <c r="H36" i="2" s="1"/>
  <c r="H35" i="2"/>
  <c r="E35" i="2"/>
  <c r="E34" i="2"/>
  <c r="H34" i="2" s="1"/>
  <c r="E33" i="2"/>
  <c r="H33" i="2" s="1"/>
  <c r="E32" i="2"/>
  <c r="H32" i="2" s="1"/>
  <c r="E31" i="2"/>
  <c r="H31" i="2" s="1"/>
  <c r="E30" i="2"/>
  <c r="H30" i="2" s="1"/>
  <c r="E29" i="2"/>
  <c r="H29" i="2" s="1"/>
  <c r="E28" i="2"/>
  <c r="H28" i="2" s="1"/>
  <c r="H27" i="2"/>
  <c r="E27" i="2"/>
  <c r="E26" i="2"/>
  <c r="H26" i="2" s="1"/>
  <c r="E25" i="2"/>
  <c r="H25" i="2" s="1"/>
  <c r="E24" i="2"/>
  <c r="H24" i="2" s="1"/>
  <c r="E23" i="2"/>
  <c r="H23" i="2" s="1"/>
  <c r="E22" i="2"/>
  <c r="H22" i="2" s="1"/>
  <c r="E21" i="2"/>
  <c r="H21" i="2" s="1"/>
  <c r="E20" i="2"/>
  <c r="H20" i="2" s="1"/>
  <c r="H19" i="2"/>
  <c r="E19" i="2"/>
  <c r="E18" i="2"/>
  <c r="H18" i="2" s="1"/>
  <c r="E17" i="2"/>
  <c r="H17" i="2" s="1"/>
  <c r="E16" i="2"/>
  <c r="H16" i="2" s="1"/>
  <c r="E15" i="2"/>
  <c r="H15" i="2" s="1"/>
  <c r="E14" i="2"/>
  <c r="H14" i="2" s="1"/>
  <c r="E13" i="2"/>
  <c r="H13" i="2" s="1"/>
  <c r="E12" i="2"/>
  <c r="H12" i="2" s="1"/>
  <c r="H11" i="2"/>
  <c r="E11" i="2"/>
  <c r="E10" i="2"/>
  <c r="H10" i="2" s="1"/>
  <c r="E9" i="2"/>
  <c r="H9" i="2" s="1"/>
  <c r="E8" i="2"/>
  <c r="H8" i="2" s="1"/>
  <c r="E7" i="2"/>
  <c r="H7" i="2" s="1"/>
  <c r="H6" i="2"/>
  <c r="E6" i="2"/>
  <c r="E5" i="2"/>
  <c r="H5" i="2" s="1"/>
  <c r="H4" i="2"/>
  <c r="E4" i="2"/>
  <c r="E3" i="2"/>
  <c r="H3" i="2" s="1"/>
  <c r="E2" i="2"/>
  <c r="H2" i="2" s="1"/>
  <c r="E1" i="2"/>
  <c r="H1" i="2" s="1"/>
  <c r="F483" i="1" l="1"/>
  <c r="H222" i="1"/>
  <c r="H220" i="1"/>
  <c r="H219" i="1"/>
  <c r="H218" i="1"/>
  <c r="H216" i="1"/>
  <c r="H215" i="1"/>
  <c r="H214" i="1"/>
  <c r="H207" i="1"/>
  <c r="H184" i="1" l="1"/>
  <c r="H183" i="1"/>
  <c r="H169" i="1"/>
  <c r="H145" i="1"/>
  <c r="H131" i="1"/>
  <c r="H100" i="1"/>
  <c r="H144" i="1"/>
  <c r="H204" i="1"/>
  <c r="H85" i="1"/>
  <c r="H179" i="1"/>
  <c r="H178" i="1"/>
  <c r="H180" i="1"/>
  <c r="H181" i="1"/>
  <c r="H177" i="1"/>
  <c r="H134" i="1"/>
  <c r="H146" i="1"/>
  <c r="H8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77" i="1"/>
  <c r="H80" i="1"/>
  <c r="H81" i="1"/>
  <c r="H82" i="1"/>
  <c r="H83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7" i="1"/>
  <c r="H104" i="1"/>
  <c r="H105" i="1"/>
  <c r="H106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5" i="1"/>
  <c r="H136" i="1"/>
  <c r="H137" i="1"/>
  <c r="H138" i="1"/>
  <c r="H139" i="1"/>
  <c r="H140" i="1"/>
  <c r="H141" i="1"/>
  <c r="H142" i="1"/>
  <c r="H143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32" i="1"/>
  <c r="H133" i="1"/>
  <c r="H182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8" i="1"/>
  <c r="H209" i="1"/>
  <c r="H210" i="1"/>
  <c r="H211" i="1"/>
  <c r="H212" i="1"/>
  <c r="H213" i="1"/>
  <c r="H401" i="1" l="1"/>
</calcChain>
</file>

<file path=xl/sharedStrings.xml><?xml version="1.0" encoding="utf-8"?>
<sst xmlns="http://schemas.openxmlformats.org/spreadsheetml/2006/main" count="1579" uniqueCount="522">
  <si>
    <t xml:space="preserve">PRODUCTO </t>
  </si>
  <si>
    <t>N° TARAS</t>
  </si>
  <si>
    <t>PIEZAS</t>
  </si>
  <si>
    <t>PESO BRUTO</t>
  </si>
  <si>
    <t>PRECIO</t>
  </si>
  <si>
    <t>CARNE ARABE</t>
  </si>
  <si>
    <t>LONGANIZA CASERA</t>
  </si>
  <si>
    <t>LONGANIZA ECONOMICA</t>
  </si>
  <si>
    <t>PESO NETO</t>
  </si>
  <si>
    <t>IMPORTE</t>
  </si>
  <si>
    <t>COLOR</t>
  </si>
  <si>
    <t>TOTAL</t>
  </si>
  <si>
    <t>N°</t>
  </si>
  <si>
    <t>TARAS</t>
  </si>
  <si>
    <t>ROJA</t>
  </si>
  <si>
    <t>PEPPERONI WINNIS</t>
  </si>
  <si>
    <t>ABASTOS 4 CARNES</t>
  </si>
  <si>
    <t>CHORIZO OAXACA</t>
  </si>
  <si>
    <t>SALAMI WINNIS</t>
  </si>
  <si>
    <t>TOCINO SALADO</t>
  </si>
  <si>
    <t>ALITAS HABANERO</t>
  </si>
  <si>
    <t>ALITAS ADOBADAS</t>
  </si>
  <si>
    <t>TOCINO WINNIS</t>
  </si>
  <si>
    <t xml:space="preserve">RECORTE DE JAMON </t>
  </si>
  <si>
    <t>CHORIZO ESPAÑOL</t>
  </si>
  <si>
    <t>JAMON PECHUGA DE PAVO EXTRAFINA</t>
  </si>
  <si>
    <t>JAMON ESPALDILLA ARCOS</t>
  </si>
  <si>
    <t>JAMON PAVO MARIETTA</t>
  </si>
  <si>
    <t>QUESO DE PUERCO CAPISTRANO</t>
  </si>
  <si>
    <t>JAMON DE PECHUGA SABORI</t>
  </si>
  <si>
    <t>JAMON YORK LEDO</t>
  </si>
  <si>
    <t>JAMON DE PIERNA SABORI</t>
  </si>
  <si>
    <t>JAMON DE PIERNA HOLANDES</t>
  </si>
  <si>
    <t>JAMON SAN RAFAEL BALANCE</t>
  </si>
  <si>
    <t>GALANTINA</t>
  </si>
  <si>
    <t>QUESO DE PUERCO FRITZ</t>
  </si>
  <si>
    <t>JAMON DE PAVO FRITZ</t>
  </si>
  <si>
    <t>QUESO DE PUERCO FUD</t>
  </si>
  <si>
    <t>JAMON DE PAVO VIRGINIA</t>
  </si>
  <si>
    <t>PIERNA AHUMADA PCO</t>
  </si>
  <si>
    <t>CHORIZO ARGENTINO LEDO</t>
  </si>
  <si>
    <t>PIERNA DE PAVO AHUMADA</t>
  </si>
  <si>
    <t>JAMON AMERICANO LEDO</t>
  </si>
  <si>
    <t>JAMON DE PECHUGA NUTRES</t>
  </si>
  <si>
    <t xml:space="preserve">QUESO DE PUERCO NUTRES </t>
  </si>
  <si>
    <t>CHORIZO ARGENTINO ESPECIAL</t>
  </si>
  <si>
    <t>CHISTORRA WINNIS</t>
  </si>
  <si>
    <t>CHISTORRA FRITZ LINE ORO</t>
  </si>
  <si>
    <t>PAQUETE PARRILLERO ESPECIAL</t>
  </si>
  <si>
    <t>PAQUETE PARRILLERO SENCILLO</t>
  </si>
  <si>
    <t>SALCHICHA ANNY AZUL</t>
  </si>
  <si>
    <t>SALCHICHA HOT DOG FUD</t>
  </si>
  <si>
    <t xml:space="preserve">SALCHICHA FRANK FRITZ </t>
  </si>
  <si>
    <t xml:space="preserve">CHULETA AHUMADA </t>
  </si>
  <si>
    <t>QUESILLO CREMOSO</t>
  </si>
  <si>
    <t>QUESO PANELA</t>
  </si>
  <si>
    <t>GOUDA URUGUAYO</t>
  </si>
  <si>
    <t>SALCHICHA FRANK FURT TAVERNETA</t>
  </si>
  <si>
    <t xml:space="preserve">JAMÓN DE PAVO HORNEADO EL PATRÓN </t>
  </si>
  <si>
    <t>JAMÓN DE PIERNA HOLANDÉS EL PATRÓN</t>
  </si>
  <si>
    <t>QUESO PARMESANO RAYADO</t>
  </si>
  <si>
    <t>QUESO PARMESANO TROZO</t>
  </si>
  <si>
    <t>JAMÓN SERRANO CINTA DE ORO</t>
  </si>
  <si>
    <t>QUESO PHILADELPHIA</t>
  </si>
  <si>
    <t>QUESO ZORAYDA</t>
  </si>
  <si>
    <t>GOUDA BOTANERO</t>
  </si>
  <si>
    <t>CREMA NATURAL</t>
  </si>
  <si>
    <t>QUESO AÑEJO</t>
  </si>
  <si>
    <t>QUESO REDONDO</t>
  </si>
  <si>
    <t>RECORTE DE TOCINO</t>
  </si>
  <si>
    <t>MOLE</t>
  </si>
  <si>
    <t>MILANESA DE POLLO</t>
  </si>
  <si>
    <t>QUESO ASADERO H.F</t>
  </si>
  <si>
    <t>QUESO ASADERO AHUMADO</t>
  </si>
  <si>
    <t>QUESO ASADERO HABANERO</t>
  </si>
  <si>
    <t>QUESO ASADERO NUEZ</t>
  </si>
  <si>
    <t>QUESO ASADERO NATURAL</t>
  </si>
  <si>
    <t/>
  </si>
  <si>
    <t>RECORTE DE CHULETA</t>
  </si>
  <si>
    <t>JAMÓN SERRANO TAVERNETA</t>
  </si>
  <si>
    <t>TOCINO DE PIERNA</t>
  </si>
  <si>
    <t>IBERIA 1KG</t>
  </si>
  <si>
    <t>IBERIA ½ KG</t>
  </si>
  <si>
    <t>IBERIA 0.90 GR.</t>
  </si>
  <si>
    <t>QUESO REDONDO IGLESIAS</t>
  </si>
  <si>
    <t>REAL IBÉRICO</t>
  </si>
  <si>
    <t>MAÍZ POBLANA</t>
  </si>
  <si>
    <t>MAÍZ MORELOS</t>
  </si>
  <si>
    <t xml:space="preserve">MANTECA </t>
  </si>
  <si>
    <t>SALSA ÁRABE 1 LT</t>
  </si>
  <si>
    <t>PARMIGIANO REGGIANO</t>
  </si>
  <si>
    <t>QUESO CREMA A LA TRUFA</t>
  </si>
  <si>
    <t xml:space="preserve">QUESO CREMA CURADO </t>
  </si>
  <si>
    <t>QUESO CREMA SEMICURADO</t>
  </si>
  <si>
    <t>QUESO CREMA OBESA</t>
  </si>
  <si>
    <t>CREMA AL QUESO CABRA</t>
  </si>
  <si>
    <t>CHULETA AHUMADA</t>
  </si>
  <si>
    <t>CARNE ENCHILADA ESPECIAL</t>
  </si>
  <si>
    <t>PATA NATURAL</t>
  </si>
  <si>
    <t xml:space="preserve">PARA PREPARADA </t>
  </si>
  <si>
    <t>CECINA</t>
  </si>
  <si>
    <t>MANTECA</t>
  </si>
  <si>
    <t>CHILE</t>
  </si>
  <si>
    <t>CONDIMENTO CALIFORNIA</t>
  </si>
  <si>
    <t>CHAMORRO ROSTIZADO</t>
  </si>
  <si>
    <t>CHAMORRO ROSTIZADO S/H</t>
  </si>
  <si>
    <t xml:space="preserve">SALCHICHA ALEMANA CAPISTRANO RES </t>
  </si>
  <si>
    <t>SALCHICHA ALEMANA CAPISTRANO CERDO</t>
  </si>
  <si>
    <t>SALCHICHA FRANK FURT CERDO CAPISTRANO</t>
  </si>
  <si>
    <t>SALCHICHA PECHUGA PAVO CAPISTRANO</t>
  </si>
  <si>
    <t xml:space="preserve">SALCHICHA FRITZ SCHUBLING </t>
  </si>
  <si>
    <t>CHORIZO PAVO OBERTAL</t>
  </si>
  <si>
    <t>CHORIZO A LA SIDRAL OBERTAL</t>
  </si>
  <si>
    <t>JAMÓN AMERICANO LEDO</t>
  </si>
  <si>
    <t>JAMÓN VIRGINIA AHUMADO</t>
  </si>
  <si>
    <t>JAMÓN DE PIERNA CAPISTRANO</t>
  </si>
  <si>
    <t>JAMÓN DE PECHUGA NUTRES</t>
  </si>
  <si>
    <t>JAMÓN DE PIERNA SABORI</t>
  </si>
  <si>
    <t>JAMÓN YORK PEÑARANDA</t>
  </si>
  <si>
    <t xml:space="preserve">LOMO ENBUCHADO FRITZ </t>
  </si>
  <si>
    <t>ROASTBEEF OBERTAL</t>
  </si>
  <si>
    <t>TAPAS ESPAÑOLAS</t>
  </si>
  <si>
    <t>CREMA DE QUESO DE CABRA</t>
  </si>
  <si>
    <t>CREMA DE QUESO CURADO</t>
  </si>
  <si>
    <t>CREMA DE QUESO OVEJA</t>
  </si>
  <si>
    <t>CREME DE BRIE</t>
  </si>
  <si>
    <t>QUESO DE CREMA FONDUE</t>
  </si>
  <si>
    <t>QUESO PARMIGIANO</t>
  </si>
  <si>
    <t>QUESO GRANDA PADANO</t>
  </si>
  <si>
    <t>QUESO IBÉRICO SEMICURADO</t>
  </si>
  <si>
    <t>QUESO SEMI CURADO LA LEYENDA</t>
  </si>
  <si>
    <t>QUESO IBÉRICO CURADO</t>
  </si>
  <si>
    <t>QUESO INDIAZABAL</t>
  </si>
  <si>
    <t>QUESO DEL CAMPO GRAN RESERVA</t>
  </si>
  <si>
    <t>QUESO DEL CAMPO SEMICURADO</t>
  </si>
  <si>
    <t>PATÉ</t>
  </si>
  <si>
    <t>GOUDA</t>
  </si>
  <si>
    <t>QUESO FRESCO ARTESANAL</t>
  </si>
  <si>
    <t xml:space="preserve">YOGURT ½ LT. DON PÁNFILO </t>
  </si>
  <si>
    <t>QUESO DE CABRA NATURAL DON PÁNFILO</t>
  </si>
  <si>
    <t>NATA DON PÁNFILO</t>
  </si>
  <si>
    <t>BOURSIN NUEZ DON PÁNFILO</t>
  </si>
  <si>
    <t>BOURSIN CENIZA DON PÁNFILO</t>
  </si>
  <si>
    <t>BOURSIN HIERBAS FINAS DON PÁNFILO</t>
  </si>
  <si>
    <t>BOTANERO SERRANO DON PÁNFILO</t>
  </si>
  <si>
    <t xml:space="preserve">FLANDON PÁNFILO </t>
  </si>
  <si>
    <t xml:space="preserve">QUESO ASADERO NATURAL </t>
  </si>
  <si>
    <t>QUESO ASADERO HIERBAS FINAS</t>
  </si>
  <si>
    <t xml:space="preserve">MANTEQUILLA KERRYGOLD </t>
  </si>
  <si>
    <t>QUESO AZUL DANÉS</t>
  </si>
  <si>
    <t>PARMESANO RAYADO</t>
  </si>
  <si>
    <t>PARMESANO TROZO</t>
  </si>
  <si>
    <t xml:space="preserve">SALCHICHA TAVERNETA </t>
  </si>
  <si>
    <t>RECORTE DE QUESO DE PUERCO</t>
  </si>
  <si>
    <t>LONGANIZA ECONÓMICA</t>
  </si>
  <si>
    <t>CHISTORRA FRITZ LÍNEA DE ORO</t>
  </si>
  <si>
    <t>CHISTORRA FRITZ GOURMET</t>
  </si>
  <si>
    <t>CARNE ENCHILADA**</t>
  </si>
  <si>
    <t>PATA EN VINAGRE</t>
  </si>
  <si>
    <t>PATA PREPARADA</t>
  </si>
  <si>
    <t>ALITAS HABANERO/TAMARINDO</t>
  </si>
  <si>
    <t>RECORTE DE JAMÓN</t>
  </si>
  <si>
    <t>JAMÓN URBI MIEL</t>
  </si>
  <si>
    <t>JAMÓN URBI ALMENDRADO</t>
  </si>
  <si>
    <t>JAMÓN URBI PISTACHE</t>
  </si>
  <si>
    <t>QUESO BLANCO *</t>
  </si>
  <si>
    <t>RETAZO *</t>
  </si>
  <si>
    <t>CHAMBARTE S/H</t>
  </si>
  <si>
    <t>CHAMBARTE C/H</t>
  </si>
  <si>
    <t>CUETE</t>
  </si>
  <si>
    <t>CONCHA PARA DESHEBRAR RES</t>
  </si>
  <si>
    <t>***</t>
  </si>
  <si>
    <t>ARRACHERA MARINADA</t>
  </si>
  <si>
    <t>SIRLOIN **</t>
  </si>
  <si>
    <t>CARNE ABIERTA</t>
  </si>
  <si>
    <t>PAPAS ONDULADAS</t>
  </si>
  <si>
    <t>PALITO **</t>
  </si>
  <si>
    <t>PAPAS GAJO</t>
  </si>
  <si>
    <t>CORTES AMERICANOS</t>
  </si>
  <si>
    <t xml:space="preserve">GALLINA RES </t>
  </si>
  <si>
    <t>LENGUA DE RES</t>
  </si>
  <si>
    <t>ARRACHERA TEXANA</t>
  </si>
  <si>
    <t>ARRACHERA TAQUERA</t>
  </si>
  <si>
    <t xml:space="preserve">NORTEÑO </t>
  </si>
  <si>
    <t>BISTEC P/ ASAR PCO</t>
  </si>
  <si>
    <t>HAMBURGUESA ESPECIAL</t>
  </si>
  <si>
    <t>TOTOPOS</t>
  </si>
  <si>
    <t>TOSTADAS DELICIAS</t>
  </si>
  <si>
    <t>TOSTADAS NARJ</t>
  </si>
  <si>
    <t>TOSTADAS ROJ</t>
  </si>
  <si>
    <t>TOSTADAS TRACIONALES 140G ROJ</t>
  </si>
  <si>
    <t xml:space="preserve">TOSTADAS TRACIONALES.500 G </t>
  </si>
  <si>
    <t>SALSA ÁRABE 1LT</t>
  </si>
  <si>
    <t>SALSA ÁRABE .500 ML</t>
  </si>
  <si>
    <t>SALSA ÁRABE .250 ML</t>
  </si>
  <si>
    <t>CONDIMENTO 4 CARNES</t>
  </si>
  <si>
    <t>SALSA ARTESANAL 100 GR.</t>
  </si>
  <si>
    <t>SALSA ARTESANAL 200 GR.</t>
  </si>
  <si>
    <t>SALSA TRADICIONAL .235 GR</t>
  </si>
  <si>
    <t>SALSA OAXACA 150 ML.</t>
  </si>
  <si>
    <t>SALSA OAXACA 70 GR.</t>
  </si>
  <si>
    <t>COSTILLA DE PUERCO</t>
  </si>
  <si>
    <t>ESPINAZO DE PUERCO</t>
  </si>
  <si>
    <t>CENTRO DE CODILLO</t>
  </si>
  <si>
    <t>CABEZA</t>
  </si>
  <si>
    <t xml:space="preserve">HUESO DE PUERCO </t>
  </si>
  <si>
    <t>MANITA</t>
  </si>
  <si>
    <t>RACK COSTILLAR DE PUERCO</t>
  </si>
  <si>
    <t>CARRILLERA</t>
  </si>
  <si>
    <t>CODILLO ENTERO</t>
  </si>
  <si>
    <t>**</t>
  </si>
  <si>
    <t>TROZO ECONÓMICO PCO</t>
  </si>
  <si>
    <t xml:space="preserve">TROZO LIMPIO PCO </t>
  </si>
  <si>
    <t>COSTILLA PCO</t>
  </si>
  <si>
    <t>TROZO LIMPIO PCO</t>
  </si>
  <si>
    <t>LOMO DE CAÑA</t>
  </si>
  <si>
    <t>TROZO ECONÓMICO</t>
  </si>
  <si>
    <t>HUESO DE PUERCO</t>
  </si>
  <si>
    <t>ESPALDILLA C/H</t>
  </si>
  <si>
    <t>SURTIDO DE PCO</t>
  </si>
  <si>
    <t>CARNE AL PASTOR</t>
  </si>
  <si>
    <t>FALDA DE PUERCO</t>
  </si>
  <si>
    <t>FILETE DE PUERCO</t>
  </si>
  <si>
    <t>CORTES DE PCO</t>
  </si>
  <si>
    <t>HUESO DE PERICO</t>
  </si>
  <si>
    <t>ARRACHERA TAQUERA**</t>
  </si>
  <si>
    <t>CARNE ÁRABE</t>
  </si>
  <si>
    <t>CORTES **</t>
  </si>
  <si>
    <t>PANZA DE RES</t>
  </si>
  <si>
    <t>CHULETA NATURAL</t>
  </si>
  <si>
    <t>CARNE ABIERTA**</t>
  </si>
  <si>
    <t>PULPA DE NORTEÑO</t>
  </si>
  <si>
    <t>BISTEC P/ ASAR</t>
  </si>
  <si>
    <t>BARRIGA DE PCO</t>
  </si>
  <si>
    <t>MOLIDA DE RES</t>
  </si>
  <si>
    <t>CARNE PICADA DE RES</t>
  </si>
  <si>
    <t>PECHUGA MOLIDA</t>
  </si>
  <si>
    <t>CARNE PICADA DE PCO</t>
  </si>
  <si>
    <t>HUESO DE TUÉTANO</t>
  </si>
  <si>
    <t>SALSA ARTESANAL 200G</t>
  </si>
  <si>
    <t>SALSA ARTESANAL 250G</t>
  </si>
  <si>
    <t>SALSA ARTESANAL 800G</t>
  </si>
  <si>
    <t>SALSA ARTESANAL 150G</t>
  </si>
  <si>
    <t>SALSA TRADICIONAL DE GUSANO</t>
  </si>
  <si>
    <t>SALSA MAGUEY</t>
  </si>
  <si>
    <t>BOLSAS DE CARBÓN</t>
  </si>
  <si>
    <t>SALSA OAXACA</t>
  </si>
  <si>
    <t>PAQUETE DE TORTILLAS HARINA</t>
  </si>
  <si>
    <t>CHICHARRON</t>
  </si>
  <si>
    <t>PALITOS</t>
  </si>
  <si>
    <t>HAMBURGUESA ECONOMICA</t>
  </si>
  <si>
    <t>NUGGETS</t>
  </si>
  <si>
    <t>PAPAS RECTA</t>
  </si>
  <si>
    <t>PAPA GAJO</t>
  </si>
  <si>
    <t>ATUN MEDALLON</t>
  </si>
  <si>
    <t>BISTEC DE PCO</t>
  </si>
  <si>
    <t>JAMON S/H</t>
  </si>
  <si>
    <t>SALMON</t>
  </si>
  <si>
    <t>FILETE TILAPIA</t>
  </si>
  <si>
    <t>SESOS</t>
  </si>
  <si>
    <t>ESPALDILLA DE CARNERO</t>
  </si>
  <si>
    <t>PAPAS</t>
  </si>
  <si>
    <t>HUESO DE PCO</t>
  </si>
  <si>
    <t>ESPINAZO PCO</t>
  </si>
  <si>
    <t>COSTILLA DE PCO</t>
  </si>
  <si>
    <t xml:space="preserve">CHAMBARTE C/H </t>
  </si>
  <si>
    <t>ROASTBEEF</t>
  </si>
  <si>
    <t xml:space="preserve">MANITA </t>
  </si>
  <si>
    <t>CABEZA DE PCO</t>
  </si>
  <si>
    <t>PORK BELLY</t>
  </si>
  <si>
    <t>TOMAHAW PCO</t>
  </si>
  <si>
    <t>BARRIGA</t>
  </si>
  <si>
    <t>FILETE MIGON</t>
  </si>
  <si>
    <t>FILETE DE PCO</t>
  </si>
  <si>
    <t>FALDA DE PCO</t>
  </si>
  <si>
    <t>RACK COSTILLAR</t>
  </si>
  <si>
    <t>CARRILERA</t>
  </si>
  <si>
    <t>CORTE ESTRELLA</t>
  </si>
  <si>
    <t>TROZO ECONOMICO PCO</t>
  </si>
  <si>
    <t>RETAZO DE POLLO</t>
  </si>
  <si>
    <t>CAMARON CH</t>
  </si>
  <si>
    <t>ALITAS**</t>
  </si>
  <si>
    <t>PIERNA Y MUSLO</t>
  </si>
  <si>
    <t xml:space="preserve">SURIMI </t>
  </si>
  <si>
    <t>MARISCADA</t>
  </si>
  <si>
    <t>CARNE PARA DESEHEBRAR CONCHA DE RES</t>
  </si>
  <si>
    <t>AGUJA DE RES</t>
  </si>
  <si>
    <t>HUESO DE TUETANO</t>
  </si>
  <si>
    <t>MOLIDA DE PCO</t>
  </si>
  <si>
    <t>BISTEC P/ASAR</t>
  </si>
  <si>
    <t>ARRACHERA STERLING</t>
  </si>
  <si>
    <t>CHMABARTE CHOICE</t>
  </si>
  <si>
    <t>COLA DE RES</t>
  </si>
  <si>
    <t>MILANESA DE RES</t>
  </si>
  <si>
    <t>CHAMBARETE C/H</t>
  </si>
  <si>
    <t>CHAMBARETE S/H</t>
  </si>
  <si>
    <t>FILETE DE RES</t>
  </si>
  <si>
    <t>NORTEÑO</t>
  </si>
  <si>
    <t>COWBOY **</t>
  </si>
  <si>
    <t>RIB EYE ROLL</t>
  </si>
  <si>
    <t>TOP SIRLOIN</t>
  </si>
  <si>
    <t>T-BONE</t>
  </si>
  <si>
    <t>SHORT RIBS</t>
  </si>
  <si>
    <t xml:space="preserve">COWBOY </t>
  </si>
  <si>
    <t>HAMBURGESA ECONOMICA</t>
  </si>
  <si>
    <t>CORTES MADURADOS**</t>
  </si>
  <si>
    <t>NEW YORK CHOICE</t>
  </si>
  <si>
    <t>RIB EYE CHOICE</t>
  </si>
  <si>
    <t>CARPPACIO</t>
  </si>
  <si>
    <t>CORTES DE RES</t>
  </si>
  <si>
    <t>TOSTADAS NATURAL</t>
  </si>
  <si>
    <t>SALCHICHA ANNY ROJA</t>
  </si>
  <si>
    <t>PAN ÁRABE GRANDE</t>
  </si>
  <si>
    <t>POSTRES PÁNFILO</t>
  </si>
  <si>
    <t>RETAZO DE RES</t>
  </si>
  <si>
    <t>BROCHETA DE PCO</t>
  </si>
  <si>
    <t>SALSA ARABE 1 LT</t>
  </si>
  <si>
    <t>SALSA ARABE .500 ML</t>
  </si>
  <si>
    <t>SALSA ARABE .250 ML</t>
  </si>
  <si>
    <t>TOSTADAS HORNEADAS .500 G</t>
  </si>
  <si>
    <t>TOSTADAS HORNEADAS .250 G</t>
  </si>
  <si>
    <t>TOSTADAS ROLLO TRADICIONAL</t>
  </si>
  <si>
    <t>TOSTADAS TRADICONAL .140 G</t>
  </si>
  <si>
    <t>SALSA MACHA GRANDE</t>
  </si>
  <si>
    <t>CODNIMENTO CALIFORNIA</t>
  </si>
  <si>
    <t>CONDIMENTOS 4 CARNES</t>
  </si>
  <si>
    <t>SALSA MACHA CACAHUATE GRANDE</t>
  </si>
  <si>
    <t>SALSA MACHA C/ CHAPULIN TRADICIONAL</t>
  </si>
  <si>
    <t>SAL MACHA CHAPULIN</t>
  </si>
  <si>
    <t>SAL GUSANO MAGUEY .150 G</t>
  </si>
  <si>
    <t>SAL GUSANO MAGUEY .250 G</t>
  </si>
  <si>
    <t xml:space="preserve">DINAMITA </t>
  </si>
  <si>
    <t>SALSA CHAPULIN .150 G</t>
  </si>
  <si>
    <t>CARBON</t>
  </si>
  <si>
    <t>RIB EYE CHOICE MADURADO</t>
  </si>
  <si>
    <t>FILETE TILAPIA CAJA</t>
  </si>
  <si>
    <t>PANZA DE RES CAJA</t>
  </si>
  <si>
    <t>NUGGTES</t>
  </si>
  <si>
    <t>PALITOS DE QUESO</t>
  </si>
  <si>
    <t>PAPA RECTA</t>
  </si>
  <si>
    <t>CONTRA EXCEL</t>
  </si>
  <si>
    <t>CAMARON GRANDE</t>
  </si>
  <si>
    <t>CAMARON CHICO</t>
  </si>
  <si>
    <t>PAPA ONDULADA</t>
  </si>
  <si>
    <t>CABRERIA STERLING</t>
  </si>
  <si>
    <t>T-BONE STERLING</t>
  </si>
  <si>
    <t>SHORT RIB STERLING</t>
  </si>
  <si>
    <t>COWBOY STERLING</t>
  </si>
  <si>
    <t>NEW YORK  STERLING</t>
  </si>
  <si>
    <t>TOP SIRLOIN STERLING</t>
  </si>
  <si>
    <t>CAMARON U10</t>
  </si>
  <si>
    <t>CAMARON U21-25</t>
  </si>
  <si>
    <t>CAMARON 16/20</t>
  </si>
  <si>
    <t>CAMARON U-15</t>
  </si>
  <si>
    <t>CAMARON U-12</t>
  </si>
  <si>
    <t>SESOS POR CAJA</t>
  </si>
  <si>
    <t>CONDILLO C/H</t>
  </si>
  <si>
    <t>SIRLON EXECEL RES</t>
  </si>
  <si>
    <t>TOSTADAS HORNEADAS .320 G</t>
  </si>
  <si>
    <t>TOTOPOS PAPAQUI</t>
  </si>
  <si>
    <t>TOTAL TARAS</t>
  </si>
  <si>
    <t>SALSA MACHA CHAPULIN TAMARINDO</t>
  </si>
  <si>
    <t>INVENTARIO 08-ENERO DEL 2023</t>
  </si>
  <si>
    <t>MOLIDA MIXTA</t>
  </si>
  <si>
    <t>CABEZA DE LOMO</t>
  </si>
  <si>
    <t>PECHUGA DE POLLO</t>
  </si>
  <si>
    <t>CHICHARRON PRENSADO</t>
  </si>
  <si>
    <t xml:space="preserve">PICAÑA </t>
  </si>
  <si>
    <t xml:space="preserve">RIB EYE CHOISE </t>
  </si>
  <si>
    <t>BOLA RES</t>
  </si>
  <si>
    <t>PORKY BELLY</t>
  </si>
  <si>
    <t>TOSTADAS PAPAQUI</t>
  </si>
  <si>
    <t>SALSA CACAHUATE C/ MORITA  100 MG</t>
  </si>
  <si>
    <t>SALSA MACHA  CACAHUATE 200 GR</t>
  </si>
  <si>
    <t>SALSA MACHA CHAPULIN 250 G</t>
  </si>
  <si>
    <t xml:space="preserve">TOMAHAW </t>
  </si>
  <si>
    <t>ARRACHERA BESTWL</t>
  </si>
  <si>
    <t>SUADERO</t>
  </si>
  <si>
    <t xml:space="preserve">PESCUEZO </t>
  </si>
  <si>
    <t xml:space="preserve">DESCARNE </t>
  </si>
  <si>
    <t xml:space="preserve">COPETES </t>
  </si>
  <si>
    <t>CUETES</t>
  </si>
  <si>
    <t xml:space="preserve">PLANCHA </t>
  </si>
  <si>
    <t xml:space="preserve">BABY BACK </t>
  </si>
  <si>
    <t xml:space="preserve">CAPOTES </t>
  </si>
  <si>
    <t>COMBO</t>
  </si>
  <si>
    <t xml:space="preserve">GALLINAS </t>
  </si>
  <si>
    <t xml:space="preserve">PIERNA C/C </t>
  </si>
  <si>
    <t xml:space="preserve">VACIADA </t>
  </si>
  <si>
    <t>PERNIL</t>
  </si>
  <si>
    <t xml:space="preserve">RIÑON </t>
  </si>
  <si>
    <t xml:space="preserve">PAVO NATURALES </t>
  </si>
  <si>
    <t xml:space="preserve">PULPA DE ESPALDILLA </t>
  </si>
  <si>
    <t>BRISKET</t>
  </si>
  <si>
    <t>BISTECK DEL 7</t>
  </si>
  <si>
    <t xml:space="preserve">COSTILLA P/ASAR PCO </t>
  </si>
  <si>
    <t xml:space="preserve">PECHO DE RES </t>
  </si>
  <si>
    <t>SALSA  "NO TAN MACHA "</t>
  </si>
  <si>
    <t xml:space="preserve">SAL DE CHAPULIN 70 grs </t>
  </si>
  <si>
    <t xml:space="preserve">CHIMICHURRI " A QUE BUEY"  80 grs </t>
  </si>
  <si>
    <t xml:space="preserve">SALSA GUSANO 250 ml </t>
  </si>
  <si>
    <t xml:space="preserve">SALSA MACHA C/ ACEITE DE OLIVO </t>
  </si>
  <si>
    <t xml:space="preserve">SALSA CHAPULIN 235 grs </t>
  </si>
  <si>
    <t xml:space="preserve">SALSA MACHA CACAHUATE 250 grs </t>
  </si>
  <si>
    <t xml:space="preserve">SALSA CHIMICHURRI 200 grs </t>
  </si>
  <si>
    <t xml:space="preserve">SALSA MANGO Y CHIPOTLE 250 grs </t>
  </si>
  <si>
    <t>SALSA CHAPULIN OAXACA 250 ML</t>
  </si>
  <si>
    <t xml:space="preserve">SAL DE CHAPULIN 80 GRS </t>
  </si>
  <si>
    <t xml:space="preserve">SALSA CHAPULIN 150 ML </t>
  </si>
  <si>
    <t xml:space="preserve">SALSA MACHA C/ TAMARINDO 250 grs </t>
  </si>
  <si>
    <t>SALSA OAXAQUEÑA 150 ml</t>
  </si>
  <si>
    <t>DIEZMILLO C/H</t>
  </si>
  <si>
    <t xml:space="preserve">CUERO PAPEL </t>
  </si>
  <si>
    <t xml:space="preserve">PAVO AHUMADO </t>
  </si>
  <si>
    <t xml:space="preserve">ARRACHERA XO </t>
  </si>
  <si>
    <t>DIEZMILLO S/H</t>
  </si>
  <si>
    <t xml:space="preserve">DEGOLLADERO </t>
  </si>
  <si>
    <t xml:space="preserve">EMPUJE </t>
  </si>
  <si>
    <t xml:space="preserve">POLLO AHUMADO </t>
  </si>
  <si>
    <t xml:space="preserve">PECHO PCO </t>
  </si>
  <si>
    <t xml:space="preserve">CHULETON </t>
  </si>
  <si>
    <t xml:space="preserve">GRASA DE RES </t>
  </si>
  <si>
    <t xml:space="preserve">MIXIOTE CARNERO </t>
  </si>
  <si>
    <t xml:space="preserve">NEW YORK PRIME </t>
  </si>
  <si>
    <t>TOMAHOUK ANGUS PREMIER</t>
  </si>
  <si>
    <t xml:space="preserve">CABRERIA VISA DEL NORTE </t>
  </si>
  <si>
    <t xml:space="preserve">MADUROS NACIONALES </t>
  </si>
  <si>
    <t xml:space="preserve">CUNA DE QUESOS </t>
  </si>
  <si>
    <t>TAVERNETTA CULATELLO</t>
  </si>
  <si>
    <t xml:space="preserve">SALCHICHA P/ASAR </t>
  </si>
  <si>
    <t xml:space="preserve">QUESO ARTESANAL </t>
  </si>
  <si>
    <t>BOTANERO  DON PÁNFILO</t>
  </si>
  <si>
    <t xml:space="preserve">QUESO RICARDI PANFILO </t>
  </si>
  <si>
    <t>BOURSIN CEBOLLIN DON PÁNFILO</t>
  </si>
  <si>
    <t>ARROZ C/ LECHE DON PÁNFILO</t>
  </si>
  <si>
    <t xml:space="preserve">MANCHEGO COMQUE </t>
  </si>
  <si>
    <t xml:space="preserve">GLORIA VERDE </t>
  </si>
  <si>
    <t xml:space="preserve">GLORIA PLATA </t>
  </si>
  <si>
    <t xml:space="preserve">GLORIA AMARILLA </t>
  </si>
  <si>
    <t>JAMON PECHUGA DE PAVO "EL PATRON"</t>
  </si>
  <si>
    <t>JAMON DE PAVO "FUD"</t>
  </si>
  <si>
    <t>QUESO DE PUERCO "FUD"</t>
  </si>
  <si>
    <t>CHORIZO PAMPLONA OBERTAL</t>
  </si>
  <si>
    <t>SALAMI "EL PATRON"</t>
  </si>
  <si>
    <t>PEPPERONI "EL PATRON"</t>
  </si>
  <si>
    <t xml:space="preserve">CHORIZO SALAMANCA OBERTAL </t>
  </si>
  <si>
    <t xml:space="preserve">SALCHICHA PAVO FUD </t>
  </si>
  <si>
    <t>QUESO CASTELL CAJA</t>
  </si>
  <si>
    <t xml:space="preserve">MANCHEGO COMQUE SERRANO ACEITUNA </t>
  </si>
  <si>
    <t>MANCHEGO COMQUE PISTACHE</t>
  </si>
  <si>
    <t xml:space="preserve">MANCHEGO COMQUE NUEZ HABANERO </t>
  </si>
  <si>
    <t xml:space="preserve">MANCHEGO COMQUE SERRANO HABANERO </t>
  </si>
  <si>
    <t xml:space="preserve">MANCHEGO COMQUE ARANDANO NUEZ </t>
  </si>
  <si>
    <t xml:space="preserve">MANCHEGO COMQUE SERRANO NUEZ </t>
  </si>
  <si>
    <t>CREMA ALPURA light</t>
  </si>
  <si>
    <t>MAIZ POZOLERO "LA POBLANA"</t>
  </si>
  <si>
    <t xml:space="preserve">QUESO CASTELL PZA </t>
  </si>
  <si>
    <t xml:space="preserve">MOLE ROJO </t>
  </si>
  <si>
    <t>MOLE "EL COLORADITO"</t>
  </si>
  <si>
    <t>CHORIZO ITALIANO OBERTAL</t>
  </si>
  <si>
    <t>JAMON PECHUGA "SAN RAFAEL"</t>
  </si>
  <si>
    <t xml:space="preserve">SALCHICHA C/MEJORANA </t>
  </si>
  <si>
    <t>JAMON VIRGINIA FUD</t>
  </si>
  <si>
    <r>
      <t xml:space="preserve">SUCURSAL </t>
    </r>
    <r>
      <rPr>
        <sz val="24"/>
        <color theme="1"/>
        <rFont val="Times New Roman"/>
        <family val="1"/>
      </rPr>
      <t>"ZAVALETA"</t>
    </r>
  </si>
  <si>
    <t>INVENTARIO 29-ENERO DEL 2023</t>
  </si>
  <si>
    <t xml:space="preserve">JAMON CAPISTRANO PIERNA </t>
  </si>
  <si>
    <t xml:space="preserve">SHORT RIBS STERLING </t>
  </si>
  <si>
    <t xml:space="preserve">TRIPAS </t>
  </si>
  <si>
    <t xml:space="preserve">MADUROS CHOICE </t>
  </si>
  <si>
    <t xml:space="preserve">CREMA ALPURA AZUL </t>
  </si>
  <si>
    <t xml:space="preserve">MORCILLA OBERTAL </t>
  </si>
  <si>
    <t xml:space="preserve">CHORIZO ESPAÑOL OBERTAL </t>
  </si>
  <si>
    <t>CHORIZO RANCHERO "OBERTAL"</t>
  </si>
  <si>
    <t>SALCHICHA DE PAVO "OBERTAL"</t>
  </si>
  <si>
    <t xml:space="preserve">TAPAS REDONDAS IGLESIAS </t>
  </si>
  <si>
    <t>ROAST BEFF "GOURMETZ"</t>
  </si>
  <si>
    <t>JAMON HOLANDES "EL PATRON"</t>
  </si>
  <si>
    <t xml:space="preserve">MANCHEGO CURADO </t>
  </si>
  <si>
    <t>QUESO IDIAZABAL</t>
  </si>
  <si>
    <t xml:space="preserve">LOMO EMBUCHADO  "FRITZ" </t>
  </si>
  <si>
    <t>SALCHICHA SCHUBLING</t>
  </si>
  <si>
    <t>JAMÓN URBI MIEL Y MOSTAZA</t>
  </si>
  <si>
    <t xml:space="preserve">PAN ARABE CHICO </t>
  </si>
  <si>
    <t>QUESO BOTANERO CHIPOTLE "PANFILO"</t>
  </si>
  <si>
    <t xml:space="preserve">BOURSINI NATURAL </t>
  </si>
  <si>
    <t xml:space="preserve">CUERO DE PIERNA </t>
  </si>
  <si>
    <t>RANA</t>
  </si>
  <si>
    <t xml:space="preserve">HUESO DE PERICO </t>
  </si>
  <si>
    <t xml:space="preserve">NEW YORK </t>
  </si>
  <si>
    <t xml:space="preserve">RIB EYE </t>
  </si>
  <si>
    <t>CHUCK ROLL</t>
  </si>
  <si>
    <t>ARRACHERA TEXANA BEST</t>
  </si>
  <si>
    <t>CHAMABARTE CHOICE</t>
  </si>
  <si>
    <t>RIB EYE STERLING</t>
  </si>
  <si>
    <t xml:space="preserve">COSTILLA CARGADA DE RES </t>
  </si>
  <si>
    <t xml:space="preserve">HUESO DE RES </t>
  </si>
  <si>
    <t xml:space="preserve">GALLINAS NACIONAL </t>
  </si>
  <si>
    <t xml:space="preserve">RIB EYE CHOICE </t>
  </si>
  <si>
    <t xml:space="preserve">CABRERIA NACIONAL </t>
  </si>
  <si>
    <t xml:space="preserve">BOLA EXCEL </t>
  </si>
  <si>
    <t>CONTRA NACIONAL</t>
  </si>
  <si>
    <t xml:space="preserve">SIRLON NACIONAL </t>
  </si>
  <si>
    <t xml:space="preserve">JAMON C/H </t>
  </si>
  <si>
    <t>VACIOS</t>
  </si>
  <si>
    <t>CORTES NACIONAL</t>
  </si>
  <si>
    <t>SALSA MACHA 200 grs</t>
  </si>
  <si>
    <t>SALSA MACHA ARANDANOS 200grs</t>
  </si>
  <si>
    <t>MILANEzA DE POLLO</t>
  </si>
  <si>
    <t>SALSA MACHA C/CAHUATE C/ MORITA 200grs</t>
  </si>
  <si>
    <t xml:space="preserve">SALSA GUSANO DE MAGUEY 150 grs </t>
  </si>
  <si>
    <t>SALSA CACAHUATE 100grs</t>
  </si>
  <si>
    <t xml:space="preserve">SALSA  "NO TAN MACHA " 100 grs </t>
  </si>
  <si>
    <t xml:space="preserve">SALSA MACHA MACHA CHAPULIN 235grs </t>
  </si>
  <si>
    <t xml:space="preserve">SALSA DE CHAPULIN GOURMET 250 grs </t>
  </si>
  <si>
    <t>SALSA GUSANO .150 grs</t>
  </si>
  <si>
    <t>SAL MACHA CHAPULIN 250 GRS</t>
  </si>
  <si>
    <t>ARRACHERA natural</t>
  </si>
  <si>
    <t>ALITAS HABANERO/TAMARINDO y adobadas</t>
  </si>
  <si>
    <t>SALCHICHA C/MEJORANA pza</t>
  </si>
  <si>
    <t>QUESO PHILADELPHIA pza</t>
  </si>
  <si>
    <t>CHISTORRA GOURMETZ  pza</t>
  </si>
  <si>
    <t>QUESO GRANA PADANO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</si>
</sst>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2222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name val="Calibri Light"/>
      <family val="2"/>
      <scheme val="maj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Times New Roman"/>
      <family val="1"/>
    </font>
    <font>
      <sz val="24"/>
      <color theme="1"/>
      <name val="Times New Roman"/>
      <family val="1"/>
    </font>
    <font>
      <sz val="28"/>
      <color theme="1"/>
      <name val="Times New Roman"/>
      <family val="1"/>
    </font>
    <font>
      <sz val="16"/>
      <color rgb="FFFF0000"/>
      <name val="Times New Roman"/>
      <family val="1"/>
    </font>
    <font>
      <sz val="12"/>
      <color theme="1"/>
      <name val="Calibri Light"/>
      <family val="2"/>
      <scheme val="major"/>
    </font>
    <font>
      <sz val="12"/>
      <color theme="1"/>
      <name val="Arial"/>
      <family val="2"/>
    </font>
    <font>
      <b/>
      <sz val="12"/>
      <color theme="4" tint="-0.499984740745262"/>
      <name val="Arial"/>
      <family val="2"/>
    </font>
    <font>
      <sz val="12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 Light"/>
      <family val="2"/>
      <scheme val="major"/>
    </font>
    <font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rgb="FF00B050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rgb="FF002060"/>
      <name val="Arial"/>
      <family val="2"/>
    </font>
    <font>
      <sz val="18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1" applyFont="1"/>
    <xf numFmtId="4" fontId="0" fillId="0" borderId="0" xfId="0" applyNumberFormat="1"/>
    <xf numFmtId="44" fontId="0" fillId="0" borderId="1" xfId="1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 applyAlignment="1">
      <alignment horizontal="right" vertical="center" wrapText="1"/>
    </xf>
    <xf numFmtId="0" fontId="6" fillId="0" borderId="1" xfId="0" applyFont="1" applyBorder="1"/>
    <xf numFmtId="0" fontId="7" fillId="0" borderId="0" xfId="0" applyFont="1"/>
    <xf numFmtId="0" fontId="4" fillId="0" borderId="0" xfId="0" applyFont="1"/>
    <xf numFmtId="0" fontId="9" fillId="0" borderId="1" xfId="0" applyFont="1" applyBorder="1"/>
    <xf numFmtId="4" fontId="8" fillId="0" borderId="1" xfId="0" applyNumberFormat="1" applyFont="1" applyBorder="1"/>
    <xf numFmtId="0" fontId="2" fillId="0" borderId="1" xfId="0" applyFont="1" applyFill="1" applyBorder="1"/>
    <xf numFmtId="0" fontId="6" fillId="0" borderId="1" xfId="0" applyFont="1" applyBorder="1" applyAlignment="1">
      <alignment vertical="center" wrapText="1"/>
    </xf>
    <xf numFmtId="4" fontId="2" fillId="0" borderId="1" xfId="0" applyNumberFormat="1" applyFont="1" applyBorder="1"/>
    <xf numFmtId="44" fontId="2" fillId="0" borderId="1" xfId="1" applyFont="1" applyBorder="1"/>
    <xf numFmtId="4" fontId="2" fillId="0" borderId="2" xfId="0" applyNumberFormat="1" applyFont="1" applyBorder="1"/>
    <xf numFmtId="0" fontId="2" fillId="0" borderId="2" xfId="0" applyFont="1" applyBorder="1"/>
    <xf numFmtId="44" fontId="2" fillId="0" borderId="2" xfId="1" applyFont="1" applyBorder="1"/>
    <xf numFmtId="4" fontId="2" fillId="0" borderId="1" xfId="0" applyNumberFormat="1" applyFont="1" applyFill="1" applyBorder="1"/>
    <xf numFmtId="44" fontId="2" fillId="0" borderId="1" xfId="1" applyFont="1" applyFill="1" applyBorder="1"/>
    <xf numFmtId="0" fontId="0" fillId="0" borderId="0" xfId="0" applyFill="1"/>
    <xf numFmtId="44" fontId="6" fillId="0" borderId="1" xfId="1" applyFont="1" applyBorder="1" applyAlignment="1">
      <alignment vertical="center" wrapText="1"/>
    </xf>
    <xf numFmtId="44" fontId="6" fillId="0" borderId="1" xfId="1" applyFont="1" applyBorder="1"/>
    <xf numFmtId="0" fontId="10" fillId="0" borderId="0" xfId="0" applyFont="1"/>
    <xf numFmtId="0" fontId="11" fillId="0" borderId="1" xfId="0" applyFont="1" applyBorder="1"/>
    <xf numFmtId="4" fontId="11" fillId="0" borderId="1" xfId="0" applyNumberFormat="1" applyFont="1" applyBorder="1"/>
    <xf numFmtId="0" fontId="6" fillId="0" borderId="1" xfId="0" applyFont="1" applyFill="1" applyBorder="1" applyAlignment="1">
      <alignment vertical="center" wrapText="1"/>
    </xf>
    <xf numFmtId="4" fontId="2" fillId="2" borderId="1" xfId="0" applyNumberFormat="1" applyFont="1" applyFill="1" applyBorder="1"/>
    <xf numFmtId="0" fontId="2" fillId="2" borderId="1" xfId="0" applyFont="1" applyFill="1" applyBorder="1"/>
    <xf numFmtId="4" fontId="6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Fill="1" applyBorder="1"/>
    <xf numFmtId="0" fontId="18" fillId="0" borderId="1" xfId="0" applyFont="1" applyFill="1" applyBorder="1"/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/>
    <xf numFmtId="0" fontId="17" fillId="0" borderId="0" xfId="0" applyFont="1" applyFill="1"/>
    <xf numFmtId="0" fontId="20" fillId="0" borderId="1" xfId="0" applyFont="1" applyBorder="1" applyAlignment="1">
      <alignment horizontal="right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5" borderId="1" xfId="0" applyFont="1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3" fillId="7" borderId="1" xfId="0" applyFont="1" applyFill="1" applyBorder="1"/>
    <xf numFmtId="44" fontId="25" fillId="0" borderId="1" xfId="0" applyNumberFormat="1" applyFont="1" applyBorder="1"/>
    <xf numFmtId="4" fontId="2" fillId="8" borderId="1" xfId="0" applyNumberFormat="1" applyFont="1" applyFill="1" applyBorder="1"/>
    <xf numFmtId="0" fontId="2" fillId="8" borderId="1" xfId="0" applyFont="1" applyFill="1" applyBorder="1"/>
    <xf numFmtId="0" fontId="27" fillId="0" borderId="1" xfId="0" applyFont="1" applyFill="1" applyBorder="1"/>
    <xf numFmtId="0" fontId="1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9" borderId="6" xfId="0" applyFont="1" applyFill="1" applyBorder="1" applyAlignment="1">
      <alignment horizontal="center" vertical="center"/>
    </xf>
    <xf numFmtId="0" fontId="26" fillId="9" borderId="7" xfId="0" applyFont="1" applyFill="1" applyBorder="1" applyAlignment="1">
      <alignment horizontal="center" vertical="center"/>
    </xf>
    <xf numFmtId="44" fontId="28" fillId="0" borderId="1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92"/>
  <sheetViews>
    <sheetView zoomScale="85" zoomScaleNormal="85" workbookViewId="0">
      <pane xSplit="1" ySplit="4" topLeftCell="B462" activePane="bottomRight" state="frozen"/>
      <selection pane="topRight" activeCell="B1" sqref="B1"/>
      <selection pane="bottomLeft" activeCell="A3" sqref="A3"/>
      <selection pane="bottomRight" activeCell="B261" sqref="B261"/>
    </sheetView>
  </sheetViews>
  <sheetFormatPr baseColWidth="10" defaultRowHeight="15.75" x14ac:dyDescent="0.25"/>
  <cols>
    <col min="1" max="1" width="10.28515625" style="41" customWidth="1"/>
    <col min="2" max="2" width="56.28515625" style="36" bestFit="1" customWidth="1"/>
    <col min="3" max="3" width="4.140625" style="2" customWidth="1"/>
    <col min="4" max="4" width="3.140625" customWidth="1"/>
    <col min="5" max="5" width="22.5703125" customWidth="1"/>
    <col min="6" max="6" width="18.140625" bestFit="1" customWidth="1"/>
    <col min="7" max="7" width="13.7109375" style="1" customWidth="1"/>
    <col min="8" max="8" width="35.28515625" style="1" customWidth="1"/>
    <col min="9" max="9" width="5.28515625" customWidth="1"/>
  </cols>
  <sheetData>
    <row r="1" spans="1:8" ht="35.25" x14ac:dyDescent="0.5">
      <c r="A1" s="52" t="s">
        <v>16</v>
      </c>
      <c r="B1" s="53"/>
      <c r="C1" s="53"/>
      <c r="D1" s="53"/>
      <c r="E1" s="53"/>
      <c r="F1" s="53"/>
      <c r="G1" s="53"/>
      <c r="H1" s="54"/>
    </row>
    <row r="2" spans="1:8" ht="30.75" x14ac:dyDescent="0.45">
      <c r="A2" s="55" t="s">
        <v>463</v>
      </c>
      <c r="B2" s="56"/>
      <c r="C2" s="57"/>
      <c r="D2" s="57"/>
      <c r="E2" s="56"/>
      <c r="F2" s="56"/>
      <c r="G2" s="56"/>
      <c r="H2" s="58"/>
    </row>
    <row r="3" spans="1:8" ht="20.25" x14ac:dyDescent="0.3">
      <c r="A3" s="49" t="s">
        <v>362</v>
      </c>
      <c r="B3" s="50"/>
      <c r="C3" s="50"/>
      <c r="D3" s="50"/>
      <c r="E3" s="50"/>
      <c r="F3" s="50"/>
      <c r="G3" s="50"/>
      <c r="H3" s="51"/>
    </row>
    <row r="4" spans="1:8" x14ac:dyDescent="0.25">
      <c r="A4" s="37" t="s">
        <v>12</v>
      </c>
      <c r="B4" s="32" t="s">
        <v>0</v>
      </c>
      <c r="C4" s="11" t="s">
        <v>3</v>
      </c>
      <c r="D4" s="10" t="s">
        <v>1</v>
      </c>
      <c r="E4" s="14" t="s">
        <v>8</v>
      </c>
      <c r="F4" s="14" t="s">
        <v>2</v>
      </c>
      <c r="G4" s="3" t="s">
        <v>4</v>
      </c>
      <c r="H4" s="3" t="s">
        <v>9</v>
      </c>
    </row>
    <row r="5" spans="1:8" x14ac:dyDescent="0.25">
      <c r="A5" s="38">
        <v>1</v>
      </c>
      <c r="B5" s="33" t="s">
        <v>6</v>
      </c>
      <c r="C5" s="19"/>
      <c r="D5" s="12"/>
      <c r="E5" s="19"/>
      <c r="F5" s="5"/>
      <c r="G5" s="15"/>
      <c r="H5" s="15">
        <f t="shared" ref="H5:H36" si="0">E5*G5</f>
        <v>0</v>
      </c>
    </row>
    <row r="6" spans="1:8" x14ac:dyDescent="0.25">
      <c r="A6" s="38">
        <v>2</v>
      </c>
      <c r="B6" s="33" t="s">
        <v>17</v>
      </c>
      <c r="C6" s="19"/>
      <c r="D6" s="12"/>
      <c r="E6" s="19">
        <f>12.6</f>
        <v>12.6</v>
      </c>
      <c r="F6" s="5"/>
      <c r="G6" s="15">
        <v>64</v>
      </c>
      <c r="H6" s="15">
        <f t="shared" si="0"/>
        <v>806.4</v>
      </c>
    </row>
    <row r="7" spans="1:8" x14ac:dyDescent="0.25">
      <c r="A7" s="38">
        <v>3</v>
      </c>
      <c r="B7" s="33" t="s">
        <v>18</v>
      </c>
      <c r="C7" s="19"/>
      <c r="D7" s="12"/>
      <c r="E7" s="19">
        <f>2.5</f>
        <v>2.5</v>
      </c>
      <c r="F7" s="5"/>
      <c r="G7" s="15">
        <v>118</v>
      </c>
      <c r="H7" s="15">
        <f t="shared" si="0"/>
        <v>295</v>
      </c>
    </row>
    <row r="8" spans="1:8" x14ac:dyDescent="0.25">
      <c r="A8" s="38">
        <v>4</v>
      </c>
      <c r="B8" s="33" t="s">
        <v>19</v>
      </c>
      <c r="C8" s="19"/>
      <c r="D8" s="12"/>
      <c r="E8" s="19">
        <f>125+2.84+2.66+30.28</f>
        <v>160.78</v>
      </c>
      <c r="F8" s="5"/>
      <c r="G8" s="15">
        <v>180</v>
      </c>
      <c r="H8" s="15">
        <f t="shared" si="0"/>
        <v>28940.400000000001</v>
      </c>
    </row>
    <row r="9" spans="1:8" x14ac:dyDescent="0.25">
      <c r="A9" s="38">
        <v>5</v>
      </c>
      <c r="B9" s="33" t="s">
        <v>5</v>
      </c>
      <c r="C9" s="19"/>
      <c r="D9" s="12"/>
      <c r="E9" s="19">
        <f>8.5</f>
        <v>8.5</v>
      </c>
      <c r="F9" s="5"/>
      <c r="G9" s="15">
        <v>120</v>
      </c>
      <c r="H9" s="15">
        <f t="shared" si="0"/>
        <v>1020</v>
      </c>
    </row>
    <row r="10" spans="1:8" x14ac:dyDescent="0.25">
      <c r="A10" s="38">
        <v>6</v>
      </c>
      <c r="B10" s="33" t="s">
        <v>20</v>
      </c>
      <c r="C10" s="19"/>
      <c r="D10" s="12"/>
      <c r="E10" s="19"/>
      <c r="F10" s="5"/>
      <c r="G10" s="15"/>
      <c r="H10" s="15">
        <f t="shared" si="0"/>
        <v>0</v>
      </c>
    </row>
    <row r="11" spans="1:8" x14ac:dyDescent="0.25">
      <c r="A11" s="38">
        <v>7</v>
      </c>
      <c r="B11" s="33" t="s">
        <v>21</v>
      </c>
      <c r="C11" s="19"/>
      <c r="D11" s="12"/>
      <c r="E11" s="19"/>
      <c r="F11" s="5"/>
      <c r="G11" s="15"/>
      <c r="H11" s="15">
        <f t="shared" si="0"/>
        <v>0</v>
      </c>
    </row>
    <row r="12" spans="1:8" x14ac:dyDescent="0.25">
      <c r="A12" s="38">
        <v>8</v>
      </c>
      <c r="B12" s="33" t="s">
        <v>7</v>
      </c>
      <c r="C12" s="19"/>
      <c r="D12" s="12"/>
      <c r="E12" s="19">
        <f>23.8+26.6+42.3</f>
        <v>92.7</v>
      </c>
      <c r="F12" s="5"/>
      <c r="G12" s="15">
        <v>64</v>
      </c>
      <c r="H12" s="15">
        <f t="shared" si="0"/>
        <v>5932.8</v>
      </c>
    </row>
    <row r="13" spans="1:8" x14ac:dyDescent="0.25">
      <c r="A13" s="38">
        <v>9</v>
      </c>
      <c r="B13" s="33" t="s">
        <v>22</v>
      </c>
      <c r="C13" s="19"/>
      <c r="D13" s="12"/>
      <c r="E13" s="19">
        <f>1.86+15.8+26.2+86.5+10.1+32</f>
        <v>172.46</v>
      </c>
      <c r="F13" s="5"/>
      <c r="G13" s="15">
        <v>130</v>
      </c>
      <c r="H13" s="15">
        <f t="shared" si="0"/>
        <v>22419.8</v>
      </c>
    </row>
    <row r="14" spans="1:8" x14ac:dyDescent="0.25">
      <c r="A14" s="38">
        <v>10</v>
      </c>
      <c r="B14" s="33" t="s">
        <v>23</v>
      </c>
      <c r="C14" s="19"/>
      <c r="D14" s="12"/>
      <c r="E14" s="19"/>
      <c r="F14" s="5"/>
      <c r="G14" s="15"/>
      <c r="H14" s="15">
        <f t="shared" si="0"/>
        <v>0</v>
      </c>
    </row>
    <row r="15" spans="1:8" s="24" customFormat="1" x14ac:dyDescent="0.25">
      <c r="A15" s="38">
        <v>11</v>
      </c>
      <c r="B15" s="33" t="s">
        <v>460</v>
      </c>
      <c r="C15" s="19"/>
      <c r="D15" s="12"/>
      <c r="E15" s="19">
        <f>3</f>
        <v>3</v>
      </c>
      <c r="F15" s="5"/>
      <c r="G15" s="15">
        <v>440</v>
      </c>
      <c r="H15" s="15">
        <f t="shared" si="0"/>
        <v>1320</v>
      </c>
    </row>
    <row r="16" spans="1:8" x14ac:dyDescent="0.25">
      <c r="A16" s="38">
        <v>12</v>
      </c>
      <c r="B16" s="33" t="s">
        <v>25</v>
      </c>
      <c r="C16" s="19"/>
      <c r="D16" s="12"/>
      <c r="E16" s="19"/>
      <c r="F16" s="5"/>
      <c r="G16" s="15"/>
      <c r="H16" s="15">
        <f t="shared" si="0"/>
        <v>0</v>
      </c>
    </row>
    <row r="17" spans="1:8" x14ac:dyDescent="0.25">
      <c r="A17" s="38">
        <v>13</v>
      </c>
      <c r="B17" s="33" t="s">
        <v>26</v>
      </c>
      <c r="C17" s="19"/>
      <c r="D17" s="12"/>
      <c r="E17" s="19">
        <f>8.08+4</f>
        <v>12.08</v>
      </c>
      <c r="F17" s="5"/>
      <c r="G17" s="15">
        <v>62</v>
      </c>
      <c r="H17" s="15">
        <f t="shared" si="0"/>
        <v>748.96</v>
      </c>
    </row>
    <row r="18" spans="1:8" x14ac:dyDescent="0.25">
      <c r="A18" s="38">
        <v>14</v>
      </c>
      <c r="B18" s="34" t="s">
        <v>27</v>
      </c>
      <c r="C18" s="19"/>
      <c r="D18" s="12"/>
      <c r="E18" s="19">
        <f>3.985+3.5</f>
        <v>7.4849999999999994</v>
      </c>
      <c r="F18" s="5"/>
      <c r="G18" s="15">
        <v>98</v>
      </c>
      <c r="H18" s="15">
        <f t="shared" si="0"/>
        <v>733.53</v>
      </c>
    </row>
    <row r="19" spans="1:8" x14ac:dyDescent="0.25">
      <c r="A19" s="38">
        <v>15</v>
      </c>
      <c r="B19" s="34" t="s">
        <v>28</v>
      </c>
      <c r="C19" s="19"/>
      <c r="D19" s="12"/>
      <c r="E19" s="19">
        <f>3.96</f>
        <v>3.96</v>
      </c>
      <c r="F19" s="13"/>
      <c r="G19" s="22">
        <v>133</v>
      </c>
      <c r="H19" s="15">
        <f t="shared" si="0"/>
        <v>526.67999999999995</v>
      </c>
    </row>
    <row r="20" spans="1:8" x14ac:dyDescent="0.25">
      <c r="A20" s="38">
        <v>16</v>
      </c>
      <c r="B20" s="34" t="s">
        <v>441</v>
      </c>
      <c r="C20" s="19"/>
      <c r="D20" s="12"/>
      <c r="E20" s="19">
        <f>3.81</f>
        <v>3.81</v>
      </c>
      <c r="F20" s="5"/>
      <c r="G20" s="15">
        <v>145</v>
      </c>
      <c r="H20" s="15">
        <f t="shared" si="0"/>
        <v>552.45000000000005</v>
      </c>
    </row>
    <row r="21" spans="1:8" x14ac:dyDescent="0.25">
      <c r="A21" s="38">
        <v>17</v>
      </c>
      <c r="B21" s="34" t="s">
        <v>29</v>
      </c>
      <c r="C21" s="19"/>
      <c r="D21" s="12"/>
      <c r="E21" s="19">
        <f>5.6</f>
        <v>5.6</v>
      </c>
      <c r="F21" s="5"/>
      <c r="G21" s="15">
        <v>360</v>
      </c>
      <c r="H21" s="15">
        <f t="shared" si="0"/>
        <v>2015.9999999999998</v>
      </c>
    </row>
    <row r="22" spans="1:8" x14ac:dyDescent="0.25">
      <c r="A22" s="38">
        <v>18</v>
      </c>
      <c r="B22" s="34" t="s">
        <v>30</v>
      </c>
      <c r="C22" s="19"/>
      <c r="D22" s="12"/>
      <c r="E22" s="19">
        <f>1.655</f>
        <v>1.655</v>
      </c>
      <c r="F22" s="5"/>
      <c r="G22" s="15">
        <v>110</v>
      </c>
      <c r="H22" s="15">
        <f t="shared" si="0"/>
        <v>182.05</v>
      </c>
    </row>
    <row r="23" spans="1:8" x14ac:dyDescent="0.25">
      <c r="A23" s="38">
        <v>19</v>
      </c>
      <c r="B23" s="34" t="s">
        <v>31</v>
      </c>
      <c r="C23" s="19"/>
      <c r="D23" s="12"/>
      <c r="E23" s="19"/>
      <c r="F23" s="5"/>
      <c r="G23" s="15"/>
      <c r="H23" s="15">
        <f t="shared" si="0"/>
        <v>0</v>
      </c>
    </row>
    <row r="24" spans="1:8" x14ac:dyDescent="0.25">
      <c r="A24" s="38">
        <v>20</v>
      </c>
      <c r="B24" s="34" t="s">
        <v>461</v>
      </c>
      <c r="C24" s="19"/>
      <c r="D24" s="12"/>
      <c r="E24" s="19">
        <v>4</v>
      </c>
      <c r="F24" s="7"/>
      <c r="G24" s="23">
        <v>175</v>
      </c>
      <c r="H24" s="15">
        <f t="shared" si="0"/>
        <v>700</v>
      </c>
    </row>
    <row r="25" spans="1:8" x14ac:dyDescent="0.25">
      <c r="A25" s="38">
        <v>21</v>
      </c>
      <c r="B25" s="34" t="s">
        <v>32</v>
      </c>
      <c r="C25" s="19"/>
      <c r="D25" s="12"/>
      <c r="E25" s="19">
        <f>4.01+7.43</f>
        <v>11.44</v>
      </c>
      <c r="F25" s="5"/>
      <c r="G25" s="15"/>
      <c r="H25" s="15">
        <f t="shared" si="0"/>
        <v>0</v>
      </c>
    </row>
    <row r="26" spans="1:8" x14ac:dyDescent="0.25">
      <c r="A26" s="38">
        <v>22</v>
      </c>
      <c r="B26" s="34" t="s">
        <v>33</v>
      </c>
      <c r="C26" s="19"/>
      <c r="D26" s="12"/>
      <c r="E26" s="19">
        <f>1.2</f>
        <v>1.2</v>
      </c>
      <c r="F26" s="5"/>
      <c r="G26" s="15">
        <f>440</f>
        <v>440</v>
      </c>
      <c r="H26" s="15">
        <f t="shared" si="0"/>
        <v>528</v>
      </c>
    </row>
    <row r="27" spans="1:8" x14ac:dyDescent="0.25">
      <c r="A27" s="38">
        <v>23</v>
      </c>
      <c r="B27" s="34" t="s">
        <v>34</v>
      </c>
      <c r="C27" s="19"/>
      <c r="D27" s="12"/>
      <c r="E27" s="19">
        <f>3.2</f>
        <v>3.2</v>
      </c>
      <c r="F27" s="5"/>
      <c r="G27" s="15">
        <v>96</v>
      </c>
      <c r="H27" s="15">
        <f t="shared" si="0"/>
        <v>307.20000000000005</v>
      </c>
    </row>
    <row r="28" spans="1:8" x14ac:dyDescent="0.25">
      <c r="A28" s="38">
        <v>24</v>
      </c>
      <c r="B28" s="34" t="s">
        <v>35</v>
      </c>
      <c r="C28" s="19"/>
      <c r="D28" s="12"/>
      <c r="E28" s="19"/>
      <c r="F28" s="5"/>
      <c r="G28" s="15"/>
      <c r="H28" s="15">
        <f t="shared" si="0"/>
        <v>0</v>
      </c>
    </row>
    <row r="29" spans="1:8" x14ac:dyDescent="0.25">
      <c r="A29" s="38">
        <v>25</v>
      </c>
      <c r="B29" s="33" t="s">
        <v>462</v>
      </c>
      <c r="C29" s="19"/>
      <c r="D29" s="12"/>
      <c r="E29" s="19">
        <v>3.3919999999999999</v>
      </c>
      <c r="F29" s="5"/>
      <c r="G29" s="15">
        <v>135</v>
      </c>
      <c r="H29" s="15">
        <f t="shared" si="0"/>
        <v>457.91999999999996</v>
      </c>
    </row>
    <row r="30" spans="1:8" x14ac:dyDescent="0.25">
      <c r="A30" s="38">
        <v>26</v>
      </c>
      <c r="B30" s="33" t="s">
        <v>36</v>
      </c>
      <c r="C30" s="19"/>
      <c r="D30" s="12"/>
      <c r="E30" s="19"/>
      <c r="F30" s="5"/>
      <c r="G30" s="15"/>
      <c r="H30" s="15">
        <f t="shared" si="0"/>
        <v>0</v>
      </c>
    </row>
    <row r="31" spans="1:8" x14ac:dyDescent="0.25">
      <c r="A31" s="38">
        <v>27</v>
      </c>
      <c r="B31" s="33" t="s">
        <v>37</v>
      </c>
      <c r="C31" s="19"/>
      <c r="D31" s="12"/>
      <c r="E31" s="19"/>
      <c r="F31" s="5"/>
      <c r="G31" s="15"/>
      <c r="H31" s="15">
        <f t="shared" si="0"/>
        <v>0</v>
      </c>
    </row>
    <row r="32" spans="1:8" x14ac:dyDescent="0.25">
      <c r="A32" s="38">
        <v>28</v>
      </c>
      <c r="B32" s="33" t="s">
        <v>38</v>
      </c>
      <c r="C32" s="19"/>
      <c r="D32" s="12"/>
      <c r="E32" s="19"/>
      <c r="F32" s="5"/>
      <c r="G32" s="15"/>
      <c r="H32" s="15">
        <f t="shared" si="0"/>
        <v>0</v>
      </c>
    </row>
    <row r="33" spans="1:8" x14ac:dyDescent="0.25">
      <c r="A33" s="38">
        <v>29</v>
      </c>
      <c r="B33" s="33" t="s">
        <v>39</v>
      </c>
      <c r="C33" s="19"/>
      <c r="D33" s="12"/>
      <c r="E33" s="19">
        <f>11.9</f>
        <v>11.9</v>
      </c>
      <c r="F33" s="5"/>
      <c r="G33" s="15">
        <v>128</v>
      </c>
      <c r="H33" s="15">
        <f t="shared" si="0"/>
        <v>1523.2</v>
      </c>
    </row>
    <row r="34" spans="1:8" x14ac:dyDescent="0.25">
      <c r="A34" s="38">
        <v>30</v>
      </c>
      <c r="B34" s="33" t="s">
        <v>15</v>
      </c>
      <c r="C34" s="19"/>
      <c r="D34" s="12"/>
      <c r="E34" s="19">
        <f>2.652</f>
        <v>2.6520000000000001</v>
      </c>
      <c r="F34" s="5"/>
      <c r="G34" s="15">
        <v>120</v>
      </c>
      <c r="H34" s="15">
        <f t="shared" si="0"/>
        <v>318.24</v>
      </c>
    </row>
    <row r="35" spans="1:8" x14ac:dyDescent="0.25">
      <c r="A35" s="38">
        <v>31</v>
      </c>
      <c r="B35" s="33" t="s">
        <v>40</v>
      </c>
      <c r="C35" s="19"/>
      <c r="D35" s="12"/>
      <c r="E35" s="19">
        <f>15.45+44.4+46.5+8.355</f>
        <v>114.705</v>
      </c>
      <c r="F35" s="5"/>
      <c r="G35" s="15">
        <v>100</v>
      </c>
      <c r="H35" s="15">
        <f t="shared" si="0"/>
        <v>11470.5</v>
      </c>
    </row>
    <row r="36" spans="1:8" x14ac:dyDescent="0.25">
      <c r="A36" s="38">
        <v>32</v>
      </c>
      <c r="B36" s="33" t="s">
        <v>41</v>
      </c>
      <c r="C36" s="19"/>
      <c r="D36" s="12"/>
      <c r="E36" s="19">
        <f>3.3+5.66</f>
        <v>8.9600000000000009</v>
      </c>
      <c r="F36" s="5"/>
      <c r="G36" s="15">
        <v>120</v>
      </c>
      <c r="H36" s="15">
        <f t="shared" si="0"/>
        <v>1075.2</v>
      </c>
    </row>
    <row r="37" spans="1:8" x14ac:dyDescent="0.25">
      <c r="A37" s="38">
        <v>33</v>
      </c>
      <c r="B37" s="33" t="s">
        <v>42</v>
      </c>
      <c r="C37" s="19"/>
      <c r="D37" s="12"/>
      <c r="E37" s="19"/>
      <c r="F37" s="5"/>
      <c r="G37" s="15"/>
      <c r="H37" s="15">
        <f t="shared" ref="H37:H68" si="1">E37*G37</f>
        <v>0</v>
      </c>
    </row>
    <row r="38" spans="1:8" x14ac:dyDescent="0.25">
      <c r="A38" s="38">
        <v>34</v>
      </c>
      <c r="B38" s="34" t="s">
        <v>43</v>
      </c>
      <c r="C38" s="27"/>
      <c r="D38" s="27"/>
      <c r="E38" s="19"/>
      <c r="F38" s="13"/>
      <c r="G38" s="22"/>
      <c r="H38" s="15">
        <f t="shared" si="1"/>
        <v>0</v>
      </c>
    </row>
    <row r="39" spans="1:8" x14ac:dyDescent="0.25">
      <c r="A39" s="38">
        <v>35</v>
      </c>
      <c r="B39" s="33" t="s">
        <v>44</v>
      </c>
      <c r="C39" s="19"/>
      <c r="D39" s="12"/>
      <c r="E39" s="19">
        <f>3.405</f>
        <v>3.4049999999999998</v>
      </c>
      <c r="F39" s="5"/>
      <c r="G39" s="15">
        <v>105</v>
      </c>
      <c r="H39" s="15">
        <f t="shared" si="1"/>
        <v>357.52499999999998</v>
      </c>
    </row>
    <row r="40" spans="1:8" s="9" customFormat="1" x14ac:dyDescent="0.25">
      <c r="A40" s="38">
        <v>36</v>
      </c>
      <c r="B40" s="33" t="s">
        <v>45</v>
      </c>
      <c r="C40" s="19"/>
      <c r="D40" s="12"/>
      <c r="E40" s="19"/>
      <c r="F40" s="5"/>
      <c r="G40" s="15"/>
      <c r="H40" s="15">
        <f t="shared" si="1"/>
        <v>0</v>
      </c>
    </row>
    <row r="41" spans="1:8" x14ac:dyDescent="0.25">
      <c r="A41" s="38">
        <v>37</v>
      </c>
      <c r="B41" s="33" t="s">
        <v>46</v>
      </c>
      <c r="C41" s="19"/>
      <c r="D41" s="12"/>
      <c r="E41" s="19">
        <f>4.096+4.6+10.035+10.66</f>
        <v>29.391000000000002</v>
      </c>
      <c r="F41" s="5"/>
      <c r="G41" s="15">
        <v>220</v>
      </c>
      <c r="H41" s="15">
        <f t="shared" si="1"/>
        <v>6466.02</v>
      </c>
    </row>
    <row r="42" spans="1:8" x14ac:dyDescent="0.25">
      <c r="A42" s="38">
        <v>38</v>
      </c>
      <c r="B42" s="33" t="s">
        <v>47</v>
      </c>
      <c r="C42" s="19"/>
      <c r="D42" s="12"/>
      <c r="E42" s="19"/>
      <c r="F42" s="5"/>
      <c r="G42" s="15"/>
      <c r="H42" s="15">
        <f t="shared" si="1"/>
        <v>0</v>
      </c>
    </row>
    <row r="43" spans="1:8" x14ac:dyDescent="0.25">
      <c r="A43" s="38">
        <v>39</v>
      </c>
      <c r="B43" s="33" t="s">
        <v>48</v>
      </c>
      <c r="C43" s="19"/>
      <c r="D43" s="12"/>
      <c r="E43" s="19"/>
      <c r="F43" s="5"/>
      <c r="G43" s="15"/>
      <c r="H43" s="15">
        <f t="shared" si="1"/>
        <v>0</v>
      </c>
    </row>
    <row r="44" spans="1:8" x14ac:dyDescent="0.25">
      <c r="A44" s="38">
        <v>40</v>
      </c>
      <c r="B44" s="33" t="s">
        <v>49</v>
      </c>
      <c r="C44" s="19"/>
      <c r="D44" s="12"/>
      <c r="E44" s="19"/>
      <c r="F44" s="5"/>
      <c r="G44" s="15"/>
      <c r="H44" s="15">
        <f t="shared" si="1"/>
        <v>0</v>
      </c>
    </row>
    <row r="45" spans="1:8" x14ac:dyDescent="0.25">
      <c r="A45" s="38">
        <v>41</v>
      </c>
      <c r="B45" s="33" t="s">
        <v>311</v>
      </c>
      <c r="C45" s="19"/>
      <c r="D45" s="12"/>
      <c r="E45" s="19">
        <f>3.095</f>
        <v>3.0950000000000002</v>
      </c>
      <c r="F45" s="5"/>
      <c r="G45" s="15">
        <v>55</v>
      </c>
      <c r="H45" s="15">
        <f t="shared" si="1"/>
        <v>170.22500000000002</v>
      </c>
    </row>
    <row r="46" spans="1:8" x14ac:dyDescent="0.25">
      <c r="A46" s="38">
        <v>42</v>
      </c>
      <c r="B46" s="33" t="s">
        <v>50</v>
      </c>
      <c r="C46" s="19"/>
      <c r="D46" s="12"/>
      <c r="E46" s="19">
        <f>2.1</f>
        <v>2.1</v>
      </c>
      <c r="F46" s="5"/>
      <c r="G46" s="15">
        <v>55</v>
      </c>
      <c r="H46" s="15">
        <f t="shared" si="1"/>
        <v>115.5</v>
      </c>
    </row>
    <row r="47" spans="1:8" x14ac:dyDescent="0.25">
      <c r="A47" s="38">
        <v>43</v>
      </c>
      <c r="B47" s="33" t="s">
        <v>51</v>
      </c>
      <c r="C47" s="19"/>
      <c r="D47" s="12"/>
      <c r="E47" s="19">
        <f>10.88</f>
        <v>10.88</v>
      </c>
      <c r="F47" s="5"/>
      <c r="G47" s="15">
        <v>80</v>
      </c>
      <c r="H47" s="15">
        <f t="shared" si="1"/>
        <v>870.40000000000009</v>
      </c>
    </row>
    <row r="48" spans="1:8" x14ac:dyDescent="0.25">
      <c r="A48" s="38">
        <v>44</v>
      </c>
      <c r="B48" s="33" t="s">
        <v>52</v>
      </c>
      <c r="C48" s="19"/>
      <c r="D48" s="12"/>
      <c r="E48" s="19">
        <f>3.095</f>
        <v>3.0950000000000002</v>
      </c>
      <c r="F48" s="5"/>
      <c r="G48" s="15">
        <v>90</v>
      </c>
      <c r="H48" s="15">
        <f t="shared" si="1"/>
        <v>278.55</v>
      </c>
    </row>
    <row r="49" spans="1:8" x14ac:dyDescent="0.25">
      <c r="A49" s="38">
        <v>45</v>
      </c>
      <c r="B49" s="33" t="s">
        <v>53</v>
      </c>
      <c r="C49" s="19"/>
      <c r="D49" s="12"/>
      <c r="E49" s="19">
        <f>13.3+1.65+3.41+3.495+4.2</f>
        <v>26.055</v>
      </c>
      <c r="F49" s="5"/>
      <c r="G49" s="15">
        <v>110</v>
      </c>
      <c r="H49" s="15">
        <f t="shared" si="1"/>
        <v>2866.05</v>
      </c>
    </row>
    <row r="50" spans="1:8" x14ac:dyDescent="0.25">
      <c r="A50" s="38">
        <v>46</v>
      </c>
      <c r="B50" s="33" t="s">
        <v>54</v>
      </c>
      <c r="C50" s="19"/>
      <c r="D50" s="12"/>
      <c r="E50" s="19"/>
      <c r="F50" s="5"/>
      <c r="G50" s="15"/>
      <c r="H50" s="15">
        <f t="shared" si="1"/>
        <v>0</v>
      </c>
    </row>
    <row r="51" spans="1:8" x14ac:dyDescent="0.25">
      <c r="A51" s="38">
        <v>47</v>
      </c>
      <c r="B51" s="33" t="s">
        <v>55</v>
      </c>
      <c r="C51" s="19"/>
      <c r="D51" s="12"/>
      <c r="E51" s="19"/>
      <c r="F51" s="5"/>
      <c r="G51" s="15"/>
      <c r="H51" s="15">
        <f t="shared" si="1"/>
        <v>0</v>
      </c>
    </row>
    <row r="52" spans="1:8" x14ac:dyDescent="0.25">
      <c r="A52" s="38">
        <v>48</v>
      </c>
      <c r="B52" s="33" t="s">
        <v>56</v>
      </c>
      <c r="C52" s="19"/>
      <c r="D52" s="12"/>
      <c r="E52" s="19"/>
      <c r="F52" s="5"/>
      <c r="G52" s="15"/>
      <c r="H52" s="15">
        <f t="shared" si="1"/>
        <v>0</v>
      </c>
    </row>
    <row r="53" spans="1:8" x14ac:dyDescent="0.25">
      <c r="A53" s="38">
        <v>49</v>
      </c>
      <c r="B53" s="33" t="s">
        <v>57</v>
      </c>
      <c r="C53" s="19"/>
      <c r="D53" s="12"/>
      <c r="E53" s="19"/>
      <c r="F53" s="5"/>
      <c r="G53" s="15"/>
      <c r="H53" s="15">
        <f t="shared" si="1"/>
        <v>0</v>
      </c>
    </row>
    <row r="54" spans="1:8" x14ac:dyDescent="0.25">
      <c r="A54" s="38">
        <v>50</v>
      </c>
      <c r="B54" s="33" t="s">
        <v>58</v>
      </c>
      <c r="C54" s="19"/>
      <c r="D54" s="12"/>
      <c r="E54" s="19">
        <f>4.15+2.74</f>
        <v>6.8900000000000006</v>
      </c>
      <c r="F54" s="5"/>
      <c r="G54" s="15">
        <v>128</v>
      </c>
      <c r="H54" s="15">
        <f t="shared" si="1"/>
        <v>881.92000000000007</v>
      </c>
    </row>
    <row r="55" spans="1:8" x14ac:dyDescent="0.25">
      <c r="A55" s="38">
        <v>51</v>
      </c>
      <c r="B55" s="33" t="s">
        <v>59</v>
      </c>
      <c r="C55" s="19"/>
      <c r="D55" s="12"/>
      <c r="E55" s="19"/>
      <c r="F55" s="5"/>
      <c r="G55" s="15"/>
      <c r="H55" s="15">
        <f t="shared" si="1"/>
        <v>0</v>
      </c>
    </row>
    <row r="56" spans="1:8" x14ac:dyDescent="0.25">
      <c r="A56" s="38">
        <v>52</v>
      </c>
      <c r="B56" s="33" t="s">
        <v>60</v>
      </c>
      <c r="C56" s="19"/>
      <c r="D56" s="12"/>
      <c r="E56" s="19"/>
      <c r="F56" s="5"/>
      <c r="G56" s="15"/>
      <c r="H56" s="15">
        <f t="shared" si="1"/>
        <v>0</v>
      </c>
    </row>
    <row r="57" spans="1:8" x14ac:dyDescent="0.25">
      <c r="A57" s="38">
        <v>53</v>
      </c>
      <c r="B57" s="33" t="s">
        <v>61</v>
      </c>
      <c r="C57" s="19"/>
      <c r="D57" s="12"/>
      <c r="E57" s="19"/>
      <c r="F57" s="5"/>
      <c r="G57" s="15"/>
      <c r="H57" s="15">
        <f t="shared" si="1"/>
        <v>0</v>
      </c>
    </row>
    <row r="58" spans="1:8" x14ac:dyDescent="0.25">
      <c r="A58" s="38">
        <v>54</v>
      </c>
      <c r="B58" s="33" t="s">
        <v>62</v>
      </c>
      <c r="C58" s="19"/>
      <c r="D58" s="12"/>
      <c r="E58" s="19">
        <f>7+3.11</f>
        <v>10.11</v>
      </c>
      <c r="F58" s="5"/>
      <c r="G58" s="15">
        <v>630</v>
      </c>
      <c r="H58" s="15">
        <f t="shared" si="1"/>
        <v>6369.2999999999993</v>
      </c>
    </row>
    <row r="59" spans="1:8" x14ac:dyDescent="0.25">
      <c r="A59" s="38">
        <v>55</v>
      </c>
      <c r="B59" s="33" t="s">
        <v>63</v>
      </c>
      <c r="C59" s="19"/>
      <c r="D59" s="12"/>
      <c r="E59" s="19">
        <f>24+64</f>
        <v>88</v>
      </c>
      <c r="F59" s="5"/>
      <c r="G59" s="15">
        <v>40</v>
      </c>
      <c r="H59" s="15">
        <f t="shared" si="1"/>
        <v>3520</v>
      </c>
    </row>
    <row r="60" spans="1:8" x14ac:dyDescent="0.25">
      <c r="A60" s="38">
        <v>56</v>
      </c>
      <c r="B60" s="33" t="s">
        <v>64</v>
      </c>
      <c r="C60" s="19"/>
      <c r="D60" s="12"/>
      <c r="E60" s="19"/>
      <c r="F60" s="5"/>
      <c r="G60" s="15"/>
      <c r="H60" s="15">
        <f t="shared" si="1"/>
        <v>0</v>
      </c>
    </row>
    <row r="61" spans="1:8" x14ac:dyDescent="0.25">
      <c r="A61" s="38">
        <v>57</v>
      </c>
      <c r="B61" s="33" t="s">
        <v>65</v>
      </c>
      <c r="C61" s="19"/>
      <c r="D61" s="12"/>
      <c r="E61" s="19"/>
      <c r="F61" s="5"/>
      <c r="G61" s="15"/>
      <c r="H61" s="15">
        <f t="shared" si="1"/>
        <v>0</v>
      </c>
    </row>
    <row r="62" spans="1:8" x14ac:dyDescent="0.25">
      <c r="A62" s="38">
        <v>58</v>
      </c>
      <c r="B62" s="33" t="s">
        <v>66</v>
      </c>
      <c r="C62" s="19"/>
      <c r="D62" s="12"/>
      <c r="E62" s="19">
        <f>11.5</f>
        <v>11.5</v>
      </c>
      <c r="F62" s="5"/>
      <c r="G62" s="15">
        <v>75</v>
      </c>
      <c r="H62" s="15">
        <f t="shared" si="1"/>
        <v>862.5</v>
      </c>
    </row>
    <row r="63" spans="1:8" x14ac:dyDescent="0.25">
      <c r="A63" s="38">
        <v>59</v>
      </c>
      <c r="B63" s="33" t="s">
        <v>67</v>
      </c>
      <c r="C63" s="19"/>
      <c r="D63" s="12"/>
      <c r="E63" s="19"/>
      <c r="F63" s="5"/>
      <c r="G63" s="15"/>
      <c r="H63" s="15">
        <f t="shared" si="1"/>
        <v>0</v>
      </c>
    </row>
    <row r="64" spans="1:8" x14ac:dyDescent="0.25">
      <c r="A64" s="38">
        <v>60</v>
      </c>
      <c r="B64" s="33" t="s">
        <v>68</v>
      </c>
      <c r="C64" s="19"/>
      <c r="D64" s="12"/>
      <c r="E64" s="19">
        <f>6</f>
        <v>6</v>
      </c>
      <c r="F64" s="5"/>
      <c r="G64" s="15">
        <v>28</v>
      </c>
      <c r="H64" s="15">
        <f t="shared" si="1"/>
        <v>168</v>
      </c>
    </row>
    <row r="65" spans="1:8" x14ac:dyDescent="0.25">
      <c r="A65" s="38">
        <v>61</v>
      </c>
      <c r="B65" s="33" t="s">
        <v>312</v>
      </c>
      <c r="C65" s="19"/>
      <c r="D65" s="12"/>
      <c r="E65" s="19">
        <v>4</v>
      </c>
      <c r="F65" s="5"/>
      <c r="G65" s="15">
        <v>55</v>
      </c>
      <c r="H65" s="15">
        <f t="shared" si="1"/>
        <v>220</v>
      </c>
    </row>
    <row r="66" spans="1:8" x14ac:dyDescent="0.25">
      <c r="A66" s="38">
        <v>62</v>
      </c>
      <c r="B66" s="33" t="s">
        <v>447</v>
      </c>
      <c r="C66" s="19"/>
      <c r="D66" s="12"/>
      <c r="E66" s="19">
        <f>7</f>
        <v>7</v>
      </c>
      <c r="F66" s="5"/>
      <c r="G66" s="15">
        <v>115</v>
      </c>
      <c r="H66" s="15">
        <f t="shared" si="1"/>
        <v>805</v>
      </c>
    </row>
    <row r="67" spans="1:8" x14ac:dyDescent="0.25">
      <c r="A67" s="38">
        <v>63</v>
      </c>
      <c r="B67" s="33" t="s">
        <v>458</v>
      </c>
      <c r="C67" s="19"/>
      <c r="D67" s="12"/>
      <c r="E67" s="19">
        <f>1.5</f>
        <v>1.5</v>
      </c>
      <c r="F67" s="5"/>
      <c r="G67" s="15">
        <v>100</v>
      </c>
      <c r="H67" s="15">
        <f t="shared" si="1"/>
        <v>150</v>
      </c>
    </row>
    <row r="68" spans="1:8" x14ac:dyDescent="0.25">
      <c r="A68" s="38">
        <v>64</v>
      </c>
      <c r="B68" s="33" t="s">
        <v>457</v>
      </c>
      <c r="C68" s="19"/>
      <c r="D68" s="12"/>
      <c r="E68" s="19">
        <f>1.5+0.5</f>
        <v>2</v>
      </c>
      <c r="F68" s="5"/>
      <c r="G68" s="15">
        <v>100</v>
      </c>
      <c r="H68" s="15">
        <f t="shared" si="1"/>
        <v>200</v>
      </c>
    </row>
    <row r="69" spans="1:8" s="21" customFormat="1" x14ac:dyDescent="0.25">
      <c r="A69" s="38">
        <v>65</v>
      </c>
      <c r="B69" s="33" t="s">
        <v>71</v>
      </c>
      <c r="C69" s="19"/>
      <c r="D69" s="12"/>
      <c r="E69" s="19"/>
      <c r="F69" s="5"/>
      <c r="G69" s="15"/>
      <c r="H69" s="15">
        <f t="shared" ref="H69:H83" si="2">E69*G69</f>
        <v>0</v>
      </c>
    </row>
    <row r="70" spans="1:8" x14ac:dyDescent="0.25">
      <c r="A70" s="38">
        <v>66</v>
      </c>
      <c r="B70" s="33" t="s">
        <v>72</v>
      </c>
      <c r="C70" s="19"/>
      <c r="D70" s="12"/>
      <c r="E70" s="19"/>
      <c r="F70" s="5"/>
      <c r="G70" s="15"/>
      <c r="H70" s="15">
        <f t="shared" si="2"/>
        <v>0</v>
      </c>
    </row>
    <row r="71" spans="1:8" x14ac:dyDescent="0.25">
      <c r="A71" s="38">
        <v>67</v>
      </c>
      <c r="B71" s="33" t="s">
        <v>73</v>
      </c>
      <c r="C71" s="19"/>
      <c r="D71" s="12"/>
      <c r="E71" s="19"/>
      <c r="F71" s="5"/>
      <c r="G71" s="15"/>
      <c r="H71" s="15">
        <f t="shared" si="2"/>
        <v>0</v>
      </c>
    </row>
    <row r="72" spans="1:8" x14ac:dyDescent="0.25">
      <c r="A72" s="38">
        <v>68</v>
      </c>
      <c r="B72" s="33" t="s">
        <v>74</v>
      </c>
      <c r="C72" s="19"/>
      <c r="D72" s="12"/>
      <c r="E72" s="19"/>
      <c r="F72" s="5"/>
      <c r="G72" s="15"/>
      <c r="H72" s="15">
        <f t="shared" si="2"/>
        <v>0</v>
      </c>
    </row>
    <row r="73" spans="1:8" x14ac:dyDescent="0.25">
      <c r="A73" s="38">
        <v>69</v>
      </c>
      <c r="B73" s="33" t="s">
        <v>75</v>
      </c>
      <c r="C73" s="19"/>
      <c r="D73" s="12"/>
      <c r="E73" s="19"/>
      <c r="F73" s="5"/>
      <c r="G73" s="15"/>
      <c r="H73" s="15">
        <f t="shared" si="2"/>
        <v>0</v>
      </c>
    </row>
    <row r="74" spans="1:8" x14ac:dyDescent="0.25">
      <c r="A74" s="38">
        <v>70</v>
      </c>
      <c r="B74" s="33" t="s">
        <v>76</v>
      </c>
      <c r="C74" s="19"/>
      <c r="D74" s="12"/>
      <c r="E74" s="19">
        <f>0.186</f>
        <v>0.186</v>
      </c>
      <c r="F74" s="5"/>
      <c r="G74" s="15">
        <v>245</v>
      </c>
      <c r="H74" s="15">
        <f t="shared" si="2"/>
        <v>45.57</v>
      </c>
    </row>
    <row r="75" spans="1:8" x14ac:dyDescent="0.25">
      <c r="A75" s="38">
        <v>71</v>
      </c>
      <c r="B75" s="33" t="s">
        <v>78</v>
      </c>
      <c r="C75" s="19"/>
      <c r="D75" s="12"/>
      <c r="E75" s="19">
        <f>1.476+1</f>
        <v>2.476</v>
      </c>
      <c r="F75" s="5"/>
      <c r="G75" s="15">
        <v>85</v>
      </c>
      <c r="H75" s="15">
        <f t="shared" si="2"/>
        <v>210.46</v>
      </c>
    </row>
    <row r="76" spans="1:8" x14ac:dyDescent="0.25">
      <c r="A76" s="38">
        <v>72</v>
      </c>
      <c r="B76" s="33" t="s">
        <v>79</v>
      </c>
      <c r="C76" s="19"/>
      <c r="D76" s="12"/>
      <c r="E76" s="19">
        <f>10</f>
        <v>10</v>
      </c>
      <c r="F76" s="5"/>
      <c r="G76" s="15">
        <v>760</v>
      </c>
      <c r="H76" s="15">
        <f t="shared" si="2"/>
        <v>7600</v>
      </c>
    </row>
    <row r="77" spans="1:8" s="21" customFormat="1" x14ac:dyDescent="0.25">
      <c r="A77" s="38">
        <v>73</v>
      </c>
      <c r="B77" s="33" t="s">
        <v>80</v>
      </c>
      <c r="C77" s="19"/>
      <c r="D77" s="12"/>
      <c r="E77" s="19">
        <f>11.265</f>
        <v>11.265000000000001</v>
      </c>
      <c r="F77" s="5"/>
      <c r="G77" s="15">
        <v>125</v>
      </c>
      <c r="H77" s="15">
        <f t="shared" si="2"/>
        <v>1408.125</v>
      </c>
    </row>
    <row r="78" spans="1:8" x14ac:dyDescent="0.25">
      <c r="A78" s="38">
        <v>74</v>
      </c>
      <c r="B78" s="33" t="s">
        <v>81</v>
      </c>
      <c r="C78" s="19"/>
      <c r="D78" s="12"/>
      <c r="E78" s="19">
        <f>2+10+30</f>
        <v>42</v>
      </c>
      <c r="F78" s="5"/>
      <c r="G78" s="15">
        <v>120</v>
      </c>
      <c r="H78" s="15">
        <f t="shared" si="2"/>
        <v>5040</v>
      </c>
    </row>
    <row r="79" spans="1:8" x14ac:dyDescent="0.25">
      <c r="A79" s="38">
        <v>75</v>
      </c>
      <c r="B79" s="33" t="s">
        <v>82</v>
      </c>
      <c r="C79" s="19"/>
      <c r="D79" s="12"/>
      <c r="E79" s="19">
        <f>6+27+10</f>
        <v>43</v>
      </c>
      <c r="F79" s="5"/>
      <c r="G79" s="15">
        <v>70</v>
      </c>
      <c r="H79" s="15">
        <f t="shared" si="2"/>
        <v>3010</v>
      </c>
    </row>
    <row r="80" spans="1:8" x14ac:dyDescent="0.25">
      <c r="A80" s="38">
        <v>76</v>
      </c>
      <c r="B80" s="33" t="s">
        <v>83</v>
      </c>
      <c r="C80" s="19"/>
      <c r="D80" s="12"/>
      <c r="E80" s="19">
        <f>8+104</f>
        <v>112</v>
      </c>
      <c r="F80" s="5"/>
      <c r="G80" s="15">
        <v>16</v>
      </c>
      <c r="H80" s="15">
        <f t="shared" si="2"/>
        <v>1792</v>
      </c>
    </row>
    <row r="81" spans="1:8" x14ac:dyDescent="0.25">
      <c r="A81" s="38">
        <v>77</v>
      </c>
      <c r="B81" s="33" t="s">
        <v>313</v>
      </c>
      <c r="C81" s="19"/>
      <c r="D81" s="12"/>
      <c r="E81" s="19"/>
      <c r="F81" s="5"/>
      <c r="G81" s="15"/>
      <c r="H81" s="15">
        <f t="shared" si="2"/>
        <v>0</v>
      </c>
    </row>
    <row r="82" spans="1:8" x14ac:dyDescent="0.25">
      <c r="A82" s="38">
        <v>78</v>
      </c>
      <c r="B82" s="33" t="s">
        <v>84</v>
      </c>
      <c r="C82" s="19"/>
      <c r="D82" s="12"/>
      <c r="E82" s="19"/>
      <c r="F82" s="5"/>
      <c r="G82" s="15"/>
      <c r="H82" s="15">
        <f t="shared" si="2"/>
        <v>0</v>
      </c>
    </row>
    <row r="83" spans="1:8" x14ac:dyDescent="0.25">
      <c r="A83" s="38">
        <v>79</v>
      </c>
      <c r="B83" s="33" t="s">
        <v>85</v>
      </c>
      <c r="C83" s="19"/>
      <c r="D83" s="12"/>
      <c r="E83" s="19"/>
      <c r="F83" s="5"/>
      <c r="G83" s="15"/>
      <c r="H83" s="15">
        <f t="shared" si="2"/>
        <v>0</v>
      </c>
    </row>
    <row r="84" spans="1:8" x14ac:dyDescent="0.25">
      <c r="A84" s="38">
        <v>80</v>
      </c>
      <c r="B84" s="33" t="s">
        <v>86</v>
      </c>
      <c r="C84" s="19"/>
      <c r="D84" s="12"/>
      <c r="E84" s="19"/>
      <c r="F84" s="5"/>
      <c r="G84" s="15"/>
      <c r="H84" s="15">
        <f>F84*G84</f>
        <v>0</v>
      </c>
    </row>
    <row r="85" spans="1:8" x14ac:dyDescent="0.25">
      <c r="A85" s="38">
        <v>81</v>
      </c>
      <c r="B85" s="33" t="s">
        <v>87</v>
      </c>
      <c r="C85" s="19"/>
      <c r="D85" s="12"/>
      <c r="E85" s="19">
        <f>25+2</f>
        <v>27</v>
      </c>
      <c r="F85" s="5"/>
      <c r="G85" s="15">
        <v>23</v>
      </c>
      <c r="H85" s="15">
        <f>F85*G85</f>
        <v>0</v>
      </c>
    </row>
    <row r="86" spans="1:8" x14ac:dyDescent="0.25">
      <c r="A86" s="38">
        <v>82</v>
      </c>
      <c r="B86" s="33" t="s">
        <v>88</v>
      </c>
      <c r="C86" s="19"/>
      <c r="D86" s="12"/>
      <c r="E86" s="19"/>
      <c r="F86" s="5"/>
      <c r="G86" s="15"/>
      <c r="H86" s="15">
        <f t="shared" ref="H86:H99" si="3">E86*G86</f>
        <v>0</v>
      </c>
    </row>
    <row r="87" spans="1:8" x14ac:dyDescent="0.25">
      <c r="A87" s="38">
        <v>83</v>
      </c>
      <c r="B87" s="33" t="s">
        <v>89</v>
      </c>
      <c r="C87" s="19"/>
      <c r="D87" s="12"/>
      <c r="E87" s="19"/>
      <c r="F87" s="5"/>
      <c r="G87" s="15"/>
      <c r="H87" s="15">
        <f t="shared" si="3"/>
        <v>0</v>
      </c>
    </row>
    <row r="88" spans="1:8" x14ac:dyDescent="0.25">
      <c r="A88" s="38">
        <v>84</v>
      </c>
      <c r="B88" s="33" t="s">
        <v>90</v>
      </c>
      <c r="C88" s="19"/>
      <c r="D88" s="12"/>
      <c r="E88" s="19"/>
      <c r="F88" s="5"/>
      <c r="G88" s="15"/>
      <c r="H88" s="15">
        <f t="shared" si="3"/>
        <v>0</v>
      </c>
    </row>
    <row r="89" spans="1:8" x14ac:dyDescent="0.25">
      <c r="A89" s="38">
        <v>85</v>
      </c>
      <c r="B89" s="33" t="s">
        <v>91</v>
      </c>
      <c r="C89" s="19"/>
      <c r="D89" s="12"/>
      <c r="E89" s="19">
        <v>1</v>
      </c>
      <c r="F89" s="5"/>
      <c r="G89" s="15">
        <v>111</v>
      </c>
      <c r="H89" s="15">
        <f t="shared" si="3"/>
        <v>111</v>
      </c>
    </row>
    <row r="90" spans="1:8" x14ac:dyDescent="0.25">
      <c r="A90" s="38">
        <v>86</v>
      </c>
      <c r="B90" s="33" t="s">
        <v>92</v>
      </c>
      <c r="C90" s="19"/>
      <c r="D90" s="12"/>
      <c r="E90" s="19"/>
      <c r="F90" s="5"/>
      <c r="G90" s="15"/>
      <c r="H90" s="15">
        <f t="shared" si="3"/>
        <v>0</v>
      </c>
    </row>
    <row r="91" spans="1:8" x14ac:dyDescent="0.25">
      <c r="A91" s="38">
        <v>87</v>
      </c>
      <c r="B91" s="33" t="s">
        <v>93</v>
      </c>
      <c r="C91" s="19"/>
      <c r="D91" s="12"/>
      <c r="E91" s="19">
        <v>2</v>
      </c>
      <c r="F91" s="5"/>
      <c r="G91" s="15">
        <v>206</v>
      </c>
      <c r="H91" s="15">
        <f t="shared" si="3"/>
        <v>412</v>
      </c>
    </row>
    <row r="92" spans="1:8" x14ac:dyDescent="0.25">
      <c r="A92" s="38">
        <v>88</v>
      </c>
      <c r="B92" s="33" t="s">
        <v>94</v>
      </c>
      <c r="C92" s="19"/>
      <c r="D92" s="12"/>
      <c r="E92" s="19"/>
      <c r="F92" s="5"/>
      <c r="G92" s="15"/>
      <c r="H92" s="15">
        <f t="shared" si="3"/>
        <v>0</v>
      </c>
    </row>
    <row r="93" spans="1:8" x14ac:dyDescent="0.25">
      <c r="A93" s="38">
        <v>89</v>
      </c>
      <c r="B93" s="33" t="s">
        <v>95</v>
      </c>
      <c r="C93" s="19"/>
      <c r="D93" s="12"/>
      <c r="E93" s="19"/>
      <c r="F93" s="5"/>
      <c r="G93" s="15"/>
      <c r="H93" s="15">
        <f t="shared" si="3"/>
        <v>0</v>
      </c>
    </row>
    <row r="94" spans="1:8" x14ac:dyDescent="0.25">
      <c r="A94" s="38">
        <v>90</v>
      </c>
      <c r="B94" s="33" t="s">
        <v>96</v>
      </c>
      <c r="C94" s="19"/>
      <c r="D94" s="12"/>
      <c r="E94" s="19"/>
      <c r="F94" s="5"/>
      <c r="G94" s="15"/>
      <c r="H94" s="15">
        <f t="shared" si="3"/>
        <v>0</v>
      </c>
    </row>
    <row r="95" spans="1:8" x14ac:dyDescent="0.25">
      <c r="A95" s="38">
        <v>91</v>
      </c>
      <c r="B95" s="33" t="s">
        <v>17</v>
      </c>
      <c r="C95" s="19"/>
      <c r="D95" s="12"/>
      <c r="E95" s="19"/>
      <c r="F95" s="5"/>
      <c r="G95" s="15"/>
      <c r="H95" s="15">
        <f t="shared" si="3"/>
        <v>0</v>
      </c>
    </row>
    <row r="96" spans="1:8" x14ac:dyDescent="0.25">
      <c r="A96" s="38">
        <v>92</v>
      </c>
      <c r="B96" s="33" t="s">
        <v>45</v>
      </c>
      <c r="C96" s="19"/>
      <c r="D96" s="12"/>
      <c r="E96" s="19">
        <f>2.596+3.4</f>
        <v>5.9960000000000004</v>
      </c>
      <c r="F96" s="5"/>
      <c r="G96" s="15">
        <v>140</v>
      </c>
      <c r="H96" s="15">
        <f t="shared" si="3"/>
        <v>839.44</v>
      </c>
    </row>
    <row r="97" spans="1:8" x14ac:dyDescent="0.25">
      <c r="A97" s="38">
        <v>93</v>
      </c>
      <c r="B97" s="33" t="s">
        <v>97</v>
      </c>
      <c r="C97" s="19"/>
      <c r="D97" s="12"/>
      <c r="E97" s="19">
        <f>1.682+70.25</f>
        <v>71.932000000000002</v>
      </c>
      <c r="F97" s="5"/>
      <c r="G97" s="15">
        <v>115</v>
      </c>
      <c r="H97" s="15">
        <f t="shared" si="3"/>
        <v>8272.18</v>
      </c>
    </row>
    <row r="98" spans="1:8" x14ac:dyDescent="0.25">
      <c r="A98" s="38">
        <v>94</v>
      </c>
      <c r="B98" s="33" t="s">
        <v>98</v>
      </c>
      <c r="C98" s="19"/>
      <c r="D98" s="12"/>
      <c r="E98" s="19"/>
      <c r="F98" s="5"/>
      <c r="G98" s="15"/>
      <c r="H98" s="15">
        <f t="shared" si="3"/>
        <v>0</v>
      </c>
    </row>
    <row r="99" spans="1:8" x14ac:dyDescent="0.25">
      <c r="A99" s="38">
        <v>95</v>
      </c>
      <c r="B99" s="33" t="s">
        <v>99</v>
      </c>
      <c r="C99" s="19"/>
      <c r="D99" s="12"/>
      <c r="E99" s="19"/>
      <c r="F99" s="5"/>
      <c r="G99" s="15"/>
      <c r="H99" s="15">
        <f t="shared" si="3"/>
        <v>0</v>
      </c>
    </row>
    <row r="100" spans="1:8" x14ac:dyDescent="0.25">
      <c r="A100" s="38">
        <v>96</v>
      </c>
      <c r="B100" s="33" t="s">
        <v>100</v>
      </c>
      <c r="C100" s="19"/>
      <c r="D100" s="12"/>
      <c r="E100" s="19">
        <f>20+12.1</f>
        <v>32.1</v>
      </c>
      <c r="F100" s="5"/>
      <c r="G100" s="15">
        <v>240</v>
      </c>
      <c r="H100" s="15">
        <f>F100*G100</f>
        <v>0</v>
      </c>
    </row>
    <row r="101" spans="1:8" x14ac:dyDescent="0.25">
      <c r="A101" s="38">
        <v>97</v>
      </c>
      <c r="B101" s="33" t="s">
        <v>101</v>
      </c>
      <c r="C101" s="19"/>
      <c r="D101" s="12"/>
      <c r="E101" s="19">
        <f>40+30</f>
        <v>70</v>
      </c>
      <c r="F101" s="5"/>
      <c r="G101" s="15">
        <v>55</v>
      </c>
      <c r="H101" s="15">
        <f t="shared" ref="H101:H130" si="4">E101*G101</f>
        <v>3850</v>
      </c>
    </row>
    <row r="102" spans="1:8" x14ac:dyDescent="0.25">
      <c r="A102" s="38">
        <v>98</v>
      </c>
      <c r="B102" s="33" t="s">
        <v>102</v>
      </c>
      <c r="C102" s="19"/>
      <c r="D102" s="12"/>
      <c r="E102" s="19">
        <f>10.3</f>
        <v>10.3</v>
      </c>
      <c r="F102" s="5"/>
      <c r="G102" s="15">
        <v>120</v>
      </c>
      <c r="H102" s="15">
        <f t="shared" si="4"/>
        <v>1236</v>
      </c>
    </row>
    <row r="103" spans="1:8" x14ac:dyDescent="0.25">
      <c r="A103" s="38">
        <v>99</v>
      </c>
      <c r="B103" s="33" t="s">
        <v>103</v>
      </c>
      <c r="C103" s="19"/>
      <c r="D103" s="12"/>
      <c r="E103" s="19">
        <f>60+3</f>
        <v>63</v>
      </c>
      <c r="F103" s="5"/>
      <c r="G103" s="15">
        <v>28</v>
      </c>
      <c r="H103" s="15">
        <f t="shared" si="4"/>
        <v>1764</v>
      </c>
    </row>
    <row r="104" spans="1:8" x14ac:dyDescent="0.25">
      <c r="A104" s="38">
        <v>100</v>
      </c>
      <c r="B104" s="33" t="s">
        <v>104</v>
      </c>
      <c r="C104" s="19"/>
      <c r="D104" s="12"/>
      <c r="E104" s="19"/>
      <c r="F104" s="5"/>
      <c r="G104" s="15"/>
      <c r="H104" s="15">
        <f t="shared" si="4"/>
        <v>0</v>
      </c>
    </row>
    <row r="105" spans="1:8" x14ac:dyDescent="0.25">
      <c r="A105" s="38">
        <v>101</v>
      </c>
      <c r="B105" s="33" t="s">
        <v>105</v>
      </c>
      <c r="C105" s="19"/>
      <c r="D105" s="12"/>
      <c r="E105" s="19"/>
      <c r="F105" s="5"/>
      <c r="G105" s="15"/>
      <c r="H105" s="15">
        <f t="shared" si="4"/>
        <v>0</v>
      </c>
    </row>
    <row r="106" spans="1:8" x14ac:dyDescent="0.25">
      <c r="A106" s="38">
        <v>102</v>
      </c>
      <c r="B106" s="33" t="s">
        <v>106</v>
      </c>
      <c r="C106" s="19"/>
      <c r="D106" s="12"/>
      <c r="E106" s="19"/>
      <c r="F106" s="5"/>
      <c r="G106" s="15"/>
      <c r="H106" s="15">
        <f t="shared" si="4"/>
        <v>0</v>
      </c>
    </row>
    <row r="107" spans="1:8" x14ac:dyDescent="0.25">
      <c r="A107" s="38">
        <v>103</v>
      </c>
      <c r="B107" s="33" t="s">
        <v>107</v>
      </c>
      <c r="C107" s="19"/>
      <c r="D107" s="12"/>
      <c r="E107" s="19"/>
      <c r="F107" s="12"/>
      <c r="G107" s="20"/>
      <c r="H107" s="15">
        <f t="shared" si="4"/>
        <v>0</v>
      </c>
    </row>
    <row r="108" spans="1:8" x14ac:dyDescent="0.25">
      <c r="A108" s="38">
        <v>104</v>
      </c>
      <c r="B108" s="33" t="s">
        <v>108</v>
      </c>
      <c r="C108" s="19"/>
      <c r="D108" s="12"/>
      <c r="E108" s="19"/>
      <c r="F108" s="5"/>
      <c r="G108" s="15"/>
      <c r="H108" s="15">
        <f t="shared" si="4"/>
        <v>0</v>
      </c>
    </row>
    <row r="109" spans="1:8" x14ac:dyDescent="0.25">
      <c r="A109" s="38">
        <v>105</v>
      </c>
      <c r="B109" s="33" t="s">
        <v>109</v>
      </c>
      <c r="C109" s="19"/>
      <c r="D109" s="12"/>
      <c r="E109" s="19"/>
      <c r="F109" s="5"/>
      <c r="G109" s="15"/>
      <c r="H109" s="15">
        <f t="shared" si="4"/>
        <v>0</v>
      </c>
    </row>
    <row r="110" spans="1:8" x14ac:dyDescent="0.25">
      <c r="A110" s="38">
        <v>106</v>
      </c>
      <c r="B110" s="33" t="s">
        <v>110</v>
      </c>
      <c r="C110" s="19"/>
      <c r="D110" s="12"/>
      <c r="E110" s="19"/>
      <c r="F110" s="5"/>
      <c r="G110" s="15"/>
      <c r="H110" s="15">
        <f t="shared" si="4"/>
        <v>0</v>
      </c>
    </row>
    <row r="111" spans="1:8" x14ac:dyDescent="0.25">
      <c r="A111" s="38">
        <v>107</v>
      </c>
      <c r="B111" s="33" t="s">
        <v>459</v>
      </c>
      <c r="C111" s="19"/>
      <c r="D111" s="12"/>
      <c r="E111" s="19">
        <v>3</v>
      </c>
      <c r="F111" s="5"/>
      <c r="G111" s="15">
        <v>98</v>
      </c>
      <c r="H111" s="15">
        <f t="shared" si="4"/>
        <v>294</v>
      </c>
    </row>
    <row r="112" spans="1:8" x14ac:dyDescent="0.25">
      <c r="A112" s="38">
        <v>108</v>
      </c>
      <c r="B112" s="33" t="s">
        <v>112</v>
      </c>
      <c r="C112" s="19"/>
      <c r="D112" s="12"/>
      <c r="E112" s="19"/>
      <c r="F112" s="5"/>
      <c r="G112" s="15"/>
      <c r="H112" s="15">
        <f t="shared" si="4"/>
        <v>0</v>
      </c>
    </row>
    <row r="113" spans="1:8" x14ac:dyDescent="0.25">
      <c r="A113" s="38">
        <v>109</v>
      </c>
      <c r="B113" s="33" t="s">
        <v>111</v>
      </c>
      <c r="C113" s="19"/>
      <c r="D113" s="12"/>
      <c r="E113" s="19">
        <f>2</f>
        <v>2</v>
      </c>
      <c r="F113" s="5"/>
      <c r="G113" s="15">
        <v>97</v>
      </c>
      <c r="H113" s="15">
        <f t="shared" si="4"/>
        <v>194</v>
      </c>
    </row>
    <row r="114" spans="1:8" x14ac:dyDescent="0.25">
      <c r="A114" s="38">
        <v>110</v>
      </c>
      <c r="B114" s="33" t="s">
        <v>113</v>
      </c>
      <c r="C114" s="19"/>
      <c r="D114" s="12"/>
      <c r="E114" s="19">
        <f>8.88</f>
        <v>8.8800000000000008</v>
      </c>
      <c r="F114" s="5"/>
      <c r="G114" s="15">
        <v>95</v>
      </c>
      <c r="H114" s="15">
        <f t="shared" si="4"/>
        <v>843.6</v>
      </c>
    </row>
    <row r="115" spans="1:8" x14ac:dyDescent="0.25">
      <c r="A115" s="38">
        <v>111</v>
      </c>
      <c r="B115" s="33" t="s">
        <v>114</v>
      </c>
      <c r="C115" s="19"/>
      <c r="D115" s="12"/>
      <c r="E115" s="19">
        <f>12.43+15.89</f>
        <v>28.32</v>
      </c>
      <c r="F115" s="5"/>
      <c r="G115" s="15">
        <v>110</v>
      </c>
      <c r="H115" s="15">
        <f t="shared" si="4"/>
        <v>3115.2</v>
      </c>
    </row>
    <row r="116" spans="1:8" x14ac:dyDescent="0.25">
      <c r="A116" s="38">
        <v>112</v>
      </c>
      <c r="B116" s="33" t="s">
        <v>445</v>
      </c>
      <c r="C116" s="19"/>
      <c r="D116" s="12"/>
      <c r="E116" s="19">
        <f>1.495</f>
        <v>1.4950000000000001</v>
      </c>
      <c r="F116" s="5"/>
      <c r="G116" s="15">
        <v>318</v>
      </c>
      <c r="H116" s="15">
        <f t="shared" si="4"/>
        <v>475.41</v>
      </c>
    </row>
    <row r="117" spans="1:8" x14ac:dyDescent="0.25">
      <c r="A117" s="38">
        <v>113</v>
      </c>
      <c r="B117" s="33" t="s">
        <v>115</v>
      </c>
      <c r="C117" s="19"/>
      <c r="D117" s="12"/>
      <c r="E117" s="19">
        <f>4.86</f>
        <v>4.8600000000000003</v>
      </c>
      <c r="F117" s="5"/>
      <c r="G117" s="15">
        <v>595</v>
      </c>
      <c r="H117" s="15">
        <f t="shared" si="4"/>
        <v>2891.7000000000003</v>
      </c>
    </row>
    <row r="118" spans="1:8" x14ac:dyDescent="0.25">
      <c r="A118" s="38">
        <v>114</v>
      </c>
      <c r="B118" s="33" t="s">
        <v>440</v>
      </c>
      <c r="C118" s="19"/>
      <c r="D118" s="12"/>
      <c r="E118" s="19">
        <f>7.8</f>
        <v>7.8</v>
      </c>
      <c r="F118" s="12"/>
      <c r="G118" s="20"/>
      <c r="H118" s="15">
        <f t="shared" si="4"/>
        <v>0</v>
      </c>
    </row>
    <row r="119" spans="1:8" x14ac:dyDescent="0.25">
      <c r="A119" s="38">
        <v>115</v>
      </c>
      <c r="B119" s="33" t="s">
        <v>116</v>
      </c>
      <c r="C119" s="19"/>
      <c r="D119" s="12"/>
      <c r="E119" s="19"/>
      <c r="F119" s="5"/>
      <c r="G119" s="15"/>
      <c r="H119" s="15">
        <f t="shared" si="4"/>
        <v>0</v>
      </c>
    </row>
    <row r="120" spans="1:8" x14ac:dyDescent="0.25">
      <c r="A120" s="38">
        <v>116</v>
      </c>
      <c r="B120" s="33" t="s">
        <v>117</v>
      </c>
      <c r="C120" s="19"/>
      <c r="D120" s="12"/>
      <c r="E120" s="19">
        <v>5.2439999999999998</v>
      </c>
      <c r="F120" s="5"/>
      <c r="G120" s="15">
        <v>290</v>
      </c>
      <c r="H120" s="15">
        <f t="shared" si="4"/>
        <v>1520.76</v>
      </c>
    </row>
    <row r="121" spans="1:8" x14ac:dyDescent="0.25">
      <c r="A121" s="38">
        <v>117</v>
      </c>
      <c r="B121" s="33" t="s">
        <v>118</v>
      </c>
      <c r="C121" s="19"/>
      <c r="D121" s="12"/>
      <c r="E121" s="19">
        <f>1.6+6.115</f>
        <v>7.7149999999999999</v>
      </c>
      <c r="F121" s="5"/>
      <c r="G121" s="15">
        <v>595</v>
      </c>
      <c r="H121" s="15">
        <f t="shared" si="4"/>
        <v>4590.4250000000002</v>
      </c>
    </row>
    <row r="122" spans="1:8" x14ac:dyDescent="0.25">
      <c r="A122" s="38">
        <v>118</v>
      </c>
      <c r="B122" s="33" t="s">
        <v>442</v>
      </c>
      <c r="C122" s="19"/>
      <c r="D122" s="12"/>
      <c r="E122" s="19">
        <f>3.355+0.16</f>
        <v>3.5150000000000001</v>
      </c>
      <c r="F122" s="5"/>
      <c r="G122" s="15">
        <v>318</v>
      </c>
      <c r="H122" s="15">
        <f t="shared" si="4"/>
        <v>1117.77</v>
      </c>
    </row>
    <row r="123" spans="1:8" x14ac:dyDescent="0.25">
      <c r="A123" s="38">
        <v>119</v>
      </c>
      <c r="B123" s="33" t="s">
        <v>119</v>
      </c>
      <c r="C123" s="19"/>
      <c r="D123" s="12"/>
      <c r="E123" s="19">
        <f>1.066</f>
        <v>1.0660000000000001</v>
      </c>
      <c r="F123" s="5"/>
      <c r="G123" s="15">
        <v>470</v>
      </c>
      <c r="H123" s="15">
        <f t="shared" si="4"/>
        <v>501.02000000000004</v>
      </c>
    </row>
    <row r="124" spans="1:8" x14ac:dyDescent="0.25">
      <c r="A124" s="38">
        <v>120</v>
      </c>
      <c r="B124" s="33" t="s">
        <v>120</v>
      </c>
      <c r="C124" s="19"/>
      <c r="D124" s="12"/>
      <c r="E124" s="19">
        <f>1.952</f>
        <v>1.952</v>
      </c>
      <c r="F124" s="5"/>
      <c r="G124" s="15">
        <v>445</v>
      </c>
      <c r="H124" s="15">
        <f t="shared" si="4"/>
        <v>868.64</v>
      </c>
    </row>
    <row r="125" spans="1:8" s="21" customFormat="1" x14ac:dyDescent="0.25">
      <c r="A125" s="38">
        <v>121</v>
      </c>
      <c r="B125" s="33" t="s">
        <v>84</v>
      </c>
      <c r="C125" s="19"/>
      <c r="D125" s="12"/>
      <c r="E125" s="19"/>
      <c r="F125" s="5"/>
      <c r="G125" s="15"/>
      <c r="H125" s="15">
        <f t="shared" si="4"/>
        <v>0</v>
      </c>
    </row>
    <row r="126" spans="1:8" x14ac:dyDescent="0.25">
      <c r="A126" s="38">
        <v>122</v>
      </c>
      <c r="B126" s="33" t="s">
        <v>121</v>
      </c>
      <c r="C126" s="19"/>
      <c r="D126" s="12"/>
      <c r="E126" s="19"/>
      <c r="F126" s="5"/>
      <c r="G126" s="15"/>
      <c r="H126" s="15">
        <f t="shared" si="4"/>
        <v>0</v>
      </c>
    </row>
    <row r="127" spans="1:8" x14ac:dyDescent="0.25">
      <c r="A127" s="38">
        <v>123</v>
      </c>
      <c r="B127" s="33" t="s">
        <v>122</v>
      </c>
      <c r="C127" s="19"/>
      <c r="D127" s="12"/>
      <c r="E127" s="19"/>
      <c r="F127" s="5"/>
      <c r="G127" s="15"/>
      <c r="H127" s="15">
        <f t="shared" si="4"/>
        <v>0</v>
      </c>
    </row>
    <row r="128" spans="1:8" x14ac:dyDescent="0.25">
      <c r="A128" s="38">
        <v>124</v>
      </c>
      <c r="B128" s="33" t="s">
        <v>123</v>
      </c>
      <c r="C128" s="19"/>
      <c r="D128" s="12"/>
      <c r="E128" s="19">
        <f>5</f>
        <v>5</v>
      </c>
      <c r="F128" s="5"/>
      <c r="G128" s="15">
        <v>220</v>
      </c>
      <c r="H128" s="15">
        <f t="shared" si="4"/>
        <v>1100</v>
      </c>
    </row>
    <row r="129" spans="1:10" s="21" customFormat="1" x14ac:dyDescent="0.25">
      <c r="A129" s="38">
        <v>125</v>
      </c>
      <c r="B129" s="33" t="s">
        <v>124</v>
      </c>
      <c r="C129" s="19"/>
      <c r="D129" s="12"/>
      <c r="E129" s="19">
        <f>2</f>
        <v>2</v>
      </c>
      <c r="F129" s="5"/>
      <c r="G129" s="15">
        <v>88</v>
      </c>
      <c r="H129" s="15">
        <f t="shared" si="4"/>
        <v>176</v>
      </c>
    </row>
    <row r="130" spans="1:10" x14ac:dyDescent="0.25">
      <c r="A130" s="38">
        <v>126</v>
      </c>
      <c r="B130" s="33" t="s">
        <v>125</v>
      </c>
      <c r="C130" s="19"/>
      <c r="D130" s="12"/>
      <c r="E130" s="19"/>
      <c r="F130" s="5"/>
      <c r="G130" s="15"/>
      <c r="H130" s="15">
        <f t="shared" si="4"/>
        <v>0</v>
      </c>
      <c r="J130" s="21"/>
    </row>
    <row r="131" spans="1:10" x14ac:dyDescent="0.25">
      <c r="A131" s="38">
        <v>127</v>
      </c>
      <c r="B131" s="33" t="s">
        <v>91</v>
      </c>
      <c r="C131" s="19"/>
      <c r="D131" s="12"/>
      <c r="E131" s="19"/>
      <c r="F131" s="5"/>
      <c r="G131" s="15"/>
      <c r="H131" s="15">
        <f>F131*G131</f>
        <v>0</v>
      </c>
      <c r="J131" s="21"/>
    </row>
    <row r="132" spans="1:10" x14ac:dyDescent="0.25">
      <c r="A132" s="38">
        <v>128</v>
      </c>
      <c r="B132" s="33" t="s">
        <v>126</v>
      </c>
      <c r="C132" s="19"/>
      <c r="D132" s="12"/>
      <c r="E132" s="19"/>
      <c r="F132" s="5"/>
      <c r="G132" s="15"/>
      <c r="H132" s="15">
        <f t="shared" ref="H132:H143" si="5">E132*G132</f>
        <v>0</v>
      </c>
      <c r="J132" s="21"/>
    </row>
    <row r="133" spans="1:10" x14ac:dyDescent="0.25">
      <c r="A133" s="38">
        <v>129</v>
      </c>
      <c r="B133" s="33" t="s">
        <v>127</v>
      </c>
      <c r="C133" s="19"/>
      <c r="D133" s="12"/>
      <c r="E133" s="19">
        <v>3</v>
      </c>
      <c r="F133" s="5"/>
      <c r="G133" s="15">
        <v>247</v>
      </c>
      <c r="H133" s="15">
        <f t="shared" si="5"/>
        <v>741</v>
      </c>
      <c r="J133" s="21"/>
    </row>
    <row r="134" spans="1:10" x14ac:dyDescent="0.25">
      <c r="A134" s="38">
        <v>130</v>
      </c>
      <c r="B134" s="33" t="s">
        <v>128</v>
      </c>
      <c r="C134" s="19"/>
      <c r="D134" s="12"/>
      <c r="E134" s="19">
        <v>3</v>
      </c>
      <c r="F134" s="5"/>
      <c r="G134" s="15">
        <v>190</v>
      </c>
      <c r="H134" s="15">
        <f t="shared" si="5"/>
        <v>570</v>
      </c>
      <c r="J134" s="21"/>
    </row>
    <row r="135" spans="1:10" x14ac:dyDescent="0.25">
      <c r="A135" s="38">
        <v>131</v>
      </c>
      <c r="B135" s="33" t="s">
        <v>129</v>
      </c>
      <c r="C135" s="19"/>
      <c r="D135" s="12"/>
      <c r="E135" s="19">
        <v>2</v>
      </c>
      <c r="F135" s="5"/>
      <c r="G135" s="15">
        <v>206</v>
      </c>
      <c r="H135" s="15">
        <f t="shared" si="5"/>
        <v>412</v>
      </c>
      <c r="J135" s="21"/>
    </row>
    <row r="136" spans="1:10" x14ac:dyDescent="0.25">
      <c r="A136" s="38">
        <v>132</v>
      </c>
      <c r="B136" s="33" t="s">
        <v>130</v>
      </c>
      <c r="C136" s="19"/>
      <c r="D136" s="12"/>
      <c r="E136" s="19">
        <v>1</v>
      </c>
      <c r="F136" s="5"/>
      <c r="G136" s="15">
        <v>187</v>
      </c>
      <c r="H136" s="15">
        <f t="shared" si="5"/>
        <v>187</v>
      </c>
      <c r="J136" s="21"/>
    </row>
    <row r="137" spans="1:10" x14ac:dyDescent="0.25">
      <c r="A137" s="38">
        <v>133</v>
      </c>
      <c r="B137" s="33" t="s">
        <v>131</v>
      </c>
      <c r="C137" s="19"/>
      <c r="D137" s="12"/>
      <c r="E137" s="19"/>
      <c r="F137" s="12"/>
      <c r="G137" s="20"/>
      <c r="H137" s="15">
        <f t="shared" si="5"/>
        <v>0</v>
      </c>
      <c r="J137" s="21"/>
    </row>
    <row r="138" spans="1:10" x14ac:dyDescent="0.25">
      <c r="A138" s="38">
        <v>134</v>
      </c>
      <c r="B138" s="33" t="s">
        <v>132</v>
      </c>
      <c r="C138" s="19"/>
      <c r="D138" s="12"/>
      <c r="E138" s="19"/>
      <c r="F138" s="5"/>
      <c r="G138" s="15"/>
      <c r="H138" s="15">
        <f t="shared" si="5"/>
        <v>0</v>
      </c>
      <c r="J138" s="21"/>
    </row>
    <row r="139" spans="1:10" x14ac:dyDescent="0.25">
      <c r="A139" s="38">
        <v>135</v>
      </c>
      <c r="B139" s="33" t="s">
        <v>133</v>
      </c>
      <c r="C139" s="14"/>
      <c r="D139" s="5"/>
      <c r="E139" s="19">
        <v>1</v>
      </c>
      <c r="F139" s="5"/>
      <c r="G139" s="15">
        <v>298</v>
      </c>
      <c r="H139" s="15">
        <f t="shared" si="5"/>
        <v>298</v>
      </c>
      <c r="J139" s="21"/>
    </row>
    <row r="140" spans="1:10" x14ac:dyDescent="0.25">
      <c r="A140" s="38">
        <v>136</v>
      </c>
      <c r="B140" s="33" t="s">
        <v>134</v>
      </c>
      <c r="C140" s="14"/>
      <c r="D140" s="5"/>
      <c r="E140" s="19"/>
      <c r="F140" s="5"/>
      <c r="G140" s="15"/>
      <c r="H140" s="15">
        <f t="shared" si="5"/>
        <v>0</v>
      </c>
      <c r="J140" s="21"/>
    </row>
    <row r="141" spans="1:10" x14ac:dyDescent="0.25">
      <c r="A141" s="38">
        <v>137</v>
      </c>
      <c r="B141" s="33" t="s">
        <v>79</v>
      </c>
      <c r="C141" s="14"/>
      <c r="D141" s="5"/>
      <c r="E141" s="19"/>
      <c r="F141" s="5"/>
      <c r="G141" s="15"/>
      <c r="H141" s="15">
        <f t="shared" si="5"/>
        <v>0</v>
      </c>
      <c r="J141" s="21"/>
    </row>
    <row r="142" spans="1:10" x14ac:dyDescent="0.25">
      <c r="A142" s="38">
        <v>138</v>
      </c>
      <c r="B142" s="33" t="s">
        <v>62</v>
      </c>
      <c r="C142" s="14"/>
      <c r="D142" s="5"/>
      <c r="E142" s="19"/>
      <c r="F142" s="5"/>
      <c r="G142" s="15"/>
      <c r="H142" s="15">
        <f t="shared" si="5"/>
        <v>0</v>
      </c>
      <c r="J142" s="21"/>
    </row>
    <row r="143" spans="1:10" x14ac:dyDescent="0.25">
      <c r="A143" s="38">
        <v>139</v>
      </c>
      <c r="B143" s="33" t="s">
        <v>135</v>
      </c>
      <c r="C143" s="14"/>
      <c r="D143" s="5"/>
      <c r="E143" s="19">
        <f>4</f>
        <v>4</v>
      </c>
      <c r="F143" s="5"/>
      <c r="G143" s="15">
        <v>35</v>
      </c>
      <c r="H143" s="15">
        <f t="shared" si="5"/>
        <v>140</v>
      </c>
      <c r="J143" s="21"/>
    </row>
    <row r="144" spans="1:10" x14ac:dyDescent="0.25">
      <c r="A144" s="38">
        <v>140</v>
      </c>
      <c r="B144" s="33" t="s">
        <v>136</v>
      </c>
      <c r="C144" s="14"/>
      <c r="D144" s="5"/>
      <c r="E144" s="19"/>
      <c r="F144" s="5"/>
      <c r="G144" s="15"/>
      <c r="H144" s="15">
        <f>F144*G144</f>
        <v>0</v>
      </c>
      <c r="J144" s="21"/>
    </row>
    <row r="145" spans="1:10" x14ac:dyDescent="0.25">
      <c r="A145" s="38">
        <v>141</v>
      </c>
      <c r="B145" s="33" t="s">
        <v>427</v>
      </c>
      <c r="C145" s="14"/>
      <c r="D145" s="5"/>
      <c r="E145" s="19">
        <v>2</v>
      </c>
      <c r="F145" s="5"/>
      <c r="G145" s="15">
        <v>244</v>
      </c>
      <c r="H145" s="15">
        <f>F145*G145</f>
        <v>0</v>
      </c>
      <c r="J145" s="21"/>
    </row>
    <row r="146" spans="1:10" x14ac:dyDescent="0.25">
      <c r="A146" s="38">
        <v>142</v>
      </c>
      <c r="B146" s="33" t="s">
        <v>137</v>
      </c>
      <c r="C146" s="14"/>
      <c r="D146" s="5"/>
      <c r="E146" s="19"/>
      <c r="F146" s="5"/>
      <c r="G146" s="15"/>
      <c r="H146" s="15">
        <f>F146*G146</f>
        <v>0</v>
      </c>
    </row>
    <row r="147" spans="1:10" x14ac:dyDescent="0.25">
      <c r="A147" s="38">
        <v>143</v>
      </c>
      <c r="B147" s="33" t="s">
        <v>67</v>
      </c>
      <c r="C147" s="14"/>
      <c r="D147" s="5"/>
      <c r="E147" s="19">
        <f>5.268+4.97</f>
        <v>10.238</v>
      </c>
      <c r="F147" s="5"/>
      <c r="G147" s="15">
        <v>110</v>
      </c>
      <c r="H147" s="15">
        <f t="shared" ref="H147:H168" si="6">E147*G147</f>
        <v>1126.1799999999998</v>
      </c>
    </row>
    <row r="148" spans="1:10" x14ac:dyDescent="0.25">
      <c r="A148" s="38">
        <v>144</v>
      </c>
      <c r="B148" s="33" t="s">
        <v>138</v>
      </c>
      <c r="C148" s="14"/>
      <c r="D148" s="5"/>
      <c r="E148" s="19"/>
      <c r="F148" s="5"/>
      <c r="G148" s="15"/>
      <c r="H148" s="15">
        <f t="shared" si="6"/>
        <v>0</v>
      </c>
    </row>
    <row r="149" spans="1:10" x14ac:dyDescent="0.25">
      <c r="A149" s="38">
        <v>145</v>
      </c>
      <c r="B149" s="33" t="s">
        <v>139</v>
      </c>
      <c r="C149" s="14"/>
      <c r="D149" s="5"/>
      <c r="E149" s="19">
        <v>10</v>
      </c>
      <c r="F149" s="5"/>
      <c r="G149" s="15">
        <v>56</v>
      </c>
      <c r="H149" s="15">
        <f t="shared" si="6"/>
        <v>560</v>
      </c>
    </row>
    <row r="150" spans="1:10" x14ac:dyDescent="0.25">
      <c r="A150" s="38">
        <v>146</v>
      </c>
      <c r="B150" s="33" t="s">
        <v>140</v>
      </c>
      <c r="C150" s="14"/>
      <c r="D150" s="5"/>
      <c r="E150" s="19">
        <f>3</f>
        <v>3</v>
      </c>
      <c r="F150" s="5"/>
      <c r="G150" s="15">
        <v>59</v>
      </c>
      <c r="H150" s="15">
        <f t="shared" si="6"/>
        <v>177</v>
      </c>
    </row>
    <row r="151" spans="1:10" x14ac:dyDescent="0.25">
      <c r="A151" s="38">
        <v>147</v>
      </c>
      <c r="B151" s="33" t="s">
        <v>141</v>
      </c>
      <c r="C151" s="14"/>
      <c r="D151" s="5"/>
      <c r="E151" s="19"/>
      <c r="F151" s="5"/>
      <c r="G151" s="15"/>
      <c r="H151" s="15">
        <f t="shared" si="6"/>
        <v>0</v>
      </c>
    </row>
    <row r="152" spans="1:10" x14ac:dyDescent="0.25">
      <c r="A152" s="38">
        <v>148</v>
      </c>
      <c r="B152" s="33" t="s">
        <v>433</v>
      </c>
      <c r="C152" s="14"/>
      <c r="D152" s="5"/>
      <c r="E152" s="19">
        <v>1</v>
      </c>
      <c r="F152" s="5"/>
      <c r="G152" s="15">
        <v>62</v>
      </c>
      <c r="H152" s="15">
        <f t="shared" si="6"/>
        <v>62</v>
      </c>
    </row>
    <row r="153" spans="1:10" x14ac:dyDescent="0.25">
      <c r="A153" s="38">
        <v>149</v>
      </c>
      <c r="B153" s="33" t="s">
        <v>142</v>
      </c>
      <c r="C153" s="14"/>
      <c r="D153" s="5"/>
      <c r="E153" s="19">
        <v>1</v>
      </c>
      <c r="F153" s="5"/>
      <c r="G153" s="15">
        <v>62</v>
      </c>
      <c r="H153" s="15">
        <f t="shared" si="6"/>
        <v>62</v>
      </c>
    </row>
    <row r="154" spans="1:10" x14ac:dyDescent="0.25">
      <c r="A154" s="38">
        <v>150</v>
      </c>
      <c r="B154" s="33" t="s">
        <v>143</v>
      </c>
      <c r="C154" s="14"/>
      <c r="D154" s="5"/>
      <c r="E154" s="19"/>
      <c r="F154" s="5"/>
      <c r="G154" s="15"/>
      <c r="H154" s="15">
        <f t="shared" si="6"/>
        <v>0</v>
      </c>
    </row>
    <row r="155" spans="1:10" x14ac:dyDescent="0.25">
      <c r="A155" s="38">
        <v>151</v>
      </c>
      <c r="B155" s="33" t="s">
        <v>431</v>
      </c>
      <c r="C155" s="14"/>
      <c r="D155" s="5"/>
      <c r="E155" s="19">
        <f>3</f>
        <v>3</v>
      </c>
      <c r="F155" s="5"/>
      <c r="G155" s="15">
        <v>63</v>
      </c>
      <c r="H155" s="15">
        <f t="shared" si="6"/>
        <v>189</v>
      </c>
    </row>
    <row r="156" spans="1:10" x14ac:dyDescent="0.25">
      <c r="A156" s="38">
        <v>152</v>
      </c>
      <c r="B156" s="33" t="s">
        <v>144</v>
      </c>
      <c r="C156" s="14"/>
      <c r="D156" s="5"/>
      <c r="E156" s="19"/>
      <c r="F156" s="5"/>
      <c r="G156" s="15"/>
      <c r="H156" s="15">
        <f t="shared" si="6"/>
        <v>0</v>
      </c>
    </row>
    <row r="157" spans="1:10" x14ac:dyDescent="0.25">
      <c r="A157" s="38">
        <v>153</v>
      </c>
      <c r="B157" s="33" t="s">
        <v>145</v>
      </c>
      <c r="C157" s="14"/>
      <c r="D157" s="5"/>
      <c r="E157" s="19">
        <v>2</v>
      </c>
      <c r="F157" s="5"/>
      <c r="G157" s="15">
        <v>23</v>
      </c>
      <c r="H157" s="15">
        <f t="shared" si="6"/>
        <v>46</v>
      </c>
    </row>
    <row r="158" spans="1:10" x14ac:dyDescent="0.25">
      <c r="A158" s="38">
        <v>154</v>
      </c>
      <c r="B158" s="33" t="s">
        <v>434</v>
      </c>
      <c r="C158" s="14"/>
      <c r="D158" s="5"/>
      <c r="E158" s="19">
        <v>2</v>
      </c>
      <c r="F158" s="5"/>
      <c r="G158" s="15">
        <v>23</v>
      </c>
      <c r="H158" s="15">
        <f t="shared" si="6"/>
        <v>46</v>
      </c>
    </row>
    <row r="159" spans="1:10" x14ac:dyDescent="0.25">
      <c r="A159" s="38">
        <v>155</v>
      </c>
      <c r="B159" s="33" t="s">
        <v>146</v>
      </c>
      <c r="C159" s="14"/>
      <c r="D159" s="5"/>
      <c r="E159" s="19"/>
      <c r="F159" s="5"/>
      <c r="G159" s="15"/>
      <c r="H159" s="15">
        <f t="shared" si="6"/>
        <v>0</v>
      </c>
    </row>
    <row r="160" spans="1:10" x14ac:dyDescent="0.25">
      <c r="A160" s="38">
        <v>156</v>
      </c>
      <c r="B160" s="33" t="s">
        <v>75</v>
      </c>
      <c r="C160" s="14"/>
      <c r="D160" s="5"/>
      <c r="E160" s="19">
        <f>1.354</f>
        <v>1.3540000000000001</v>
      </c>
      <c r="F160" s="5"/>
      <c r="G160" s="15">
        <v>300</v>
      </c>
      <c r="H160" s="15">
        <f t="shared" si="6"/>
        <v>406.20000000000005</v>
      </c>
    </row>
    <row r="161" spans="1:10" s="21" customFormat="1" x14ac:dyDescent="0.25">
      <c r="A161" s="38">
        <v>157</v>
      </c>
      <c r="B161" s="33" t="s">
        <v>74</v>
      </c>
      <c r="C161" s="14"/>
      <c r="D161" s="5"/>
      <c r="E161" s="19"/>
      <c r="F161" s="5"/>
      <c r="G161" s="15"/>
      <c r="H161" s="15">
        <f t="shared" si="6"/>
        <v>0</v>
      </c>
    </row>
    <row r="162" spans="1:10" x14ac:dyDescent="0.25">
      <c r="A162" s="38">
        <v>158</v>
      </c>
      <c r="B162" s="33" t="s">
        <v>73</v>
      </c>
      <c r="C162" s="14"/>
      <c r="D162" s="5"/>
      <c r="E162" s="19">
        <v>0.83599999999999997</v>
      </c>
      <c r="F162" s="5"/>
      <c r="G162" s="15">
        <v>285</v>
      </c>
      <c r="H162" s="15">
        <f t="shared" si="6"/>
        <v>238.26</v>
      </c>
      <c r="J162" s="21"/>
    </row>
    <row r="163" spans="1:10" x14ac:dyDescent="0.25">
      <c r="A163" s="38">
        <v>159</v>
      </c>
      <c r="B163" s="33" t="s">
        <v>147</v>
      </c>
      <c r="C163" s="14"/>
      <c r="D163" s="5"/>
      <c r="E163" s="19"/>
      <c r="F163" s="5"/>
      <c r="G163" s="15"/>
      <c r="H163" s="15">
        <f t="shared" si="6"/>
        <v>0</v>
      </c>
      <c r="J163" s="21"/>
    </row>
    <row r="164" spans="1:10" x14ac:dyDescent="0.25">
      <c r="A164" s="38">
        <v>160</v>
      </c>
      <c r="B164" s="33" t="s">
        <v>432</v>
      </c>
      <c r="C164" s="14"/>
      <c r="D164" s="5"/>
      <c r="E164" s="19">
        <v>0.186</v>
      </c>
      <c r="F164" s="5"/>
      <c r="G164" s="15">
        <v>600</v>
      </c>
      <c r="H164" s="15">
        <f t="shared" si="6"/>
        <v>111.6</v>
      </c>
      <c r="J164" s="21"/>
    </row>
    <row r="165" spans="1:10" x14ac:dyDescent="0.25">
      <c r="A165" s="38">
        <v>161</v>
      </c>
      <c r="B165" s="33" t="s">
        <v>83</v>
      </c>
      <c r="C165" s="14"/>
      <c r="D165" s="5"/>
      <c r="E165" s="19"/>
      <c r="F165" s="5"/>
      <c r="G165" s="15"/>
      <c r="H165" s="15">
        <f t="shared" si="6"/>
        <v>0</v>
      </c>
      <c r="J165" s="21"/>
    </row>
    <row r="166" spans="1:10" x14ac:dyDescent="0.25">
      <c r="A166" s="38">
        <v>162</v>
      </c>
      <c r="B166" s="33" t="s">
        <v>82</v>
      </c>
      <c r="C166" s="14"/>
      <c r="D166" s="5"/>
      <c r="E166" s="19"/>
      <c r="F166" s="5"/>
      <c r="G166" s="15"/>
      <c r="H166" s="15">
        <f t="shared" si="6"/>
        <v>0</v>
      </c>
      <c r="J166" s="21"/>
    </row>
    <row r="167" spans="1:10" x14ac:dyDescent="0.25">
      <c r="A167" s="38">
        <v>163</v>
      </c>
      <c r="B167" s="33" t="s">
        <v>81</v>
      </c>
      <c r="C167" s="19"/>
      <c r="D167" s="12"/>
      <c r="E167" s="19"/>
      <c r="F167" s="5"/>
      <c r="G167" s="15"/>
      <c r="H167" s="15">
        <f t="shared" si="6"/>
        <v>0</v>
      </c>
      <c r="J167" s="21"/>
    </row>
    <row r="168" spans="1:10" x14ac:dyDescent="0.25">
      <c r="A168" s="38">
        <v>164</v>
      </c>
      <c r="B168" s="33" t="s">
        <v>148</v>
      </c>
      <c r="C168" s="19"/>
      <c r="D168" s="12"/>
      <c r="E168" s="19"/>
      <c r="F168" s="5"/>
      <c r="G168" s="15"/>
      <c r="H168" s="15">
        <f t="shared" si="6"/>
        <v>0</v>
      </c>
      <c r="J168" s="21"/>
    </row>
    <row r="169" spans="1:10" x14ac:dyDescent="0.25">
      <c r="A169" s="38">
        <v>165</v>
      </c>
      <c r="B169" s="33" t="s">
        <v>149</v>
      </c>
      <c r="C169" s="19"/>
      <c r="D169" s="12"/>
      <c r="E169" s="19">
        <f>16+21</f>
        <v>37</v>
      </c>
      <c r="F169" s="5"/>
      <c r="G169" s="15">
        <v>50</v>
      </c>
      <c r="H169" s="15">
        <f>F169*G169</f>
        <v>0</v>
      </c>
      <c r="J169" s="21"/>
    </row>
    <row r="170" spans="1:10" x14ac:dyDescent="0.25">
      <c r="A170" s="38">
        <v>166</v>
      </c>
      <c r="B170" s="33" t="s">
        <v>150</v>
      </c>
      <c r="C170" s="19"/>
      <c r="D170" s="12"/>
      <c r="E170" s="19">
        <f>1.9+1.4+2.1</f>
        <v>5.4</v>
      </c>
      <c r="F170" s="5"/>
      <c r="G170" s="15">
        <v>290</v>
      </c>
      <c r="H170" s="15">
        <f t="shared" ref="H170:H176" si="7">E170*G170</f>
        <v>1566</v>
      </c>
      <c r="I170" s="21"/>
      <c r="J170" s="21"/>
    </row>
    <row r="171" spans="1:10" x14ac:dyDescent="0.25">
      <c r="A171" s="38">
        <v>167</v>
      </c>
      <c r="B171" s="33" t="s">
        <v>151</v>
      </c>
      <c r="C171" s="19"/>
      <c r="D171" s="12"/>
      <c r="E171" s="19">
        <f>1.3+0.505</f>
        <v>1.8050000000000002</v>
      </c>
      <c r="F171" s="5"/>
      <c r="G171" s="15">
        <v>398</v>
      </c>
      <c r="H171" s="15">
        <f t="shared" si="7"/>
        <v>718.3900000000001</v>
      </c>
      <c r="I171" s="21"/>
      <c r="J171" s="21"/>
    </row>
    <row r="172" spans="1:10" x14ac:dyDescent="0.25">
      <c r="A172" s="38">
        <v>168</v>
      </c>
      <c r="B172" s="33" t="s">
        <v>63</v>
      </c>
      <c r="C172" s="19"/>
      <c r="D172" s="12"/>
      <c r="E172" s="19"/>
      <c r="F172" s="5"/>
      <c r="G172" s="15"/>
      <c r="H172" s="15">
        <f t="shared" si="7"/>
        <v>0</v>
      </c>
      <c r="J172" s="21"/>
    </row>
    <row r="173" spans="1:10" x14ac:dyDescent="0.25">
      <c r="A173" s="38">
        <v>169</v>
      </c>
      <c r="B173" s="33" t="s">
        <v>456</v>
      </c>
      <c r="C173" s="19"/>
      <c r="D173" s="12"/>
      <c r="E173" s="19">
        <v>30</v>
      </c>
      <c r="F173" s="5"/>
      <c r="G173" s="15">
        <v>18</v>
      </c>
      <c r="H173" s="15">
        <f t="shared" si="7"/>
        <v>540</v>
      </c>
      <c r="I173" s="21"/>
      <c r="J173" s="21"/>
    </row>
    <row r="174" spans="1:10" x14ac:dyDescent="0.25">
      <c r="A174" s="38">
        <v>170</v>
      </c>
      <c r="B174" s="33" t="s">
        <v>152</v>
      </c>
      <c r="C174" s="19"/>
      <c r="D174" s="12"/>
      <c r="E174" s="19"/>
      <c r="F174" s="5"/>
      <c r="G174" s="15"/>
      <c r="H174" s="15">
        <f t="shared" si="7"/>
        <v>0</v>
      </c>
      <c r="I174" s="21"/>
      <c r="J174" s="21"/>
    </row>
    <row r="175" spans="1:10" x14ac:dyDescent="0.25">
      <c r="A175" s="38">
        <v>171</v>
      </c>
      <c r="B175" s="33" t="s">
        <v>454</v>
      </c>
      <c r="C175" s="19"/>
      <c r="D175" s="12"/>
      <c r="E175" s="19">
        <f>1+4</f>
        <v>5</v>
      </c>
      <c r="F175" s="5"/>
      <c r="G175" s="15">
        <v>40</v>
      </c>
      <c r="H175" s="15">
        <f t="shared" si="7"/>
        <v>200</v>
      </c>
      <c r="I175" s="21"/>
    </row>
    <row r="176" spans="1:10" x14ac:dyDescent="0.25">
      <c r="A176" s="38">
        <v>172</v>
      </c>
      <c r="B176" s="33" t="s">
        <v>70</v>
      </c>
      <c r="C176" s="19"/>
      <c r="D176" s="12"/>
      <c r="E176" s="19">
        <f>5+2</f>
        <v>7</v>
      </c>
      <c r="F176" s="5"/>
      <c r="G176" s="15">
        <v>70</v>
      </c>
      <c r="H176" s="15">
        <f t="shared" si="7"/>
        <v>490</v>
      </c>
      <c r="I176" s="21"/>
    </row>
    <row r="177" spans="1:8" x14ac:dyDescent="0.25">
      <c r="A177" s="38">
        <v>173</v>
      </c>
      <c r="B177" s="33" t="s">
        <v>153</v>
      </c>
      <c r="C177" s="19"/>
      <c r="D177" s="12"/>
      <c r="E177" s="19"/>
      <c r="F177" s="5"/>
      <c r="G177" s="15"/>
      <c r="H177" s="15">
        <f>F177*G177</f>
        <v>0</v>
      </c>
    </row>
    <row r="178" spans="1:8" x14ac:dyDescent="0.25">
      <c r="A178" s="38">
        <v>174</v>
      </c>
      <c r="B178" s="33" t="s">
        <v>40</v>
      </c>
      <c r="C178" s="19"/>
      <c r="D178" s="12"/>
      <c r="E178" s="19"/>
      <c r="F178" s="5"/>
      <c r="G178" s="15"/>
      <c r="H178" s="15">
        <f>F178*G178</f>
        <v>0</v>
      </c>
    </row>
    <row r="179" spans="1:8" x14ac:dyDescent="0.25">
      <c r="A179" s="38">
        <v>175</v>
      </c>
      <c r="B179" s="33" t="s">
        <v>45</v>
      </c>
      <c r="C179" s="19"/>
      <c r="D179" s="12"/>
      <c r="E179" s="19"/>
      <c r="F179" s="5"/>
      <c r="G179" s="15"/>
      <c r="H179" s="15">
        <f>F179*G179</f>
        <v>0</v>
      </c>
    </row>
    <row r="180" spans="1:8" x14ac:dyDescent="0.25">
      <c r="A180" s="38">
        <v>176</v>
      </c>
      <c r="B180" s="33" t="s">
        <v>17</v>
      </c>
      <c r="C180" s="19"/>
      <c r="D180" s="12"/>
      <c r="E180" s="19"/>
      <c r="F180" s="5"/>
      <c r="G180" s="15"/>
      <c r="H180" s="15">
        <f>F180*G180</f>
        <v>0</v>
      </c>
    </row>
    <row r="181" spans="1:8" x14ac:dyDescent="0.25">
      <c r="A181" s="38">
        <v>177</v>
      </c>
      <c r="B181" s="33" t="s">
        <v>24</v>
      </c>
      <c r="C181" s="19"/>
      <c r="D181" s="12"/>
      <c r="E181" s="19">
        <f>7.2+7.7</f>
        <v>14.9</v>
      </c>
      <c r="F181" s="5"/>
      <c r="G181" s="15">
        <v>64</v>
      </c>
      <c r="H181" s="15">
        <f>E181*G181</f>
        <v>953.6</v>
      </c>
    </row>
    <row r="182" spans="1:8" x14ac:dyDescent="0.25">
      <c r="A182" s="38">
        <v>178</v>
      </c>
      <c r="B182" s="33" t="s">
        <v>6</v>
      </c>
      <c r="C182" s="19"/>
      <c r="D182" s="12"/>
      <c r="E182" s="19"/>
      <c r="F182" s="5"/>
      <c r="G182" s="15"/>
      <c r="H182" s="15">
        <f>E182*G182</f>
        <v>0</v>
      </c>
    </row>
    <row r="183" spans="1:8" x14ac:dyDescent="0.25">
      <c r="A183" s="38">
        <v>179</v>
      </c>
      <c r="B183" s="33" t="s">
        <v>154</v>
      </c>
      <c r="C183" s="19"/>
      <c r="D183" s="12"/>
      <c r="E183" s="19"/>
      <c r="F183" s="5"/>
      <c r="G183" s="15"/>
      <c r="H183" s="15">
        <f>F183*G183</f>
        <v>0</v>
      </c>
    </row>
    <row r="184" spans="1:8" x14ac:dyDescent="0.25">
      <c r="A184" s="38">
        <v>180</v>
      </c>
      <c r="B184" s="33" t="s">
        <v>48</v>
      </c>
      <c r="C184" s="19"/>
      <c r="D184" s="12"/>
      <c r="E184" s="19">
        <f>1</f>
        <v>1</v>
      </c>
      <c r="F184" s="5"/>
      <c r="G184" s="15">
        <v>115</v>
      </c>
      <c r="H184" s="15">
        <f>F184*G184</f>
        <v>0</v>
      </c>
    </row>
    <row r="185" spans="1:8" x14ac:dyDescent="0.25">
      <c r="A185" s="38">
        <v>181</v>
      </c>
      <c r="B185" s="33" t="s">
        <v>49</v>
      </c>
      <c r="C185" s="19"/>
      <c r="D185" s="12"/>
      <c r="E185" s="19"/>
      <c r="F185" s="5"/>
      <c r="G185" s="15"/>
      <c r="H185" s="15">
        <f t="shared" ref="H185:H203" si="8">E185*G185</f>
        <v>0</v>
      </c>
    </row>
    <row r="186" spans="1:8" x14ac:dyDescent="0.25">
      <c r="A186" s="38">
        <v>182</v>
      </c>
      <c r="B186" s="33" t="s">
        <v>46</v>
      </c>
      <c r="C186" s="19"/>
      <c r="D186" s="12"/>
      <c r="E186" s="19"/>
      <c r="F186" s="5"/>
      <c r="G186" s="15"/>
      <c r="H186" s="15">
        <f t="shared" si="8"/>
        <v>0</v>
      </c>
    </row>
    <row r="187" spans="1:8" x14ac:dyDescent="0.25">
      <c r="A187" s="38">
        <v>183</v>
      </c>
      <c r="B187" s="33" t="s">
        <v>155</v>
      </c>
      <c r="C187" s="19"/>
      <c r="D187" s="12"/>
      <c r="E187" s="19">
        <f>0.52</f>
        <v>0.52</v>
      </c>
      <c r="F187" s="5"/>
      <c r="G187" s="15">
        <v>220</v>
      </c>
      <c r="H187" s="15">
        <f t="shared" si="8"/>
        <v>114.4</v>
      </c>
    </row>
    <row r="188" spans="1:8" x14ac:dyDescent="0.25">
      <c r="A188" s="38">
        <v>184</v>
      </c>
      <c r="B188" s="33" t="s">
        <v>156</v>
      </c>
      <c r="C188" s="19"/>
      <c r="D188" s="12"/>
      <c r="E188" s="19">
        <f>2+7</f>
        <v>9</v>
      </c>
      <c r="F188" s="5"/>
      <c r="G188" s="15">
        <v>220</v>
      </c>
      <c r="H188" s="15">
        <f t="shared" si="8"/>
        <v>1980</v>
      </c>
    </row>
    <row r="189" spans="1:8" x14ac:dyDescent="0.25">
      <c r="A189" s="38">
        <v>185</v>
      </c>
      <c r="B189" s="33" t="s">
        <v>157</v>
      </c>
      <c r="C189" s="28"/>
      <c r="D189" s="29"/>
      <c r="E189" s="30"/>
      <c r="F189" s="12"/>
      <c r="G189" s="20"/>
      <c r="H189" s="15">
        <f t="shared" si="8"/>
        <v>0</v>
      </c>
    </row>
    <row r="190" spans="1:8" x14ac:dyDescent="0.25">
      <c r="A190" s="38">
        <v>186</v>
      </c>
      <c r="B190" s="33" t="s">
        <v>158</v>
      </c>
      <c r="C190" s="19"/>
      <c r="D190" s="12"/>
      <c r="E190" s="19">
        <f>5.578+30</f>
        <v>35.578000000000003</v>
      </c>
      <c r="F190" s="5"/>
      <c r="G190" s="15">
        <v>54</v>
      </c>
      <c r="H190" s="15">
        <f t="shared" si="8"/>
        <v>1921.2120000000002</v>
      </c>
    </row>
    <row r="191" spans="1:8" x14ac:dyDescent="0.25">
      <c r="A191" s="38">
        <v>187</v>
      </c>
      <c r="B191" s="33" t="s">
        <v>159</v>
      </c>
      <c r="C191" s="19"/>
      <c r="D191" s="12"/>
      <c r="E191" s="19">
        <f>1.14+1.3</f>
        <v>2.44</v>
      </c>
      <c r="F191" s="5"/>
      <c r="G191" s="15">
        <v>60</v>
      </c>
      <c r="H191" s="15">
        <f t="shared" si="8"/>
        <v>146.4</v>
      </c>
    </row>
    <row r="192" spans="1:8" x14ac:dyDescent="0.25">
      <c r="A192" s="38">
        <v>188</v>
      </c>
      <c r="B192" s="33" t="s">
        <v>160</v>
      </c>
      <c r="C192" s="19"/>
      <c r="D192" s="12"/>
      <c r="E192" s="19"/>
      <c r="F192" s="5"/>
      <c r="G192" s="15"/>
      <c r="H192" s="15">
        <f t="shared" si="8"/>
        <v>0</v>
      </c>
    </row>
    <row r="193" spans="1:8" x14ac:dyDescent="0.25">
      <c r="A193" s="38">
        <v>189</v>
      </c>
      <c r="B193" s="33" t="s">
        <v>19</v>
      </c>
      <c r="C193" s="19"/>
      <c r="D193" s="12"/>
      <c r="E193" s="19"/>
      <c r="F193" s="12"/>
      <c r="G193" s="20"/>
      <c r="H193" s="15">
        <f t="shared" si="8"/>
        <v>0</v>
      </c>
    </row>
    <row r="194" spans="1:8" x14ac:dyDescent="0.25">
      <c r="A194" s="38">
        <v>190</v>
      </c>
      <c r="B194" s="33" t="s">
        <v>22</v>
      </c>
      <c r="C194" s="19"/>
      <c r="D194" s="12"/>
      <c r="E194" s="19"/>
      <c r="F194" s="5"/>
      <c r="G194" s="15"/>
      <c r="H194" s="15">
        <f t="shared" si="8"/>
        <v>0</v>
      </c>
    </row>
    <row r="195" spans="1:8" x14ac:dyDescent="0.25">
      <c r="A195" s="38">
        <v>191</v>
      </c>
      <c r="B195" s="33" t="s">
        <v>161</v>
      </c>
      <c r="C195" s="19"/>
      <c r="D195" s="12"/>
      <c r="E195" s="19">
        <f>5.22+9.3+8.8+9.8+2.48</f>
        <v>35.6</v>
      </c>
      <c r="F195" s="5"/>
      <c r="G195" s="15">
        <v>90</v>
      </c>
      <c r="H195" s="15">
        <f t="shared" si="8"/>
        <v>3204</v>
      </c>
    </row>
    <row r="196" spans="1:8" x14ac:dyDescent="0.25">
      <c r="A196" s="38">
        <v>192</v>
      </c>
      <c r="B196" s="33" t="s">
        <v>69</v>
      </c>
      <c r="C196" s="19"/>
      <c r="D196" s="12"/>
      <c r="E196" s="19"/>
      <c r="F196" s="5"/>
      <c r="G196" s="15"/>
      <c r="H196" s="15">
        <f t="shared" si="8"/>
        <v>0</v>
      </c>
    </row>
    <row r="197" spans="1:8" x14ac:dyDescent="0.25">
      <c r="A197" s="38">
        <v>193</v>
      </c>
      <c r="B197" s="33" t="s">
        <v>162</v>
      </c>
      <c r="C197" s="19"/>
      <c r="D197" s="12"/>
      <c r="E197" s="19">
        <f>1.442+3.51+2.35</f>
        <v>7.3019999999999996</v>
      </c>
      <c r="F197" s="5"/>
      <c r="G197" s="15">
        <v>210</v>
      </c>
      <c r="H197" s="15">
        <f t="shared" si="8"/>
        <v>1533.4199999999998</v>
      </c>
    </row>
    <row r="198" spans="1:8" x14ac:dyDescent="0.25">
      <c r="A198" s="38">
        <v>194</v>
      </c>
      <c r="B198" s="33" t="s">
        <v>163</v>
      </c>
      <c r="C198" s="19"/>
      <c r="D198" s="12"/>
      <c r="E198" s="19">
        <f>0.93+4.79+1.74</f>
        <v>7.46</v>
      </c>
      <c r="F198" s="5"/>
      <c r="G198" s="15">
        <v>210</v>
      </c>
      <c r="H198" s="15">
        <f t="shared" si="8"/>
        <v>1566.6</v>
      </c>
    </row>
    <row r="199" spans="1:8" x14ac:dyDescent="0.25">
      <c r="A199" s="38">
        <v>195</v>
      </c>
      <c r="B199" s="33" t="s">
        <v>164</v>
      </c>
      <c r="C199" s="19"/>
      <c r="D199" s="12"/>
      <c r="E199" s="19">
        <f>0.83+0.37</f>
        <v>1.2</v>
      </c>
      <c r="F199" s="5"/>
      <c r="G199" s="15">
        <v>210</v>
      </c>
      <c r="H199" s="15">
        <f t="shared" si="8"/>
        <v>252</v>
      </c>
    </row>
    <row r="200" spans="1:8" x14ac:dyDescent="0.25">
      <c r="A200" s="38">
        <v>196</v>
      </c>
      <c r="B200" s="33" t="s">
        <v>443</v>
      </c>
      <c r="C200" s="19"/>
      <c r="D200" s="12"/>
      <c r="E200" s="19">
        <f>7+14.6</f>
        <v>21.6</v>
      </c>
      <c r="F200" s="5"/>
      <c r="G200" s="15">
        <v>118</v>
      </c>
      <c r="H200" s="15">
        <f t="shared" si="8"/>
        <v>2548.8000000000002</v>
      </c>
    </row>
    <row r="201" spans="1:8" x14ac:dyDescent="0.25">
      <c r="A201" s="38">
        <v>197</v>
      </c>
      <c r="B201" s="33" t="s">
        <v>444</v>
      </c>
      <c r="C201" s="19"/>
      <c r="D201" s="12"/>
      <c r="E201" s="19">
        <f>6+18.28</f>
        <v>24.28</v>
      </c>
      <c r="F201" s="5"/>
      <c r="G201" s="15">
        <v>120</v>
      </c>
      <c r="H201" s="15">
        <f t="shared" si="8"/>
        <v>2913.6000000000004</v>
      </c>
    </row>
    <row r="202" spans="1:8" x14ac:dyDescent="0.25">
      <c r="A202" s="38">
        <v>198</v>
      </c>
      <c r="B202" s="33" t="s">
        <v>65</v>
      </c>
      <c r="C202" s="19"/>
      <c r="D202" s="12"/>
      <c r="E202" s="19">
        <f>2.786+6.06+39.1+5.8+8.46</f>
        <v>62.205999999999996</v>
      </c>
      <c r="F202" s="5"/>
      <c r="G202" s="15">
        <v>155</v>
      </c>
      <c r="H202" s="15">
        <f t="shared" si="8"/>
        <v>9641.9299999999985</v>
      </c>
    </row>
    <row r="203" spans="1:8" x14ac:dyDescent="0.25">
      <c r="A203" s="38">
        <v>199</v>
      </c>
      <c r="B203" s="33" t="s">
        <v>64</v>
      </c>
      <c r="C203" s="19"/>
      <c r="D203" s="12"/>
      <c r="E203" s="19">
        <f>10+9</f>
        <v>19</v>
      </c>
      <c r="F203" s="5"/>
      <c r="G203" s="15">
        <v>70</v>
      </c>
      <c r="H203" s="15">
        <f t="shared" si="8"/>
        <v>1330</v>
      </c>
    </row>
    <row r="204" spans="1:8" x14ac:dyDescent="0.25">
      <c r="A204" s="38">
        <v>200</v>
      </c>
      <c r="B204" s="33" t="s">
        <v>54</v>
      </c>
      <c r="C204" s="19"/>
      <c r="D204" s="12"/>
      <c r="E204" s="19">
        <f>5.124+12.78+4.01+12.4</f>
        <v>34.314</v>
      </c>
      <c r="F204" s="5"/>
      <c r="G204" s="15">
        <v>122</v>
      </c>
      <c r="H204" s="15">
        <f>F204*G204</f>
        <v>0</v>
      </c>
    </row>
    <row r="205" spans="1:8" x14ac:dyDescent="0.25">
      <c r="A205" s="38">
        <v>201</v>
      </c>
      <c r="B205" s="33" t="s">
        <v>55</v>
      </c>
      <c r="C205" s="19"/>
      <c r="D205" s="12"/>
      <c r="E205" s="19"/>
      <c r="F205" s="5"/>
      <c r="G205" s="15"/>
      <c r="H205" s="15">
        <f>E205*G205</f>
        <v>0</v>
      </c>
    </row>
    <row r="206" spans="1:8" ht="14.25" customHeight="1" x14ac:dyDescent="0.25">
      <c r="A206" s="38">
        <v>202</v>
      </c>
      <c r="B206" s="33" t="s">
        <v>165</v>
      </c>
      <c r="C206" s="19"/>
      <c r="D206" s="12"/>
      <c r="E206" s="19"/>
      <c r="F206" s="5"/>
      <c r="G206" s="15"/>
      <c r="H206" s="15">
        <f>E206*G206</f>
        <v>0</v>
      </c>
    </row>
    <row r="207" spans="1:8" x14ac:dyDescent="0.25">
      <c r="A207" s="38">
        <v>203</v>
      </c>
      <c r="B207" s="33" t="s">
        <v>248</v>
      </c>
      <c r="C207" s="16"/>
      <c r="D207" s="17"/>
      <c r="E207" s="19">
        <f>3.66</f>
        <v>3.66</v>
      </c>
      <c r="F207" s="5"/>
      <c r="G207" s="15">
        <v>130</v>
      </c>
      <c r="H207" s="15">
        <f>G207*F207</f>
        <v>0</v>
      </c>
    </row>
    <row r="208" spans="1:8" x14ac:dyDescent="0.25">
      <c r="A208" s="38">
        <v>204</v>
      </c>
      <c r="B208" s="33" t="s">
        <v>366</v>
      </c>
      <c r="C208" s="14"/>
      <c r="D208" s="5"/>
      <c r="E208" s="19">
        <f>77+17.56</f>
        <v>94.56</v>
      </c>
      <c r="F208" s="5"/>
      <c r="G208" s="15">
        <v>120</v>
      </c>
      <c r="H208" s="15">
        <f t="shared" ref="H208:H216" si="9">E208*G208</f>
        <v>11347.2</v>
      </c>
    </row>
    <row r="209" spans="1:8" x14ac:dyDescent="0.25">
      <c r="A209" s="38">
        <v>205</v>
      </c>
      <c r="B209" s="33" t="s">
        <v>249</v>
      </c>
      <c r="C209" s="14"/>
      <c r="D209" s="5"/>
      <c r="E209" s="19"/>
      <c r="F209" s="5"/>
      <c r="G209" s="15"/>
      <c r="H209" s="15">
        <f t="shared" si="9"/>
        <v>0</v>
      </c>
    </row>
    <row r="210" spans="1:8" x14ac:dyDescent="0.25">
      <c r="A210" s="38">
        <v>206</v>
      </c>
      <c r="B210" s="33" t="s">
        <v>250</v>
      </c>
      <c r="C210" s="14"/>
      <c r="D210" s="5"/>
      <c r="E210" s="19">
        <f>1+35+11.5+5.62</f>
        <v>53.12</v>
      </c>
      <c r="F210" s="5"/>
      <c r="G210" s="15">
        <v>110</v>
      </c>
      <c r="H210" s="15">
        <f t="shared" si="9"/>
        <v>5843.2</v>
      </c>
    </row>
    <row r="211" spans="1:8" x14ac:dyDescent="0.25">
      <c r="A211" s="38">
        <v>207</v>
      </c>
      <c r="B211" s="33" t="s">
        <v>185</v>
      </c>
      <c r="C211" s="14"/>
      <c r="D211" s="5"/>
      <c r="E211" s="19">
        <f>16.32</f>
        <v>16.32</v>
      </c>
      <c r="F211" s="5"/>
      <c r="G211" s="15">
        <v>148</v>
      </c>
      <c r="H211" s="15">
        <f t="shared" si="9"/>
        <v>2415.36</v>
      </c>
    </row>
    <row r="212" spans="1:8" s="8" customFormat="1" ht="18.75" x14ac:dyDescent="0.3">
      <c r="A212" s="38">
        <v>208</v>
      </c>
      <c r="B212" s="33" t="s">
        <v>172</v>
      </c>
      <c r="C212" s="14"/>
      <c r="D212" s="5"/>
      <c r="E212" s="19">
        <f>66.3</f>
        <v>66.3</v>
      </c>
      <c r="F212" s="5"/>
      <c r="G212" s="15">
        <v>204</v>
      </c>
      <c r="H212" s="15">
        <f t="shared" si="9"/>
        <v>13525.199999999999</v>
      </c>
    </row>
    <row r="213" spans="1:8" x14ac:dyDescent="0.25">
      <c r="A213" s="38">
        <v>209</v>
      </c>
      <c r="B213" s="33" t="s">
        <v>182</v>
      </c>
      <c r="C213" s="14"/>
      <c r="D213" s="5"/>
      <c r="E213" s="19">
        <f>83.02+2</f>
        <v>85.02</v>
      </c>
      <c r="F213" s="5"/>
      <c r="G213" s="15">
        <v>107</v>
      </c>
      <c r="H213" s="15">
        <f t="shared" si="9"/>
        <v>9097.14</v>
      </c>
    </row>
    <row r="214" spans="1:8" x14ac:dyDescent="0.25">
      <c r="A214" s="38">
        <v>210</v>
      </c>
      <c r="B214" s="33" t="s">
        <v>181</v>
      </c>
      <c r="C214" s="14"/>
      <c r="D214" s="5"/>
      <c r="E214" s="19"/>
      <c r="F214" s="5"/>
      <c r="G214" s="15"/>
      <c r="H214" s="15">
        <f t="shared" si="9"/>
        <v>0</v>
      </c>
    </row>
    <row r="215" spans="1:8" x14ac:dyDescent="0.25">
      <c r="A215" s="38">
        <v>211</v>
      </c>
      <c r="B215" s="33" t="s">
        <v>251</v>
      </c>
      <c r="C215" s="14"/>
      <c r="D215" s="5"/>
      <c r="E215" s="19">
        <f>58+12.24+0.52+3.5</f>
        <v>74.259999999999991</v>
      </c>
      <c r="F215" s="5"/>
      <c r="G215" s="15">
        <v>162</v>
      </c>
      <c r="H215" s="15">
        <f t="shared" si="9"/>
        <v>12030.119999999999</v>
      </c>
    </row>
    <row r="216" spans="1:8" x14ac:dyDescent="0.25">
      <c r="A216" s="38">
        <v>212</v>
      </c>
      <c r="B216" s="33" t="s">
        <v>252</v>
      </c>
      <c r="C216" s="14"/>
      <c r="D216" s="5"/>
      <c r="E216" s="19"/>
      <c r="F216" s="5"/>
      <c r="G216" s="15"/>
      <c r="H216" s="15">
        <f t="shared" si="9"/>
        <v>0</v>
      </c>
    </row>
    <row r="217" spans="1:8" x14ac:dyDescent="0.25">
      <c r="A217" s="38">
        <v>213</v>
      </c>
      <c r="B217" s="33" t="s">
        <v>253</v>
      </c>
      <c r="C217" s="14"/>
      <c r="D217" s="5"/>
      <c r="E217" s="19"/>
      <c r="F217" s="5"/>
      <c r="G217" s="15"/>
      <c r="H217" s="15"/>
    </row>
    <row r="218" spans="1:8" x14ac:dyDescent="0.25">
      <c r="A218" s="38">
        <v>214</v>
      </c>
      <c r="B218" s="33" t="s">
        <v>254</v>
      </c>
      <c r="C218" s="14"/>
      <c r="D218" s="5"/>
      <c r="E218" s="19">
        <f>254+4.95</f>
        <v>258.95</v>
      </c>
      <c r="F218" s="5"/>
      <c r="G218" s="15">
        <v>240</v>
      </c>
      <c r="H218" s="15">
        <f t="shared" ref="H218:H281" si="10">E218*G218</f>
        <v>62148</v>
      </c>
    </row>
    <row r="219" spans="1:8" x14ac:dyDescent="0.25">
      <c r="A219" s="38">
        <v>215</v>
      </c>
      <c r="B219" s="33" t="s">
        <v>214</v>
      </c>
      <c r="C219" s="14"/>
      <c r="D219" s="5"/>
      <c r="E219" s="19">
        <f>18</f>
        <v>18</v>
      </c>
      <c r="F219" s="5"/>
      <c r="G219" s="15">
        <v>94</v>
      </c>
      <c r="H219" s="15">
        <f t="shared" si="10"/>
        <v>1692</v>
      </c>
    </row>
    <row r="220" spans="1:8" x14ac:dyDescent="0.25">
      <c r="A220" s="38">
        <v>216</v>
      </c>
      <c r="B220" s="33" t="s">
        <v>234</v>
      </c>
      <c r="C220" s="14"/>
      <c r="D220" s="5"/>
      <c r="E220" s="19"/>
      <c r="F220" s="5"/>
      <c r="G220" s="15"/>
      <c r="H220" s="15">
        <f t="shared" si="10"/>
        <v>0</v>
      </c>
    </row>
    <row r="221" spans="1:8" x14ac:dyDescent="0.25">
      <c r="A221" s="38">
        <v>217</v>
      </c>
      <c r="B221" s="33" t="s">
        <v>255</v>
      </c>
      <c r="C221" s="14"/>
      <c r="D221" s="5"/>
      <c r="E221" s="19">
        <f>75.5</f>
        <v>75.5</v>
      </c>
      <c r="F221" s="5"/>
      <c r="G221" s="15">
        <v>110</v>
      </c>
      <c r="H221" s="15">
        <f t="shared" si="10"/>
        <v>8305</v>
      </c>
    </row>
    <row r="222" spans="1:8" x14ac:dyDescent="0.25">
      <c r="A222" s="38">
        <v>218</v>
      </c>
      <c r="B222" s="33" t="s">
        <v>256</v>
      </c>
      <c r="C222" s="14"/>
      <c r="D222" s="5"/>
      <c r="E222" s="19">
        <f>377</f>
        <v>377</v>
      </c>
      <c r="F222" s="5"/>
      <c r="G222" s="15">
        <v>65</v>
      </c>
      <c r="H222" s="15">
        <f t="shared" si="10"/>
        <v>24505</v>
      </c>
    </row>
    <row r="223" spans="1:8" x14ac:dyDescent="0.25">
      <c r="A223" s="38">
        <v>219</v>
      </c>
      <c r="B223" s="33" t="s">
        <v>257</v>
      </c>
      <c r="C223" s="14"/>
      <c r="D223" s="5"/>
      <c r="E223" s="19">
        <f>190+3.68</f>
        <v>193.68</v>
      </c>
      <c r="F223" s="5"/>
      <c r="G223" s="15">
        <v>350</v>
      </c>
      <c r="H223" s="15">
        <f t="shared" si="10"/>
        <v>67788</v>
      </c>
    </row>
    <row r="224" spans="1:8" x14ac:dyDescent="0.25">
      <c r="A224" s="38">
        <v>220</v>
      </c>
      <c r="B224" s="33" t="s">
        <v>258</v>
      </c>
      <c r="C224" s="14"/>
      <c r="D224" s="5"/>
      <c r="E224" s="19">
        <f>18*4.54+7.26</f>
        <v>88.98</v>
      </c>
      <c r="F224" s="5"/>
      <c r="G224" s="15">
        <v>75</v>
      </c>
      <c r="H224" s="15">
        <f t="shared" si="10"/>
        <v>6673.5</v>
      </c>
    </row>
    <row r="225" spans="1:8" x14ac:dyDescent="0.25">
      <c r="A225" s="38">
        <v>221</v>
      </c>
      <c r="B225" s="33" t="s">
        <v>259</v>
      </c>
      <c r="C225" s="14"/>
      <c r="D225" s="5"/>
      <c r="E225" s="19">
        <f>7.58</f>
        <v>7.58</v>
      </c>
      <c r="F225" s="5"/>
      <c r="G225" s="15">
        <v>130</v>
      </c>
      <c r="H225" s="15">
        <f t="shared" si="10"/>
        <v>985.4</v>
      </c>
    </row>
    <row r="226" spans="1:8" x14ac:dyDescent="0.25">
      <c r="A226" s="38">
        <v>222</v>
      </c>
      <c r="B226" s="33" t="s">
        <v>260</v>
      </c>
      <c r="C226" s="14"/>
      <c r="D226" s="5"/>
      <c r="E226" s="19"/>
      <c r="F226" s="5"/>
      <c r="G226" s="15"/>
      <c r="H226" s="15">
        <f t="shared" si="10"/>
        <v>0</v>
      </c>
    </row>
    <row r="227" spans="1:8" x14ac:dyDescent="0.25">
      <c r="A227" s="38">
        <v>223</v>
      </c>
      <c r="B227" s="33" t="s">
        <v>249</v>
      </c>
      <c r="C227" s="14"/>
      <c r="D227" s="5"/>
      <c r="E227" s="19"/>
      <c r="F227" s="5"/>
      <c r="G227" s="15"/>
      <c r="H227" s="15">
        <f t="shared" si="10"/>
        <v>0</v>
      </c>
    </row>
    <row r="228" spans="1:8" x14ac:dyDescent="0.25">
      <c r="A228" s="38">
        <v>224</v>
      </c>
      <c r="B228" s="33" t="s">
        <v>261</v>
      </c>
      <c r="C228" s="14"/>
      <c r="D228" s="5"/>
      <c r="E228" s="19"/>
      <c r="F228" s="5"/>
      <c r="G228" s="15"/>
      <c r="H228" s="15">
        <f t="shared" si="10"/>
        <v>0</v>
      </c>
    </row>
    <row r="229" spans="1:8" x14ac:dyDescent="0.25">
      <c r="A229" s="38">
        <v>225</v>
      </c>
      <c r="B229" s="33" t="s">
        <v>251</v>
      </c>
      <c r="C229" s="14"/>
      <c r="D229" s="5"/>
      <c r="E229" s="19"/>
      <c r="F229" s="5"/>
      <c r="G229" s="15"/>
      <c r="H229" s="15">
        <f t="shared" si="10"/>
        <v>0</v>
      </c>
    </row>
    <row r="230" spans="1:8" x14ac:dyDescent="0.25">
      <c r="A230" s="38">
        <v>226</v>
      </c>
      <c r="B230" s="33" t="s">
        <v>218</v>
      </c>
      <c r="C230" s="14"/>
      <c r="D230" s="5"/>
      <c r="E230" s="19">
        <f>64+38+25</f>
        <v>127</v>
      </c>
      <c r="F230" s="5"/>
      <c r="G230" s="15">
        <v>80</v>
      </c>
      <c r="H230" s="15">
        <f t="shared" si="10"/>
        <v>10160</v>
      </c>
    </row>
    <row r="231" spans="1:8" x14ac:dyDescent="0.25">
      <c r="A231" s="38">
        <v>227</v>
      </c>
      <c r="B231" s="33" t="s">
        <v>262</v>
      </c>
      <c r="C231" s="14"/>
      <c r="D231" s="5"/>
      <c r="E231" s="19"/>
      <c r="F231" s="5"/>
      <c r="G231" s="15"/>
      <c r="H231" s="15">
        <f t="shared" si="10"/>
        <v>0</v>
      </c>
    </row>
    <row r="232" spans="1:8" x14ac:dyDescent="0.25">
      <c r="A232" s="38">
        <v>228</v>
      </c>
      <c r="B232" s="33" t="s">
        <v>263</v>
      </c>
      <c r="C232" s="14"/>
      <c r="D232" s="5"/>
      <c r="E232" s="19"/>
      <c r="F232" s="5"/>
      <c r="G232" s="15"/>
      <c r="H232" s="15">
        <f t="shared" si="10"/>
        <v>0</v>
      </c>
    </row>
    <row r="233" spans="1:8" x14ac:dyDescent="0.25">
      <c r="A233" s="38">
        <v>229</v>
      </c>
      <c r="B233" s="33" t="s">
        <v>264</v>
      </c>
      <c r="C233" s="14"/>
      <c r="D233" s="5"/>
      <c r="E233" s="19">
        <f>122+51.5+29.42+14.7+6.45+7.28</f>
        <v>231.35</v>
      </c>
      <c r="F233" s="5"/>
      <c r="G233" s="15">
        <v>112</v>
      </c>
      <c r="H233" s="15">
        <f t="shared" si="10"/>
        <v>25911.200000000001</v>
      </c>
    </row>
    <row r="234" spans="1:8" x14ac:dyDescent="0.25">
      <c r="A234" s="38">
        <v>230</v>
      </c>
      <c r="B234" s="33" t="s">
        <v>203</v>
      </c>
      <c r="C234" s="14"/>
      <c r="D234" s="5"/>
      <c r="E234" s="19">
        <f>54.5</f>
        <v>54.5</v>
      </c>
      <c r="F234" s="5"/>
      <c r="G234" s="15">
        <v>76</v>
      </c>
      <c r="H234" s="15">
        <f t="shared" si="10"/>
        <v>4142</v>
      </c>
    </row>
    <row r="235" spans="1:8" x14ac:dyDescent="0.25">
      <c r="A235" s="38">
        <v>231</v>
      </c>
      <c r="B235" s="33" t="s">
        <v>314</v>
      </c>
      <c r="C235" s="14"/>
      <c r="D235" s="5"/>
      <c r="E235" s="19">
        <f>189+32.5+26+36+46.5+51.5+94+31.52+7.56</f>
        <v>514.57999999999993</v>
      </c>
      <c r="F235" s="5"/>
      <c r="G235" s="15">
        <v>123</v>
      </c>
      <c r="H235" s="15">
        <f t="shared" si="10"/>
        <v>63293.339999999989</v>
      </c>
    </row>
    <row r="236" spans="1:8" x14ac:dyDescent="0.25">
      <c r="A236" s="38">
        <v>232</v>
      </c>
      <c r="B236" s="33" t="s">
        <v>265</v>
      </c>
      <c r="C236" s="14"/>
      <c r="D236" s="5"/>
      <c r="E236" s="19"/>
      <c r="F236" s="5"/>
      <c r="G236" s="15"/>
      <c r="H236" s="15">
        <f t="shared" si="10"/>
        <v>0</v>
      </c>
    </row>
    <row r="237" spans="1:8" x14ac:dyDescent="0.25">
      <c r="A237" s="38">
        <v>233</v>
      </c>
      <c r="B237" s="33" t="s">
        <v>266</v>
      </c>
      <c r="C237" s="14"/>
      <c r="D237" s="5"/>
      <c r="E237" s="19">
        <f>288+55+33.5+119.5+9.28+1.52</f>
        <v>506.79999999999995</v>
      </c>
      <c r="F237" s="5"/>
      <c r="G237" s="15">
        <v>204</v>
      </c>
      <c r="H237" s="15">
        <f t="shared" si="10"/>
        <v>103387.2</v>
      </c>
    </row>
    <row r="238" spans="1:8" x14ac:dyDescent="0.25">
      <c r="A238" s="38">
        <v>234</v>
      </c>
      <c r="B238" s="33" t="s">
        <v>262</v>
      </c>
      <c r="C238" s="14"/>
      <c r="D238" s="5"/>
      <c r="E238" s="19"/>
      <c r="F238" s="5"/>
      <c r="G238" s="15"/>
      <c r="H238" s="15">
        <f t="shared" si="10"/>
        <v>0</v>
      </c>
    </row>
    <row r="239" spans="1:8" x14ac:dyDescent="0.25">
      <c r="A239" s="38">
        <v>235</v>
      </c>
      <c r="B239" s="33" t="s">
        <v>267</v>
      </c>
      <c r="C239" s="14"/>
      <c r="D239" s="5"/>
      <c r="E239" s="19">
        <f>25.5+33.5</f>
        <v>59</v>
      </c>
      <c r="F239" s="5"/>
      <c r="G239" s="15">
        <v>50</v>
      </c>
      <c r="H239" s="15">
        <f t="shared" si="10"/>
        <v>2950</v>
      </c>
    </row>
    <row r="240" spans="1:8" x14ac:dyDescent="0.25">
      <c r="A240" s="38">
        <v>236</v>
      </c>
      <c r="B240" s="33" t="s">
        <v>174</v>
      </c>
      <c r="C240" s="14"/>
      <c r="D240" s="5"/>
      <c r="E240" s="19">
        <f>8.5+14.5+3.58</f>
        <v>26.58</v>
      </c>
      <c r="F240" s="5"/>
      <c r="G240" s="15">
        <v>88</v>
      </c>
      <c r="H240" s="15">
        <f t="shared" si="10"/>
        <v>2339.04</v>
      </c>
    </row>
    <row r="241" spans="1:8" x14ac:dyDescent="0.25">
      <c r="A241" s="38">
        <v>237</v>
      </c>
      <c r="B241" s="33" t="s">
        <v>229</v>
      </c>
      <c r="C241" s="14"/>
      <c r="D241" s="5"/>
      <c r="E241" s="19"/>
      <c r="F241" s="5"/>
      <c r="G241" s="15"/>
      <c r="H241" s="15">
        <f t="shared" si="10"/>
        <v>0</v>
      </c>
    </row>
    <row r="242" spans="1:8" x14ac:dyDescent="0.25">
      <c r="A242" s="38">
        <v>238</v>
      </c>
      <c r="B242" s="33" t="s">
        <v>263</v>
      </c>
      <c r="C242" s="14"/>
      <c r="D242" s="5"/>
      <c r="E242" s="19">
        <f>38</f>
        <v>38</v>
      </c>
      <c r="F242" s="5"/>
      <c r="G242" s="15">
        <v>80</v>
      </c>
      <c r="H242" s="15">
        <f t="shared" si="10"/>
        <v>3040</v>
      </c>
    </row>
    <row r="243" spans="1:8" x14ac:dyDescent="0.25">
      <c r="A243" s="38">
        <v>239</v>
      </c>
      <c r="B243" s="33" t="s">
        <v>264</v>
      </c>
      <c r="C243" s="14"/>
      <c r="D243" s="5"/>
      <c r="E243" s="19"/>
      <c r="F243" s="5"/>
      <c r="G243" s="15"/>
      <c r="H243" s="15">
        <f t="shared" si="10"/>
        <v>0</v>
      </c>
    </row>
    <row r="244" spans="1:8" x14ac:dyDescent="0.25">
      <c r="A244" s="38">
        <v>240</v>
      </c>
      <c r="B244" s="33" t="s">
        <v>181</v>
      </c>
      <c r="C244" s="14"/>
      <c r="D244" s="5"/>
      <c r="E244" s="19"/>
      <c r="F244" s="5"/>
      <c r="G244" s="15"/>
      <c r="H244" s="15">
        <f t="shared" si="10"/>
        <v>0</v>
      </c>
    </row>
    <row r="245" spans="1:8" x14ac:dyDescent="0.25">
      <c r="A245" s="38">
        <v>241</v>
      </c>
      <c r="B245" s="33" t="s">
        <v>315</v>
      </c>
      <c r="C245" s="14"/>
      <c r="D245" s="5"/>
      <c r="E245" s="19"/>
      <c r="F245" s="5"/>
      <c r="G245" s="15"/>
      <c r="H245" s="15">
        <f t="shared" si="10"/>
        <v>0</v>
      </c>
    </row>
    <row r="246" spans="1:8" x14ac:dyDescent="0.25">
      <c r="A246" s="38">
        <v>242</v>
      </c>
      <c r="B246" s="33" t="s">
        <v>268</v>
      </c>
      <c r="C246" s="14"/>
      <c r="D246" s="5"/>
      <c r="E246" s="19"/>
      <c r="F246" s="5"/>
      <c r="G246" s="15"/>
      <c r="H246" s="15">
        <f t="shared" si="10"/>
        <v>0</v>
      </c>
    </row>
    <row r="247" spans="1:8" x14ac:dyDescent="0.25">
      <c r="A247" s="38">
        <v>243</v>
      </c>
      <c r="B247" s="33" t="s">
        <v>214</v>
      </c>
      <c r="C247" s="14"/>
      <c r="D247" s="5"/>
      <c r="E247" s="19"/>
      <c r="F247" s="5"/>
      <c r="G247" s="15"/>
      <c r="H247" s="15">
        <f t="shared" si="10"/>
        <v>0</v>
      </c>
    </row>
    <row r="248" spans="1:8" x14ac:dyDescent="0.25">
      <c r="A248" s="38">
        <v>244</v>
      </c>
      <c r="B248" s="33" t="s">
        <v>395</v>
      </c>
      <c r="C248" s="14"/>
      <c r="D248" s="5"/>
      <c r="E248" s="19"/>
      <c r="F248" s="5"/>
      <c r="G248" s="15"/>
      <c r="H248" s="15">
        <f t="shared" si="10"/>
        <v>0</v>
      </c>
    </row>
    <row r="249" spans="1:8" x14ac:dyDescent="0.25">
      <c r="A249" s="38">
        <v>245</v>
      </c>
      <c r="B249" s="33" t="s">
        <v>209</v>
      </c>
      <c r="C249" s="14"/>
      <c r="D249" s="5"/>
      <c r="E249" s="19">
        <f>1194+1000+493.7+58+22.02+14.64</f>
        <v>2782.3599999999997</v>
      </c>
      <c r="F249" s="5"/>
      <c r="G249" s="15">
        <v>60</v>
      </c>
      <c r="H249" s="15">
        <f t="shared" si="10"/>
        <v>166941.59999999998</v>
      </c>
    </row>
    <row r="250" spans="1:8" x14ac:dyDescent="0.25">
      <c r="A250" s="38">
        <v>246</v>
      </c>
      <c r="B250" s="33" t="s">
        <v>370</v>
      </c>
      <c r="C250" s="14"/>
      <c r="D250" s="5"/>
      <c r="E250" s="19">
        <f>4.3+5.32+2.32</f>
        <v>11.940000000000001</v>
      </c>
      <c r="F250" s="5"/>
      <c r="G250" s="15">
        <v>140</v>
      </c>
      <c r="H250" s="15">
        <f t="shared" si="10"/>
        <v>1671.6000000000001</v>
      </c>
    </row>
    <row r="251" spans="1:8" x14ac:dyDescent="0.25">
      <c r="A251" s="38">
        <v>247</v>
      </c>
      <c r="B251" s="33" t="s">
        <v>270</v>
      </c>
      <c r="C251" s="14"/>
      <c r="D251" s="5"/>
      <c r="E251" s="19">
        <f>5.94+1.88</f>
        <v>7.82</v>
      </c>
      <c r="F251" s="5"/>
      <c r="G251" s="15">
        <v>145</v>
      </c>
      <c r="H251" s="15">
        <f t="shared" si="10"/>
        <v>1133.9000000000001</v>
      </c>
    </row>
    <row r="252" spans="1:8" x14ac:dyDescent="0.25">
      <c r="A252" s="38">
        <v>248</v>
      </c>
      <c r="B252" s="33" t="s">
        <v>271</v>
      </c>
      <c r="C252" s="14"/>
      <c r="D252" s="5"/>
      <c r="E252" s="19">
        <f>4.3</f>
        <v>4.3</v>
      </c>
      <c r="F252" s="5"/>
      <c r="G252" s="15">
        <v>100</v>
      </c>
      <c r="H252" s="15">
        <f t="shared" si="10"/>
        <v>430</v>
      </c>
    </row>
    <row r="253" spans="1:8" x14ac:dyDescent="0.25">
      <c r="A253" s="38">
        <v>249</v>
      </c>
      <c r="B253" s="33" t="s">
        <v>272</v>
      </c>
      <c r="C253" s="14"/>
      <c r="D253" s="5"/>
      <c r="E253" s="19"/>
      <c r="F253" s="5"/>
      <c r="G253" s="15"/>
      <c r="H253" s="15">
        <f t="shared" si="10"/>
        <v>0</v>
      </c>
    </row>
    <row r="254" spans="1:8" x14ac:dyDescent="0.25">
      <c r="A254" s="38">
        <v>250</v>
      </c>
      <c r="B254" s="33" t="s">
        <v>273</v>
      </c>
      <c r="C254" s="14"/>
      <c r="D254" s="5"/>
      <c r="E254" s="19">
        <f>39.5+3.22</f>
        <v>42.72</v>
      </c>
      <c r="F254" s="5"/>
      <c r="G254" s="15">
        <v>120</v>
      </c>
      <c r="H254" s="15">
        <f t="shared" si="10"/>
        <v>5126.3999999999996</v>
      </c>
    </row>
    <row r="255" spans="1:8" x14ac:dyDescent="0.25">
      <c r="A255" s="38">
        <v>251</v>
      </c>
      <c r="B255" s="33" t="s">
        <v>274</v>
      </c>
      <c r="C255" s="14"/>
      <c r="D255" s="5"/>
      <c r="E255" s="19">
        <f>40+9.16+5.32</f>
        <v>54.48</v>
      </c>
      <c r="F255" s="5"/>
      <c r="G255" s="15">
        <v>105</v>
      </c>
      <c r="H255" s="15">
        <f>E255*G255</f>
        <v>5720.4</v>
      </c>
    </row>
    <row r="256" spans="1:8" x14ac:dyDescent="0.25">
      <c r="A256" s="38">
        <v>252</v>
      </c>
      <c r="B256" s="33" t="s">
        <v>267</v>
      </c>
      <c r="C256" s="14"/>
      <c r="D256" s="5"/>
      <c r="E256" s="19"/>
      <c r="F256" s="5"/>
      <c r="G256" s="15"/>
      <c r="H256" s="15">
        <f t="shared" ref="H256:H265" si="11">E256*G256</f>
        <v>0</v>
      </c>
    </row>
    <row r="257" spans="1:8" x14ac:dyDescent="0.25">
      <c r="A257" s="38">
        <v>253</v>
      </c>
      <c r="B257" s="33" t="s">
        <v>275</v>
      </c>
      <c r="C257" s="14"/>
      <c r="D257" s="5"/>
      <c r="E257" s="19"/>
      <c r="F257" s="5"/>
      <c r="G257" s="15"/>
      <c r="H257" s="15">
        <f t="shared" si="11"/>
        <v>0</v>
      </c>
    </row>
    <row r="258" spans="1:8" x14ac:dyDescent="0.25">
      <c r="A258" s="38">
        <v>254</v>
      </c>
      <c r="B258" s="33" t="s">
        <v>208</v>
      </c>
      <c r="C258" s="14"/>
      <c r="D258" s="5"/>
      <c r="E258" s="19">
        <f>13.68+1.72</f>
        <v>15.4</v>
      </c>
      <c r="F258" s="5"/>
      <c r="G258" s="15">
        <v>125</v>
      </c>
      <c r="H258" s="15">
        <f t="shared" si="11"/>
        <v>1925</v>
      </c>
    </row>
    <row r="259" spans="1:8" x14ac:dyDescent="0.25">
      <c r="A259" s="38">
        <v>255</v>
      </c>
      <c r="B259" s="33" t="s">
        <v>215</v>
      </c>
      <c r="C259" s="14"/>
      <c r="D259" s="5"/>
      <c r="E259" s="19"/>
      <c r="F259" s="5"/>
      <c r="G259" s="15"/>
      <c r="H259" s="15">
        <f t="shared" si="11"/>
        <v>0</v>
      </c>
    </row>
    <row r="260" spans="1:8" x14ac:dyDescent="0.25">
      <c r="A260" s="38">
        <v>256</v>
      </c>
      <c r="B260" s="33" t="s">
        <v>277</v>
      </c>
      <c r="C260" s="14"/>
      <c r="D260" s="5"/>
      <c r="E260" s="19"/>
      <c r="F260" s="5"/>
      <c r="G260" s="15"/>
      <c r="H260" s="15">
        <f t="shared" si="11"/>
        <v>0</v>
      </c>
    </row>
    <row r="261" spans="1:8" x14ac:dyDescent="0.25">
      <c r="A261" s="38">
        <v>257</v>
      </c>
      <c r="B261" s="33" t="s">
        <v>229</v>
      </c>
      <c r="C261" s="14"/>
      <c r="D261" s="5"/>
      <c r="E261" s="19"/>
      <c r="F261" s="5"/>
      <c r="G261" s="15"/>
      <c r="H261" s="15">
        <f t="shared" si="11"/>
        <v>0</v>
      </c>
    </row>
    <row r="262" spans="1:8" x14ac:dyDescent="0.25">
      <c r="A262" s="38">
        <v>258</v>
      </c>
      <c r="B262" s="33" t="s">
        <v>203</v>
      </c>
      <c r="C262" s="14"/>
      <c r="D262" s="5"/>
      <c r="E262" s="19">
        <f>12.36</f>
        <v>12.36</v>
      </c>
      <c r="F262" s="5"/>
      <c r="G262" s="15">
        <v>76</v>
      </c>
      <c r="H262" s="15">
        <f t="shared" si="11"/>
        <v>939.3599999999999</v>
      </c>
    </row>
    <row r="263" spans="1:8" x14ac:dyDescent="0.25">
      <c r="A263" s="38">
        <v>259</v>
      </c>
      <c r="B263" s="33" t="s">
        <v>278</v>
      </c>
      <c r="C263" s="14"/>
      <c r="D263" s="5"/>
      <c r="E263" s="19">
        <f>8.8+22.5+24.76</f>
        <v>56.06</v>
      </c>
      <c r="F263" s="5"/>
      <c r="G263" s="15">
        <v>90</v>
      </c>
      <c r="H263" s="15">
        <f t="shared" si="11"/>
        <v>5045.4000000000005</v>
      </c>
    </row>
    <row r="264" spans="1:8" x14ac:dyDescent="0.25">
      <c r="A264" s="38">
        <v>260</v>
      </c>
      <c r="B264" s="33" t="s">
        <v>174</v>
      </c>
      <c r="C264" s="14"/>
      <c r="D264" s="5"/>
      <c r="E264" s="19">
        <f>114</f>
        <v>114</v>
      </c>
      <c r="F264" s="5"/>
      <c r="G264" s="15">
        <v>88</v>
      </c>
      <c r="H264" s="15">
        <f t="shared" si="11"/>
        <v>10032</v>
      </c>
    </row>
    <row r="265" spans="1:8" x14ac:dyDescent="0.25">
      <c r="A265" s="38">
        <v>261</v>
      </c>
      <c r="B265" s="33" t="s">
        <v>279</v>
      </c>
      <c r="C265" s="14"/>
      <c r="D265" s="5"/>
      <c r="E265" s="19"/>
      <c r="F265" s="5"/>
      <c r="G265" s="15"/>
      <c r="H265" s="15">
        <f t="shared" si="11"/>
        <v>0</v>
      </c>
    </row>
    <row r="266" spans="1:8" x14ac:dyDescent="0.25">
      <c r="A266" s="38">
        <v>262</v>
      </c>
      <c r="B266" s="33" t="s">
        <v>276</v>
      </c>
      <c r="C266" s="14"/>
      <c r="D266" s="5"/>
      <c r="E266" s="19"/>
      <c r="F266" s="5"/>
      <c r="G266" s="15"/>
      <c r="H266" s="15">
        <f t="shared" si="10"/>
        <v>0</v>
      </c>
    </row>
    <row r="267" spans="1:8" x14ac:dyDescent="0.25">
      <c r="A267" s="38">
        <v>263</v>
      </c>
      <c r="B267" s="33" t="s">
        <v>275</v>
      </c>
      <c r="C267" s="14"/>
      <c r="D267" s="5"/>
      <c r="E267" s="19">
        <f>3+2.8</f>
        <v>5.8</v>
      </c>
      <c r="F267" s="5"/>
      <c r="G267" s="15">
        <v>145</v>
      </c>
      <c r="H267" s="15">
        <f t="shared" si="10"/>
        <v>841</v>
      </c>
    </row>
    <row r="268" spans="1:8" x14ac:dyDescent="0.25">
      <c r="A268" s="38">
        <v>264</v>
      </c>
      <c r="B268" s="33" t="s">
        <v>269</v>
      </c>
      <c r="C268" s="14"/>
      <c r="D268" s="5"/>
      <c r="E268" s="19"/>
      <c r="F268" s="5"/>
      <c r="G268" s="15"/>
      <c r="H268" s="15">
        <f t="shared" si="10"/>
        <v>0</v>
      </c>
    </row>
    <row r="269" spans="1:8" x14ac:dyDescent="0.25">
      <c r="A269" s="38">
        <v>265</v>
      </c>
      <c r="B269" s="33" t="s">
        <v>395</v>
      </c>
      <c r="C269" s="14"/>
      <c r="D269" s="5"/>
      <c r="E269" s="19">
        <f>17+13.8+5.7+1.64</f>
        <v>38.14</v>
      </c>
      <c r="F269" s="5"/>
      <c r="G269" s="15">
        <v>125</v>
      </c>
      <c r="H269" s="15">
        <f t="shared" si="10"/>
        <v>4767.5</v>
      </c>
    </row>
    <row r="270" spans="1:8" x14ac:dyDescent="0.25">
      <c r="A270" s="38">
        <v>266</v>
      </c>
      <c r="B270" s="33" t="s">
        <v>280</v>
      </c>
      <c r="C270" s="14"/>
      <c r="D270" s="5"/>
      <c r="E270" s="19"/>
      <c r="F270" s="5"/>
      <c r="G270" s="15"/>
      <c r="H270" s="15">
        <f t="shared" si="10"/>
        <v>0</v>
      </c>
    </row>
    <row r="271" spans="1:8" x14ac:dyDescent="0.25">
      <c r="A271" s="38">
        <v>267</v>
      </c>
      <c r="B271" s="33" t="s">
        <v>263</v>
      </c>
      <c r="C271" s="14"/>
      <c r="D271" s="5"/>
      <c r="E271" s="19"/>
      <c r="F271" s="5"/>
      <c r="G271" s="15"/>
      <c r="H271" s="15">
        <f t="shared" si="10"/>
        <v>0</v>
      </c>
    </row>
    <row r="272" spans="1:8" x14ac:dyDescent="0.25">
      <c r="A272" s="38">
        <v>268</v>
      </c>
      <c r="B272" s="33" t="s">
        <v>213</v>
      </c>
      <c r="C272" s="14"/>
      <c r="D272" s="5"/>
      <c r="E272" s="19"/>
      <c r="F272" s="5"/>
      <c r="G272" s="15"/>
      <c r="H272" s="15">
        <f t="shared" si="10"/>
        <v>0</v>
      </c>
    </row>
    <row r="273" spans="1:8" x14ac:dyDescent="0.25">
      <c r="A273" s="38">
        <v>269</v>
      </c>
      <c r="B273" s="33" t="s">
        <v>220</v>
      </c>
      <c r="C273" s="14"/>
      <c r="D273" s="5"/>
      <c r="E273" s="19"/>
      <c r="F273" s="5"/>
      <c r="G273" s="15"/>
      <c r="H273" s="15">
        <f t="shared" si="10"/>
        <v>0</v>
      </c>
    </row>
    <row r="274" spans="1:8" x14ac:dyDescent="0.25">
      <c r="A274" s="38">
        <v>270</v>
      </c>
      <c r="B274" s="33" t="s">
        <v>5</v>
      </c>
      <c r="C274" s="14"/>
      <c r="D274" s="5"/>
      <c r="E274" s="19"/>
      <c r="F274" s="5"/>
      <c r="G274" s="15"/>
      <c r="H274" s="15">
        <f t="shared" si="10"/>
        <v>0</v>
      </c>
    </row>
    <row r="275" spans="1:8" x14ac:dyDescent="0.25">
      <c r="A275" s="38">
        <v>271</v>
      </c>
      <c r="B275" s="33" t="s">
        <v>281</v>
      </c>
      <c r="C275" s="14"/>
      <c r="D275" s="5"/>
      <c r="E275" s="19"/>
      <c r="F275" s="5"/>
      <c r="G275" s="15"/>
      <c r="H275" s="15">
        <f t="shared" si="10"/>
        <v>0</v>
      </c>
    </row>
    <row r="276" spans="1:8" x14ac:dyDescent="0.25">
      <c r="A276" s="38">
        <v>272</v>
      </c>
      <c r="B276" s="33" t="s">
        <v>422</v>
      </c>
      <c r="C276" s="14"/>
      <c r="D276" s="5"/>
      <c r="E276" s="19">
        <f>9.24</f>
        <v>9.24</v>
      </c>
      <c r="F276" s="5"/>
      <c r="G276" s="15">
        <v>220</v>
      </c>
      <c r="H276" s="15">
        <f t="shared" si="10"/>
        <v>2032.8</v>
      </c>
    </row>
    <row r="277" spans="1:8" x14ac:dyDescent="0.25">
      <c r="A277" s="38">
        <v>273</v>
      </c>
      <c r="B277" s="33" t="s">
        <v>341</v>
      </c>
      <c r="C277" s="14"/>
      <c r="D277" s="5"/>
      <c r="E277" s="19">
        <f>60+15</f>
        <v>75</v>
      </c>
      <c r="F277" s="5"/>
      <c r="G277" s="15">
        <v>140</v>
      </c>
      <c r="H277" s="15">
        <f t="shared" si="10"/>
        <v>10500</v>
      </c>
    </row>
    <row r="278" spans="1:8" x14ac:dyDescent="0.25">
      <c r="A278" s="38">
        <v>274</v>
      </c>
      <c r="B278" s="33" t="s">
        <v>71</v>
      </c>
      <c r="C278" s="14"/>
      <c r="D278" s="5"/>
      <c r="E278" s="19"/>
      <c r="F278" s="5"/>
      <c r="G278" s="15"/>
      <c r="H278" s="15">
        <f t="shared" si="10"/>
        <v>0</v>
      </c>
    </row>
    <row r="279" spans="1:8" x14ac:dyDescent="0.25">
      <c r="A279" s="38">
        <v>275</v>
      </c>
      <c r="B279" s="33" t="s">
        <v>365</v>
      </c>
      <c r="C279" s="14"/>
      <c r="D279" s="5"/>
      <c r="E279" s="19">
        <f>9.5</f>
        <v>9.5</v>
      </c>
      <c r="F279" s="5"/>
      <c r="G279" s="15">
        <v>125</v>
      </c>
      <c r="H279" s="15">
        <f t="shared" si="10"/>
        <v>1187.5</v>
      </c>
    </row>
    <row r="280" spans="1:8" x14ac:dyDescent="0.25">
      <c r="A280" s="38">
        <v>276</v>
      </c>
      <c r="B280" s="33" t="s">
        <v>282</v>
      </c>
      <c r="C280" s="14"/>
      <c r="D280" s="5"/>
      <c r="E280" s="19"/>
      <c r="F280" s="5"/>
      <c r="G280" s="15"/>
      <c r="H280" s="15">
        <f t="shared" si="10"/>
        <v>0</v>
      </c>
    </row>
    <row r="281" spans="1:8" x14ac:dyDescent="0.25">
      <c r="A281" s="38">
        <v>277</v>
      </c>
      <c r="B281" s="33" t="s">
        <v>283</v>
      </c>
      <c r="C281" s="14"/>
      <c r="D281" s="5"/>
      <c r="E281" s="19">
        <f>60+15</f>
        <v>75</v>
      </c>
      <c r="F281" s="5"/>
      <c r="G281" s="15">
        <v>115</v>
      </c>
      <c r="H281" s="15">
        <f t="shared" si="10"/>
        <v>8625</v>
      </c>
    </row>
    <row r="282" spans="1:8" x14ac:dyDescent="0.25">
      <c r="A282" s="38">
        <v>278</v>
      </c>
      <c r="B282" s="33" t="s">
        <v>284</v>
      </c>
      <c r="C282" s="14"/>
      <c r="D282" s="5"/>
      <c r="E282" s="19">
        <v>2</v>
      </c>
      <c r="F282" s="5"/>
      <c r="G282" s="15">
        <v>65</v>
      </c>
      <c r="H282" s="15">
        <f t="shared" ref="H282:H345" si="12">E282*G282</f>
        <v>130</v>
      </c>
    </row>
    <row r="283" spans="1:8" x14ac:dyDescent="0.25">
      <c r="A283" s="38">
        <v>279</v>
      </c>
      <c r="B283" s="33" t="s">
        <v>209</v>
      </c>
      <c r="C283" s="14"/>
      <c r="D283" s="5"/>
      <c r="E283" s="19"/>
      <c r="F283" s="5"/>
      <c r="G283" s="15"/>
      <c r="H283" s="15">
        <f t="shared" si="12"/>
        <v>0</v>
      </c>
    </row>
    <row r="284" spans="1:8" x14ac:dyDescent="0.25">
      <c r="A284" s="38">
        <v>280</v>
      </c>
      <c r="B284" s="33" t="s">
        <v>364</v>
      </c>
      <c r="C284" s="14"/>
      <c r="D284" s="5"/>
      <c r="E284" s="19">
        <f>77.5</f>
        <v>77.5</v>
      </c>
      <c r="F284" s="5"/>
      <c r="G284" s="15">
        <v>110</v>
      </c>
      <c r="H284" s="15">
        <f t="shared" si="12"/>
        <v>8525</v>
      </c>
    </row>
    <row r="285" spans="1:8" x14ac:dyDescent="0.25">
      <c r="A285" s="38">
        <v>281</v>
      </c>
      <c r="B285" s="33" t="s">
        <v>219</v>
      </c>
      <c r="C285" s="14"/>
      <c r="D285" s="5"/>
      <c r="E285" s="19">
        <f>89.8+15.9</f>
        <v>105.7</v>
      </c>
      <c r="F285" s="5"/>
      <c r="G285" s="15">
        <v>62</v>
      </c>
      <c r="H285" s="15">
        <f t="shared" si="12"/>
        <v>6553.4000000000005</v>
      </c>
    </row>
    <row r="286" spans="1:8" x14ac:dyDescent="0.25">
      <c r="A286" s="38">
        <v>282</v>
      </c>
      <c r="B286" s="33" t="s">
        <v>414</v>
      </c>
      <c r="C286" s="14"/>
      <c r="D286" s="5"/>
      <c r="E286" s="19">
        <f>14+1.2</f>
        <v>15.2</v>
      </c>
      <c r="F286" s="5"/>
      <c r="G286" s="15">
        <v>442</v>
      </c>
      <c r="H286" s="15">
        <f t="shared" si="12"/>
        <v>6718.4</v>
      </c>
    </row>
    <row r="287" spans="1:8" x14ac:dyDescent="0.25">
      <c r="A287" s="38">
        <v>283</v>
      </c>
      <c r="B287" s="33" t="s">
        <v>178</v>
      </c>
      <c r="C287" s="14"/>
      <c r="D287" s="5"/>
      <c r="E287" s="19">
        <f>96.18+5.6+71.79</f>
        <v>173.57</v>
      </c>
      <c r="F287" s="5"/>
      <c r="G287" s="15">
        <v>204</v>
      </c>
      <c r="H287" s="15">
        <f t="shared" si="12"/>
        <v>35408.28</v>
      </c>
    </row>
    <row r="288" spans="1:8" x14ac:dyDescent="0.25">
      <c r="A288" s="38">
        <v>284</v>
      </c>
      <c r="B288" s="33" t="s">
        <v>285</v>
      </c>
      <c r="C288" s="14"/>
      <c r="D288" s="5"/>
      <c r="E288" s="19"/>
      <c r="F288" s="5"/>
      <c r="G288" s="15"/>
      <c r="H288" s="15">
        <f t="shared" si="12"/>
        <v>0</v>
      </c>
    </row>
    <row r="289" spans="1:8" x14ac:dyDescent="0.25">
      <c r="A289" s="38">
        <v>285</v>
      </c>
      <c r="B289" s="33" t="s">
        <v>286</v>
      </c>
      <c r="C289" s="14"/>
      <c r="D289" s="5"/>
      <c r="E289" s="19">
        <f>16+3+108</f>
        <v>127</v>
      </c>
      <c r="F289" s="5"/>
      <c r="G289" s="15">
        <v>138</v>
      </c>
      <c r="H289" s="15">
        <f t="shared" si="12"/>
        <v>17526</v>
      </c>
    </row>
    <row r="290" spans="1:8" x14ac:dyDescent="0.25">
      <c r="A290" s="38">
        <v>286</v>
      </c>
      <c r="B290" s="33" t="s">
        <v>287</v>
      </c>
      <c r="C290" s="14"/>
      <c r="D290" s="5"/>
      <c r="E290" s="19"/>
      <c r="F290" s="5"/>
      <c r="G290" s="15"/>
      <c r="H290" s="15">
        <f t="shared" si="12"/>
        <v>0</v>
      </c>
    </row>
    <row r="291" spans="1:8" x14ac:dyDescent="0.25">
      <c r="A291" s="38">
        <v>287</v>
      </c>
      <c r="B291" s="33" t="s">
        <v>228</v>
      </c>
      <c r="C291" s="14"/>
      <c r="D291" s="5"/>
      <c r="E291" s="19">
        <f>326.64+49.5</f>
        <v>376.14</v>
      </c>
      <c r="F291" s="5"/>
      <c r="G291" s="15">
        <v>106</v>
      </c>
      <c r="H291" s="15">
        <f t="shared" si="12"/>
        <v>39870.839999999997</v>
      </c>
    </row>
    <row r="292" spans="1:8" x14ac:dyDescent="0.25">
      <c r="A292" s="38">
        <v>288</v>
      </c>
      <c r="B292" s="33" t="s">
        <v>267</v>
      </c>
      <c r="C292" s="14"/>
      <c r="D292" s="5"/>
      <c r="E292" s="19"/>
      <c r="F292" s="5"/>
      <c r="G292" s="15"/>
      <c r="H292" s="15">
        <f t="shared" si="12"/>
        <v>0</v>
      </c>
    </row>
    <row r="293" spans="1:8" x14ac:dyDescent="0.25">
      <c r="A293" s="38">
        <v>289</v>
      </c>
      <c r="B293" s="33" t="s">
        <v>237</v>
      </c>
      <c r="C293" s="14"/>
      <c r="D293" s="5"/>
      <c r="E293" s="19">
        <f>15.5+40</f>
        <v>55.5</v>
      </c>
      <c r="F293" s="5"/>
      <c r="G293" s="15">
        <v>90</v>
      </c>
      <c r="H293" s="15">
        <f t="shared" si="12"/>
        <v>4995</v>
      </c>
    </row>
    <row r="294" spans="1:8" x14ac:dyDescent="0.25">
      <c r="A294" s="38">
        <v>290</v>
      </c>
      <c r="B294" s="33" t="s">
        <v>288</v>
      </c>
      <c r="C294" s="14"/>
      <c r="D294" s="5"/>
      <c r="E294" s="19"/>
      <c r="F294" s="5"/>
      <c r="G294" s="15"/>
      <c r="H294" s="15">
        <f t="shared" si="12"/>
        <v>0</v>
      </c>
    </row>
    <row r="295" spans="1:8" x14ac:dyDescent="0.25">
      <c r="A295" s="38">
        <v>291</v>
      </c>
      <c r="B295" s="33" t="s">
        <v>235</v>
      </c>
      <c r="C295" s="14"/>
      <c r="D295" s="5"/>
      <c r="E295" s="19"/>
      <c r="F295" s="5"/>
      <c r="G295" s="15"/>
      <c r="H295" s="15">
        <f t="shared" si="12"/>
        <v>0</v>
      </c>
    </row>
    <row r="296" spans="1:8" x14ac:dyDescent="0.25">
      <c r="A296" s="38">
        <v>292</v>
      </c>
      <c r="B296" s="33" t="s">
        <v>289</v>
      </c>
      <c r="C296" s="14"/>
      <c r="D296" s="5"/>
      <c r="E296" s="19">
        <f>6.88</f>
        <v>6.88</v>
      </c>
      <c r="F296" s="5"/>
      <c r="G296" s="15"/>
      <c r="H296" s="15">
        <f t="shared" si="12"/>
        <v>0</v>
      </c>
    </row>
    <row r="297" spans="1:8" x14ac:dyDescent="0.25">
      <c r="A297" s="38">
        <v>293</v>
      </c>
      <c r="B297" s="33" t="s">
        <v>234</v>
      </c>
      <c r="C297" s="14"/>
      <c r="D297" s="5"/>
      <c r="E297" s="19"/>
      <c r="F297" s="5"/>
      <c r="G297" s="15"/>
      <c r="H297" s="15">
        <f t="shared" si="12"/>
        <v>0</v>
      </c>
    </row>
    <row r="298" spans="1:8" x14ac:dyDescent="0.25">
      <c r="A298" s="38">
        <v>294</v>
      </c>
      <c r="B298" s="33" t="s">
        <v>255</v>
      </c>
      <c r="C298" s="14"/>
      <c r="D298" s="5"/>
      <c r="E298" s="19"/>
      <c r="F298" s="5"/>
      <c r="G298" s="15"/>
      <c r="H298" s="15">
        <f t="shared" si="12"/>
        <v>0</v>
      </c>
    </row>
    <row r="299" spans="1:8" x14ac:dyDescent="0.25">
      <c r="A299" s="38">
        <v>295</v>
      </c>
      <c r="B299" s="33" t="s">
        <v>363</v>
      </c>
      <c r="C299" s="14"/>
      <c r="D299" s="5"/>
      <c r="E299" s="19">
        <f>47+73.5+103+18.5+95</f>
        <v>337</v>
      </c>
      <c r="F299" s="5"/>
      <c r="G299" s="15">
        <v>90</v>
      </c>
      <c r="H299" s="15">
        <f t="shared" si="12"/>
        <v>30330</v>
      </c>
    </row>
    <row r="300" spans="1:8" x14ac:dyDescent="0.25">
      <c r="A300" s="38">
        <v>296</v>
      </c>
      <c r="B300" s="33" t="s">
        <v>288</v>
      </c>
      <c r="C300" s="14"/>
      <c r="D300" s="5"/>
      <c r="E300" s="19">
        <f>19</f>
        <v>19</v>
      </c>
      <c r="F300" s="5"/>
      <c r="G300" s="15">
        <v>90</v>
      </c>
      <c r="H300" s="15">
        <f t="shared" si="12"/>
        <v>1710</v>
      </c>
    </row>
    <row r="301" spans="1:8" x14ac:dyDescent="0.25">
      <c r="A301" s="38">
        <v>297</v>
      </c>
      <c r="B301" s="33" t="s">
        <v>228</v>
      </c>
      <c r="C301" s="14"/>
      <c r="D301" s="5"/>
      <c r="E301" s="19"/>
      <c r="F301" s="5"/>
      <c r="G301" s="15"/>
      <c r="H301" s="15">
        <f t="shared" si="12"/>
        <v>0</v>
      </c>
    </row>
    <row r="302" spans="1:8" x14ac:dyDescent="0.25">
      <c r="A302" s="38">
        <v>298</v>
      </c>
      <c r="B302" s="33" t="s">
        <v>180</v>
      </c>
      <c r="C302" s="14"/>
      <c r="D302" s="5"/>
      <c r="E302" s="19">
        <f>17.78+1.84</f>
        <v>19.62</v>
      </c>
      <c r="F302" s="5"/>
      <c r="G302" s="15">
        <v>350</v>
      </c>
      <c r="H302" s="15">
        <f t="shared" si="12"/>
        <v>6867</v>
      </c>
    </row>
    <row r="303" spans="1:8" x14ac:dyDescent="0.25">
      <c r="A303" s="38">
        <v>299</v>
      </c>
      <c r="B303" s="33" t="s">
        <v>376</v>
      </c>
      <c r="C303" s="14"/>
      <c r="D303" s="5"/>
      <c r="E303" s="19">
        <f>14.5</f>
        <v>14.5</v>
      </c>
      <c r="F303" s="5"/>
      <c r="G303" s="15">
        <v>435</v>
      </c>
      <c r="H303" s="15">
        <f t="shared" si="12"/>
        <v>6307.5</v>
      </c>
    </row>
    <row r="304" spans="1:8" x14ac:dyDescent="0.25">
      <c r="A304" s="38">
        <v>300</v>
      </c>
      <c r="B304" s="33" t="s">
        <v>172</v>
      </c>
      <c r="C304" s="14"/>
      <c r="D304" s="5"/>
      <c r="E304" s="19">
        <f>59.5</f>
        <v>59.5</v>
      </c>
      <c r="F304" s="5"/>
      <c r="G304" s="15">
        <v>204</v>
      </c>
      <c r="H304" s="15">
        <f t="shared" si="12"/>
        <v>12138</v>
      </c>
    </row>
    <row r="305" spans="1:8" x14ac:dyDescent="0.25">
      <c r="A305" s="38">
        <v>301</v>
      </c>
      <c r="B305" s="33" t="s">
        <v>290</v>
      </c>
      <c r="C305" s="14"/>
      <c r="D305" s="5"/>
      <c r="E305" s="19">
        <f>2.6</f>
        <v>2.6</v>
      </c>
      <c r="F305" s="5"/>
      <c r="G305" s="15">
        <v>442</v>
      </c>
      <c r="H305" s="15">
        <f t="shared" si="12"/>
        <v>1149.2</v>
      </c>
    </row>
    <row r="306" spans="1:8" x14ac:dyDescent="0.25">
      <c r="A306" s="38">
        <v>302</v>
      </c>
      <c r="B306" s="33" t="s">
        <v>291</v>
      </c>
      <c r="C306" s="14"/>
      <c r="D306" s="5"/>
      <c r="E306" s="19"/>
      <c r="F306" s="5"/>
      <c r="G306" s="15"/>
      <c r="H306" s="15">
        <f t="shared" si="12"/>
        <v>0</v>
      </c>
    </row>
    <row r="307" spans="1:8" x14ac:dyDescent="0.25">
      <c r="A307" s="38">
        <v>303</v>
      </c>
      <c r="B307" s="33" t="s">
        <v>292</v>
      </c>
      <c r="C307" s="14"/>
      <c r="D307" s="5"/>
      <c r="E307" s="19"/>
      <c r="F307" s="5"/>
      <c r="G307" s="15"/>
      <c r="H307" s="15">
        <f t="shared" si="12"/>
        <v>0</v>
      </c>
    </row>
    <row r="308" spans="1:8" x14ac:dyDescent="0.25">
      <c r="A308" s="38">
        <v>304</v>
      </c>
      <c r="B308" s="33" t="s">
        <v>293</v>
      </c>
      <c r="C308" s="14"/>
      <c r="D308" s="5"/>
      <c r="E308" s="19">
        <f>24.92+3.84</f>
        <v>28.76</v>
      </c>
      <c r="F308" s="5"/>
      <c r="G308" s="15">
        <v>198</v>
      </c>
      <c r="H308" s="15">
        <f t="shared" si="12"/>
        <v>5694.4800000000005</v>
      </c>
    </row>
    <row r="309" spans="1:8" x14ac:dyDescent="0.25">
      <c r="A309" s="38">
        <v>305</v>
      </c>
      <c r="B309" s="33" t="s">
        <v>294</v>
      </c>
      <c r="C309" s="14"/>
      <c r="D309" s="5"/>
      <c r="E309" s="19">
        <f>472+30.5+22.5</f>
        <v>525</v>
      </c>
      <c r="F309" s="5"/>
      <c r="G309" s="15">
        <v>130</v>
      </c>
      <c r="H309" s="15">
        <f t="shared" si="12"/>
        <v>68250</v>
      </c>
    </row>
    <row r="310" spans="1:8" x14ac:dyDescent="0.25">
      <c r="A310" s="38">
        <v>306</v>
      </c>
      <c r="B310" s="33" t="s">
        <v>295</v>
      </c>
      <c r="C310" s="14"/>
      <c r="D310" s="5"/>
      <c r="E310" s="19">
        <f>10.88</f>
        <v>10.88</v>
      </c>
      <c r="F310" s="5"/>
      <c r="G310" s="15">
        <v>184</v>
      </c>
      <c r="H310" s="15">
        <f t="shared" si="12"/>
        <v>2001.92</v>
      </c>
    </row>
    <row r="311" spans="1:8" x14ac:dyDescent="0.25">
      <c r="A311" s="38">
        <v>307</v>
      </c>
      <c r="B311" s="33" t="s">
        <v>296</v>
      </c>
      <c r="C311" s="14"/>
      <c r="D311" s="5"/>
      <c r="E311" s="19">
        <f>203.5+22.5+544</f>
        <v>770</v>
      </c>
      <c r="F311" s="5"/>
      <c r="G311" s="15">
        <v>350</v>
      </c>
      <c r="H311" s="15">
        <f t="shared" si="12"/>
        <v>269500</v>
      </c>
    </row>
    <row r="312" spans="1:8" x14ac:dyDescent="0.25">
      <c r="A312" s="38">
        <v>308</v>
      </c>
      <c r="B312" s="33" t="s">
        <v>277</v>
      </c>
      <c r="C312" s="14"/>
      <c r="D312" s="5"/>
      <c r="E312" s="19"/>
      <c r="F312" s="5"/>
      <c r="G312" s="15"/>
      <c r="H312" s="15">
        <f t="shared" si="12"/>
        <v>0</v>
      </c>
    </row>
    <row r="313" spans="1:8" x14ac:dyDescent="0.25">
      <c r="A313" s="38">
        <v>309</v>
      </c>
      <c r="B313" s="33" t="s">
        <v>297</v>
      </c>
      <c r="C313" s="14"/>
      <c r="D313" s="5"/>
      <c r="E313" s="19">
        <f>8.16</f>
        <v>8.16</v>
      </c>
      <c r="F313" s="5"/>
      <c r="G313" s="15">
        <v>155</v>
      </c>
      <c r="H313" s="15">
        <f t="shared" si="12"/>
        <v>1264.8</v>
      </c>
    </row>
    <row r="314" spans="1:8" x14ac:dyDescent="0.25">
      <c r="A314" s="38">
        <v>310</v>
      </c>
      <c r="B314" s="33" t="s">
        <v>180</v>
      </c>
      <c r="C314" s="14"/>
      <c r="D314" s="5"/>
      <c r="E314" s="19"/>
      <c r="F314" s="5"/>
      <c r="G314" s="15"/>
      <c r="H314" s="15">
        <f t="shared" si="12"/>
        <v>0</v>
      </c>
    </row>
    <row r="315" spans="1:8" x14ac:dyDescent="0.25">
      <c r="A315" s="38">
        <v>311</v>
      </c>
      <c r="B315" s="33" t="s">
        <v>375</v>
      </c>
      <c r="C315" s="14"/>
      <c r="D315" s="5"/>
      <c r="E315" s="19">
        <f>558+489+206+22.5</f>
        <v>1275.5</v>
      </c>
      <c r="F315" s="5"/>
      <c r="G315" s="15">
        <v>204</v>
      </c>
      <c r="H315" s="15">
        <f t="shared" si="12"/>
        <v>260202</v>
      </c>
    </row>
    <row r="316" spans="1:8" x14ac:dyDescent="0.25">
      <c r="A316" s="38">
        <v>312</v>
      </c>
      <c r="B316" s="33" t="s">
        <v>298</v>
      </c>
      <c r="C316" s="14"/>
      <c r="D316" s="5"/>
      <c r="E316" s="19"/>
      <c r="F316" s="5"/>
      <c r="G316" s="15"/>
      <c r="H316" s="15">
        <f t="shared" si="12"/>
        <v>0</v>
      </c>
    </row>
    <row r="317" spans="1:8" x14ac:dyDescent="0.25">
      <c r="A317" s="38">
        <v>313</v>
      </c>
      <c r="B317" s="33" t="s">
        <v>425</v>
      </c>
      <c r="C317" s="14"/>
      <c r="D317" s="5"/>
      <c r="E317" s="19">
        <f>4.28</f>
        <v>4.28</v>
      </c>
      <c r="F317" s="5"/>
      <c r="G317" s="15">
        <v>580</v>
      </c>
      <c r="H317" s="15">
        <f t="shared" si="12"/>
        <v>2482.4</v>
      </c>
    </row>
    <row r="318" spans="1:8" x14ac:dyDescent="0.25">
      <c r="A318" s="38">
        <v>314</v>
      </c>
      <c r="B318" s="33" t="s">
        <v>299</v>
      </c>
      <c r="C318" s="14"/>
      <c r="D318" s="5"/>
      <c r="E318" s="19">
        <f>0.64</f>
        <v>0.64</v>
      </c>
      <c r="F318" s="5"/>
      <c r="G318" s="15">
        <v>850</v>
      </c>
      <c r="H318" s="15">
        <f t="shared" si="12"/>
        <v>544</v>
      </c>
    </row>
    <row r="319" spans="1:8" x14ac:dyDescent="0.25">
      <c r="A319" s="38">
        <v>315</v>
      </c>
      <c r="B319" s="33" t="s">
        <v>423</v>
      </c>
      <c r="C319" s="14"/>
      <c r="D319" s="5"/>
      <c r="E319" s="19">
        <f>1.36</f>
        <v>1.36</v>
      </c>
      <c r="F319" s="5"/>
      <c r="G319" s="15">
        <v>900</v>
      </c>
      <c r="H319" s="15">
        <f t="shared" si="12"/>
        <v>1224</v>
      </c>
    </row>
    <row r="320" spans="1:8" x14ac:dyDescent="0.25">
      <c r="A320" s="38">
        <v>316</v>
      </c>
      <c r="B320" s="33" t="s">
        <v>300</v>
      </c>
      <c r="C320" s="14"/>
      <c r="D320" s="5"/>
      <c r="E320" s="19">
        <f>523.5</f>
        <v>523.5</v>
      </c>
      <c r="F320" s="5"/>
      <c r="G320" s="15">
        <v>204</v>
      </c>
      <c r="H320" s="15">
        <f t="shared" si="12"/>
        <v>106794</v>
      </c>
    </row>
    <row r="321" spans="1:8" x14ac:dyDescent="0.25">
      <c r="A321" s="38">
        <v>317</v>
      </c>
      <c r="B321" s="33" t="s">
        <v>290</v>
      </c>
      <c r="C321" s="14"/>
      <c r="D321" s="5"/>
      <c r="E321" s="19"/>
      <c r="F321" s="5"/>
      <c r="G321" s="15"/>
      <c r="H321" s="15">
        <f t="shared" si="12"/>
        <v>0</v>
      </c>
    </row>
    <row r="322" spans="1:8" x14ac:dyDescent="0.25">
      <c r="A322" s="38">
        <v>318</v>
      </c>
      <c r="B322" s="33" t="s">
        <v>301</v>
      </c>
      <c r="C322" s="14"/>
      <c r="D322" s="5"/>
      <c r="E322" s="19">
        <f>166.5+3.6</f>
        <v>170.1</v>
      </c>
      <c r="F322" s="5"/>
      <c r="G322" s="15">
        <v>5204</v>
      </c>
      <c r="H322" s="15">
        <f t="shared" si="12"/>
        <v>885200.4</v>
      </c>
    </row>
    <row r="323" spans="1:8" x14ac:dyDescent="0.25">
      <c r="A323" s="38">
        <v>319</v>
      </c>
      <c r="B323" s="33" t="s">
        <v>302</v>
      </c>
      <c r="C323" s="14"/>
      <c r="D323" s="5"/>
      <c r="E323" s="19">
        <f>36.5+0.746+3.62</f>
        <v>40.866</v>
      </c>
      <c r="F323" s="5"/>
      <c r="G323" s="15">
        <v>220</v>
      </c>
      <c r="H323" s="15">
        <f t="shared" si="12"/>
        <v>8990.52</v>
      </c>
    </row>
    <row r="324" spans="1:8" x14ac:dyDescent="0.25">
      <c r="A324" s="38">
        <v>320</v>
      </c>
      <c r="B324" s="33" t="s">
        <v>303</v>
      </c>
      <c r="C324" s="14"/>
      <c r="D324" s="5"/>
      <c r="E324" s="19"/>
      <c r="F324" s="5"/>
      <c r="G324" s="15"/>
      <c r="H324" s="15">
        <f t="shared" si="12"/>
        <v>0</v>
      </c>
    </row>
    <row r="325" spans="1:8" x14ac:dyDescent="0.25">
      <c r="A325" s="38">
        <v>321</v>
      </c>
      <c r="B325" s="33" t="s">
        <v>304</v>
      </c>
      <c r="C325" s="14"/>
      <c r="D325" s="5"/>
      <c r="E325" s="19"/>
      <c r="F325" s="5"/>
      <c r="G325" s="15"/>
      <c r="H325" s="15">
        <f t="shared" si="12"/>
        <v>0</v>
      </c>
    </row>
    <row r="326" spans="1:8" x14ac:dyDescent="0.25">
      <c r="A326" s="38">
        <v>322</v>
      </c>
      <c r="B326" s="33" t="s">
        <v>305</v>
      </c>
      <c r="C326" s="14"/>
      <c r="D326" s="5"/>
      <c r="E326" s="19"/>
      <c r="F326" s="5"/>
      <c r="G326" s="15"/>
      <c r="H326" s="15">
        <f t="shared" si="12"/>
        <v>0</v>
      </c>
    </row>
    <row r="327" spans="1:8" x14ac:dyDescent="0.25">
      <c r="A327" s="38">
        <v>323</v>
      </c>
      <c r="B327" s="33" t="s">
        <v>306</v>
      </c>
      <c r="C327" s="14"/>
      <c r="D327" s="5"/>
      <c r="E327" s="19"/>
      <c r="F327" s="5"/>
      <c r="G327" s="15"/>
      <c r="H327" s="15">
        <f t="shared" si="12"/>
        <v>0</v>
      </c>
    </row>
    <row r="328" spans="1:8" x14ac:dyDescent="0.25">
      <c r="A328" s="38">
        <v>324</v>
      </c>
      <c r="B328" s="33" t="s">
        <v>307</v>
      </c>
      <c r="C328" s="14"/>
      <c r="D328" s="5"/>
      <c r="E328" s="19"/>
      <c r="F328" s="5"/>
      <c r="G328" s="15"/>
      <c r="H328" s="15">
        <f t="shared" si="12"/>
        <v>0</v>
      </c>
    </row>
    <row r="329" spans="1:8" x14ac:dyDescent="0.25">
      <c r="A329" s="38">
        <v>325</v>
      </c>
      <c r="B329" s="33" t="s">
        <v>306</v>
      </c>
      <c r="C329" s="14"/>
      <c r="D329" s="5"/>
      <c r="E329" s="19"/>
      <c r="F329" s="5"/>
      <c r="G329" s="15"/>
      <c r="H329" s="15">
        <f t="shared" si="12"/>
        <v>0</v>
      </c>
    </row>
    <row r="330" spans="1:8" x14ac:dyDescent="0.25">
      <c r="A330" s="38">
        <v>326</v>
      </c>
      <c r="B330" s="33" t="s">
        <v>178</v>
      </c>
      <c r="C330" s="14"/>
      <c r="D330" s="5"/>
      <c r="E330" s="19"/>
      <c r="F330" s="5"/>
      <c r="G330" s="15"/>
      <c r="H330" s="15">
        <f t="shared" si="12"/>
        <v>0</v>
      </c>
    </row>
    <row r="331" spans="1:8" x14ac:dyDescent="0.25">
      <c r="A331" s="38">
        <v>327</v>
      </c>
      <c r="B331" s="33" t="s">
        <v>308</v>
      </c>
      <c r="C331" s="14"/>
      <c r="D331" s="5"/>
      <c r="E331" s="19">
        <f>7.48</f>
        <v>7.48</v>
      </c>
      <c r="F331" s="5"/>
      <c r="G331" s="15">
        <v>430</v>
      </c>
      <c r="H331" s="15">
        <f t="shared" si="12"/>
        <v>3216.4</v>
      </c>
    </row>
    <row r="332" spans="1:8" x14ac:dyDescent="0.25">
      <c r="A332" s="38">
        <v>328</v>
      </c>
      <c r="B332" s="33" t="s">
        <v>291</v>
      </c>
      <c r="C332" s="14"/>
      <c r="D332" s="5"/>
      <c r="E332" s="19"/>
      <c r="F332" s="5"/>
      <c r="G332" s="15"/>
      <c r="H332" s="15">
        <f t="shared" si="12"/>
        <v>0</v>
      </c>
    </row>
    <row r="333" spans="1:8" x14ac:dyDescent="0.25">
      <c r="A333" s="38">
        <v>329</v>
      </c>
      <c r="B333" s="33" t="s">
        <v>309</v>
      </c>
      <c r="C333" s="14"/>
      <c r="D333" s="5"/>
      <c r="E333" s="19"/>
      <c r="F333" s="5"/>
      <c r="G333" s="15"/>
      <c r="H333" s="15">
        <f t="shared" si="12"/>
        <v>0</v>
      </c>
    </row>
    <row r="334" spans="1:8" x14ac:dyDescent="0.25">
      <c r="A334" s="38">
        <v>330</v>
      </c>
      <c r="B334" s="33" t="s">
        <v>187</v>
      </c>
      <c r="C334" s="14"/>
      <c r="D334" s="5"/>
      <c r="E334" s="19"/>
      <c r="F334" s="5"/>
      <c r="G334" s="15"/>
      <c r="H334" s="15">
        <f t="shared" si="12"/>
        <v>0</v>
      </c>
    </row>
    <row r="335" spans="1:8" x14ac:dyDescent="0.25">
      <c r="A335" s="38">
        <v>331</v>
      </c>
      <c r="B335" s="33" t="s">
        <v>310</v>
      </c>
      <c r="C335" s="14"/>
      <c r="D335" s="5"/>
      <c r="E335" s="19"/>
      <c r="F335" s="5"/>
      <c r="G335" s="15"/>
      <c r="H335" s="15">
        <f t="shared" si="12"/>
        <v>0</v>
      </c>
    </row>
    <row r="336" spans="1:8" x14ac:dyDescent="0.25">
      <c r="A336" s="38">
        <v>332</v>
      </c>
      <c r="B336" s="33" t="s">
        <v>316</v>
      </c>
      <c r="C336" s="14"/>
      <c r="D336" s="5"/>
      <c r="E336" s="19">
        <f>4+13</f>
        <v>17</v>
      </c>
      <c r="F336" s="5"/>
      <c r="G336" s="15">
        <v>30</v>
      </c>
      <c r="H336" s="15">
        <f t="shared" si="12"/>
        <v>510</v>
      </c>
    </row>
    <row r="337" spans="1:8" x14ac:dyDescent="0.25">
      <c r="A337" s="38">
        <v>333</v>
      </c>
      <c r="B337" s="33" t="s">
        <v>317</v>
      </c>
      <c r="C337" s="14"/>
      <c r="D337" s="5"/>
      <c r="E337" s="19">
        <f>7+23+12</f>
        <v>42</v>
      </c>
      <c r="F337" s="5"/>
      <c r="G337" s="15">
        <v>23</v>
      </c>
      <c r="H337" s="15">
        <f t="shared" si="12"/>
        <v>966</v>
      </c>
    </row>
    <row r="338" spans="1:8" x14ac:dyDescent="0.25">
      <c r="A338" s="38">
        <v>334</v>
      </c>
      <c r="B338" s="33" t="s">
        <v>318</v>
      </c>
      <c r="C338" s="14"/>
      <c r="D338" s="5"/>
      <c r="E338" s="19">
        <f>2</f>
        <v>2</v>
      </c>
      <c r="F338" s="5"/>
      <c r="G338" s="15">
        <v>18</v>
      </c>
      <c r="H338" s="15">
        <f t="shared" si="12"/>
        <v>36</v>
      </c>
    </row>
    <row r="339" spans="1:8" x14ac:dyDescent="0.25">
      <c r="A339" s="38">
        <v>335</v>
      </c>
      <c r="B339" s="33" t="s">
        <v>186</v>
      </c>
      <c r="C339" s="14"/>
      <c r="D339" s="5"/>
      <c r="E339" s="19"/>
      <c r="F339" s="5"/>
      <c r="G339" s="15"/>
      <c r="H339" s="15">
        <f t="shared" si="12"/>
        <v>0</v>
      </c>
    </row>
    <row r="340" spans="1:8" x14ac:dyDescent="0.25">
      <c r="A340" s="38">
        <v>336</v>
      </c>
      <c r="B340" s="33" t="s">
        <v>319</v>
      </c>
      <c r="C340" s="14"/>
      <c r="D340" s="5"/>
      <c r="E340" s="19"/>
      <c r="F340" s="5"/>
      <c r="G340" s="15"/>
      <c r="H340" s="15">
        <f t="shared" si="12"/>
        <v>0</v>
      </c>
    </row>
    <row r="341" spans="1:8" x14ac:dyDescent="0.25">
      <c r="A341" s="38">
        <v>337</v>
      </c>
      <c r="B341" s="33" t="s">
        <v>320</v>
      </c>
      <c r="C341" s="14"/>
      <c r="D341" s="5"/>
      <c r="E341" s="19"/>
      <c r="F341" s="5"/>
      <c r="G341" s="15"/>
      <c r="H341" s="15">
        <f t="shared" si="12"/>
        <v>0</v>
      </c>
    </row>
    <row r="342" spans="1:8" x14ac:dyDescent="0.25">
      <c r="A342" s="38">
        <v>338</v>
      </c>
      <c r="B342" s="33" t="s">
        <v>321</v>
      </c>
      <c r="C342" s="14"/>
      <c r="D342" s="5"/>
      <c r="E342" s="19"/>
      <c r="F342" s="5"/>
      <c r="G342" s="15"/>
      <c r="H342" s="15">
        <f t="shared" si="12"/>
        <v>0</v>
      </c>
    </row>
    <row r="343" spans="1:8" x14ac:dyDescent="0.25">
      <c r="A343" s="38">
        <v>339</v>
      </c>
      <c r="B343" s="33" t="s">
        <v>322</v>
      </c>
      <c r="C343" s="14"/>
      <c r="D343" s="5"/>
      <c r="E343" s="19"/>
      <c r="F343" s="5"/>
      <c r="G343" s="15"/>
      <c r="H343" s="15">
        <f t="shared" si="12"/>
        <v>0</v>
      </c>
    </row>
    <row r="344" spans="1:8" x14ac:dyDescent="0.25">
      <c r="A344" s="38">
        <v>340</v>
      </c>
      <c r="B344" s="33" t="s">
        <v>323</v>
      </c>
      <c r="C344" s="14"/>
      <c r="D344" s="5"/>
      <c r="E344" s="19"/>
      <c r="F344" s="5"/>
      <c r="G344" s="15"/>
      <c r="H344" s="15">
        <f t="shared" si="12"/>
        <v>0</v>
      </c>
    </row>
    <row r="345" spans="1:8" x14ac:dyDescent="0.25">
      <c r="A345" s="38">
        <v>341</v>
      </c>
      <c r="B345" s="33" t="s">
        <v>324</v>
      </c>
      <c r="C345" s="14"/>
      <c r="D345" s="5"/>
      <c r="E345" s="19"/>
      <c r="F345" s="5"/>
      <c r="G345" s="15"/>
      <c r="H345" s="15">
        <f t="shared" si="12"/>
        <v>0</v>
      </c>
    </row>
    <row r="346" spans="1:8" x14ac:dyDescent="0.25">
      <c r="A346" s="38">
        <v>342</v>
      </c>
      <c r="B346" s="33" t="s">
        <v>325</v>
      </c>
      <c r="C346" s="14"/>
      <c r="D346" s="5"/>
      <c r="E346" s="19">
        <f>68+2+3</f>
        <v>73</v>
      </c>
      <c r="F346" s="5"/>
      <c r="G346" s="15">
        <v>28</v>
      </c>
      <c r="H346" s="15">
        <f t="shared" ref="H346:H409" si="13">E346*G346</f>
        <v>2044</v>
      </c>
    </row>
    <row r="347" spans="1:8" x14ac:dyDescent="0.25">
      <c r="A347" s="38">
        <v>343</v>
      </c>
      <c r="B347" s="33" t="s">
        <v>326</v>
      </c>
      <c r="C347" s="14"/>
      <c r="D347" s="5"/>
      <c r="E347" s="19"/>
      <c r="F347" s="5"/>
      <c r="G347" s="15"/>
      <c r="H347" s="15">
        <f t="shared" si="13"/>
        <v>0</v>
      </c>
    </row>
    <row r="348" spans="1:8" x14ac:dyDescent="0.25">
      <c r="A348" s="38">
        <v>344</v>
      </c>
      <c r="B348" s="33" t="s">
        <v>404</v>
      </c>
      <c r="C348" s="14"/>
      <c r="D348" s="5"/>
      <c r="E348" s="19">
        <f>2+1</f>
        <v>3</v>
      </c>
      <c r="F348" s="5"/>
      <c r="G348" s="15">
        <v>88</v>
      </c>
      <c r="H348" s="15">
        <f t="shared" si="13"/>
        <v>264</v>
      </c>
    </row>
    <row r="349" spans="1:8" x14ac:dyDescent="0.25">
      <c r="A349" s="38">
        <v>345</v>
      </c>
      <c r="B349" s="33" t="s">
        <v>372</v>
      </c>
      <c r="C349" s="14"/>
      <c r="D349" s="5"/>
      <c r="E349" s="19">
        <v>3</v>
      </c>
      <c r="F349" s="5"/>
      <c r="G349" s="15">
        <v>98</v>
      </c>
      <c r="H349" s="15">
        <f t="shared" si="13"/>
        <v>294</v>
      </c>
    </row>
    <row r="350" spans="1:8" x14ac:dyDescent="0.25">
      <c r="A350" s="38">
        <v>346</v>
      </c>
      <c r="B350" s="33" t="s">
        <v>373</v>
      </c>
      <c r="C350" s="14"/>
      <c r="D350" s="5"/>
      <c r="E350" s="19">
        <v>5</v>
      </c>
      <c r="F350" s="5"/>
      <c r="G350" s="15">
        <v>98</v>
      </c>
      <c r="H350" s="15">
        <f t="shared" si="13"/>
        <v>490</v>
      </c>
    </row>
    <row r="351" spans="1:8" x14ac:dyDescent="0.25">
      <c r="A351" s="38">
        <v>347</v>
      </c>
      <c r="B351" s="33" t="s">
        <v>409</v>
      </c>
      <c r="C351" s="14"/>
      <c r="D351" s="5"/>
      <c r="E351" s="19">
        <v>5</v>
      </c>
      <c r="F351" s="5"/>
      <c r="G351" s="15">
        <v>95</v>
      </c>
      <c r="H351" s="15">
        <f t="shared" si="13"/>
        <v>475</v>
      </c>
    </row>
    <row r="352" spans="1:8" x14ac:dyDescent="0.25">
      <c r="A352" s="38">
        <v>348</v>
      </c>
      <c r="B352" s="33" t="s">
        <v>406</v>
      </c>
      <c r="C352" s="14"/>
      <c r="D352" s="5"/>
      <c r="E352" s="19">
        <v>3</v>
      </c>
      <c r="F352" s="5"/>
      <c r="G352" s="15">
        <v>60</v>
      </c>
      <c r="H352" s="15">
        <f t="shared" si="13"/>
        <v>180</v>
      </c>
    </row>
    <row r="353" spans="1:8" x14ac:dyDescent="0.25">
      <c r="A353" s="38">
        <v>349</v>
      </c>
      <c r="B353" s="33" t="s">
        <v>361</v>
      </c>
      <c r="C353" s="14"/>
      <c r="D353" s="5"/>
      <c r="E353" s="19"/>
      <c r="F353" s="5"/>
      <c r="G353" s="15"/>
      <c r="H353" s="15">
        <f t="shared" si="13"/>
        <v>0</v>
      </c>
    </row>
    <row r="354" spans="1:8" x14ac:dyDescent="0.25">
      <c r="A354" s="38">
        <v>350</v>
      </c>
      <c r="B354" s="33" t="s">
        <v>403</v>
      </c>
      <c r="C354" s="14"/>
      <c r="D354" s="5"/>
      <c r="E354" s="19">
        <v>2</v>
      </c>
      <c r="F354" s="5"/>
      <c r="G354" s="15">
        <v>98</v>
      </c>
      <c r="H354" s="15">
        <f t="shared" si="13"/>
        <v>196</v>
      </c>
    </row>
    <row r="355" spans="1:8" x14ac:dyDescent="0.25">
      <c r="A355" s="38">
        <v>351</v>
      </c>
      <c r="B355" s="33" t="s">
        <v>327</v>
      </c>
      <c r="C355" s="14"/>
      <c r="D355" s="5"/>
      <c r="E355" s="19"/>
      <c r="F355" s="5"/>
      <c r="G355" s="15"/>
      <c r="H355" s="15">
        <f t="shared" si="13"/>
        <v>0</v>
      </c>
    </row>
    <row r="356" spans="1:8" x14ac:dyDescent="0.25">
      <c r="A356" s="38">
        <v>352</v>
      </c>
      <c r="B356" s="33" t="s">
        <v>328</v>
      </c>
      <c r="C356" s="14"/>
      <c r="D356" s="5"/>
      <c r="E356" s="19"/>
      <c r="F356" s="5"/>
      <c r="G356" s="15"/>
      <c r="H356" s="15">
        <f t="shared" si="13"/>
        <v>0</v>
      </c>
    </row>
    <row r="357" spans="1:8" x14ac:dyDescent="0.25">
      <c r="A357" s="38">
        <v>353</v>
      </c>
      <c r="B357" s="33" t="s">
        <v>329</v>
      </c>
      <c r="C357" s="14"/>
      <c r="D357" s="5"/>
      <c r="E357" s="19">
        <f>3</f>
        <v>3</v>
      </c>
      <c r="F357" s="5"/>
      <c r="G357" s="15">
        <v>60</v>
      </c>
      <c r="H357" s="15">
        <f t="shared" si="13"/>
        <v>180</v>
      </c>
    </row>
    <row r="358" spans="1:8" x14ac:dyDescent="0.25">
      <c r="A358" s="38">
        <v>354</v>
      </c>
      <c r="B358" s="33" t="s">
        <v>330</v>
      </c>
      <c r="C358" s="14"/>
      <c r="D358" s="5"/>
      <c r="E358" s="19"/>
      <c r="F358" s="5"/>
      <c r="G358" s="15"/>
      <c r="H358" s="15">
        <f t="shared" si="13"/>
        <v>0</v>
      </c>
    </row>
    <row r="359" spans="1:8" x14ac:dyDescent="0.25">
      <c r="A359" s="38">
        <v>355</v>
      </c>
      <c r="B359" s="33" t="s">
        <v>331</v>
      </c>
      <c r="C359" s="14"/>
      <c r="D359" s="5"/>
      <c r="E359" s="19"/>
      <c r="F359" s="5"/>
      <c r="G359" s="15"/>
      <c r="H359" s="15">
        <f t="shared" si="13"/>
        <v>0</v>
      </c>
    </row>
    <row r="360" spans="1:8" x14ac:dyDescent="0.25">
      <c r="A360" s="38">
        <v>356</v>
      </c>
      <c r="B360" s="33" t="s">
        <v>410</v>
      </c>
      <c r="C360" s="14"/>
      <c r="D360" s="5"/>
      <c r="E360" s="19">
        <v>5</v>
      </c>
      <c r="F360" s="5"/>
      <c r="G360" s="15">
        <v>60</v>
      </c>
      <c r="H360" s="15">
        <f t="shared" si="13"/>
        <v>300</v>
      </c>
    </row>
    <row r="361" spans="1:8" x14ac:dyDescent="0.25">
      <c r="A361" s="38">
        <v>357</v>
      </c>
      <c r="B361" s="33" t="s">
        <v>332</v>
      </c>
      <c r="C361" s="14"/>
      <c r="D361" s="5"/>
      <c r="E361" s="19">
        <v>2</v>
      </c>
      <c r="F361" s="5"/>
      <c r="G361" s="15">
        <v>78</v>
      </c>
      <c r="H361" s="15">
        <f t="shared" si="13"/>
        <v>156</v>
      </c>
    </row>
    <row r="362" spans="1:8" x14ac:dyDescent="0.25">
      <c r="A362" s="38">
        <v>358</v>
      </c>
      <c r="B362" s="33" t="s">
        <v>374</v>
      </c>
      <c r="C362" s="14"/>
      <c r="D362" s="5"/>
      <c r="E362" s="19">
        <f>1+6</f>
        <v>7</v>
      </c>
      <c r="F362" s="5"/>
      <c r="G362" s="15">
        <v>98</v>
      </c>
      <c r="H362" s="15">
        <f t="shared" si="13"/>
        <v>686</v>
      </c>
    </row>
    <row r="363" spans="1:8" x14ac:dyDescent="0.25">
      <c r="A363" s="38">
        <v>359</v>
      </c>
      <c r="B363" s="33" t="s">
        <v>334</v>
      </c>
      <c r="C363" s="14"/>
      <c r="D363" s="5"/>
      <c r="E363" s="19">
        <f>4.24</f>
        <v>4.24</v>
      </c>
      <c r="F363" s="5"/>
      <c r="G363" s="15">
        <v>980</v>
      </c>
      <c r="H363" s="15">
        <f t="shared" si="13"/>
        <v>4155.2</v>
      </c>
    </row>
    <row r="364" spans="1:8" x14ac:dyDescent="0.25">
      <c r="A364" s="38">
        <v>360</v>
      </c>
      <c r="B364" s="33" t="s">
        <v>333</v>
      </c>
      <c r="C364" s="14"/>
      <c r="D364" s="5"/>
      <c r="E364" s="19"/>
      <c r="F364" s="5"/>
      <c r="G364" s="15">
        <v>145</v>
      </c>
      <c r="H364" s="15">
        <f t="shared" si="13"/>
        <v>0</v>
      </c>
    </row>
    <row r="365" spans="1:8" x14ac:dyDescent="0.25">
      <c r="A365" s="38">
        <v>361</v>
      </c>
      <c r="B365" s="33" t="s">
        <v>182</v>
      </c>
      <c r="C365" s="14"/>
      <c r="D365" s="5"/>
      <c r="E365" s="19"/>
      <c r="F365" s="5"/>
      <c r="G365" s="15"/>
      <c r="H365" s="15">
        <f t="shared" si="13"/>
        <v>0</v>
      </c>
    </row>
    <row r="366" spans="1:8" x14ac:dyDescent="0.25">
      <c r="A366" s="38">
        <v>362</v>
      </c>
      <c r="B366" s="33" t="s">
        <v>257</v>
      </c>
      <c r="C366" s="14"/>
      <c r="D366" s="5"/>
      <c r="E366" s="19"/>
      <c r="F366" s="5"/>
      <c r="G366" s="15"/>
      <c r="H366" s="15">
        <f t="shared" si="13"/>
        <v>0</v>
      </c>
    </row>
    <row r="367" spans="1:8" x14ac:dyDescent="0.25">
      <c r="A367" s="38">
        <v>363</v>
      </c>
      <c r="B367" s="33" t="s">
        <v>335</v>
      </c>
      <c r="C367" s="14"/>
      <c r="D367" s="5"/>
      <c r="E367" s="19"/>
      <c r="F367" s="5"/>
      <c r="G367" s="15"/>
      <c r="H367" s="15">
        <f t="shared" si="13"/>
        <v>0</v>
      </c>
    </row>
    <row r="368" spans="1:8" x14ac:dyDescent="0.25">
      <c r="A368" s="38">
        <v>364</v>
      </c>
      <c r="B368" s="33" t="s">
        <v>215</v>
      </c>
      <c r="C368" s="14"/>
      <c r="D368" s="5"/>
      <c r="E368" s="19">
        <f>104+6.5+79.5+2.44+2.46</f>
        <v>194.9</v>
      </c>
      <c r="F368" s="5"/>
      <c r="G368" s="15">
        <v>120</v>
      </c>
      <c r="H368" s="15">
        <f t="shared" si="13"/>
        <v>23388</v>
      </c>
    </row>
    <row r="369" spans="1:8" x14ac:dyDescent="0.25">
      <c r="A369" s="38">
        <v>365</v>
      </c>
      <c r="B369" s="33" t="s">
        <v>336</v>
      </c>
      <c r="C369" s="14"/>
      <c r="D369" s="5"/>
      <c r="E369" s="19"/>
      <c r="F369" s="5"/>
      <c r="G369" s="15"/>
      <c r="H369" s="15">
        <f t="shared" si="13"/>
        <v>0</v>
      </c>
    </row>
    <row r="370" spans="1:8" x14ac:dyDescent="0.25">
      <c r="A370" s="38">
        <v>366</v>
      </c>
      <c r="B370" s="33" t="s">
        <v>367</v>
      </c>
      <c r="C370" s="14"/>
      <c r="D370" s="5"/>
      <c r="E370" s="19">
        <f>23.5+5.96+1.6</f>
        <v>31.060000000000002</v>
      </c>
      <c r="F370" s="5"/>
      <c r="G370" s="15">
        <v>350</v>
      </c>
      <c r="H370" s="15">
        <f t="shared" si="13"/>
        <v>10871</v>
      </c>
    </row>
    <row r="371" spans="1:8" x14ac:dyDescent="0.25">
      <c r="A371" s="38">
        <v>367</v>
      </c>
      <c r="B371" s="33" t="s">
        <v>337</v>
      </c>
      <c r="C371" s="14"/>
      <c r="D371" s="5"/>
      <c r="E371" s="19"/>
      <c r="F371" s="5"/>
      <c r="G371" s="15"/>
      <c r="H371" s="15">
        <f t="shared" si="13"/>
        <v>0</v>
      </c>
    </row>
    <row r="372" spans="1:8" x14ac:dyDescent="0.25">
      <c r="A372" s="38">
        <v>368</v>
      </c>
      <c r="B372" s="33" t="s">
        <v>338</v>
      </c>
      <c r="C372" s="14"/>
      <c r="D372" s="5"/>
      <c r="E372" s="19">
        <f>27.12+25.53+4.96+0.52+2.88</f>
        <v>61.010000000000012</v>
      </c>
      <c r="F372" s="5"/>
      <c r="G372" s="15">
        <v>185</v>
      </c>
      <c r="H372" s="15">
        <f t="shared" si="13"/>
        <v>11286.850000000002</v>
      </c>
    </row>
    <row r="373" spans="1:8" x14ac:dyDescent="0.25">
      <c r="A373" s="38">
        <v>369</v>
      </c>
      <c r="B373" s="33" t="s">
        <v>253</v>
      </c>
      <c r="C373" s="14"/>
      <c r="D373" s="5"/>
      <c r="E373" s="19">
        <f>15+11.8+1</f>
        <v>27.8</v>
      </c>
      <c r="F373" s="5"/>
      <c r="G373" s="15">
        <v>125</v>
      </c>
      <c r="H373" s="15">
        <f t="shared" si="13"/>
        <v>3475</v>
      </c>
    </row>
    <row r="374" spans="1:8" x14ac:dyDescent="0.25">
      <c r="A374" s="38">
        <v>370</v>
      </c>
      <c r="B374" s="33" t="s">
        <v>339</v>
      </c>
      <c r="C374" s="14"/>
      <c r="D374" s="5"/>
      <c r="E374" s="19">
        <f>18+13.88+13.86+7.58+5.1</f>
        <v>58.42</v>
      </c>
      <c r="F374" s="5"/>
      <c r="G374" s="15">
        <v>93</v>
      </c>
      <c r="H374" s="15">
        <f t="shared" si="13"/>
        <v>5433.06</v>
      </c>
    </row>
    <row r="375" spans="1:8" x14ac:dyDescent="0.25">
      <c r="A375" s="38">
        <v>371</v>
      </c>
      <c r="B375" s="33" t="s">
        <v>283</v>
      </c>
      <c r="C375" s="14"/>
      <c r="D375" s="5"/>
      <c r="E375" s="19"/>
      <c r="F375" s="5"/>
      <c r="G375" s="15"/>
      <c r="H375" s="15">
        <f t="shared" si="13"/>
        <v>0</v>
      </c>
    </row>
    <row r="376" spans="1:8" x14ac:dyDescent="0.25">
      <c r="A376" s="38">
        <v>372</v>
      </c>
      <c r="B376" s="33" t="s">
        <v>340</v>
      </c>
      <c r="C376" s="14"/>
      <c r="D376" s="5"/>
      <c r="E376" s="19">
        <f>285.5+295+78</f>
        <v>658.5</v>
      </c>
      <c r="F376" s="5"/>
      <c r="G376" s="15">
        <v>140</v>
      </c>
      <c r="H376" s="15">
        <f t="shared" si="13"/>
        <v>92190</v>
      </c>
    </row>
    <row r="377" spans="1:8" x14ac:dyDescent="0.25">
      <c r="A377" s="38">
        <v>373</v>
      </c>
      <c r="B377" s="33" t="s">
        <v>267</v>
      </c>
      <c r="C377" s="14"/>
      <c r="D377" s="5"/>
      <c r="E377" s="19"/>
      <c r="F377" s="5"/>
      <c r="G377" s="15"/>
      <c r="H377" s="15">
        <f t="shared" si="13"/>
        <v>0</v>
      </c>
    </row>
    <row r="378" spans="1:8" x14ac:dyDescent="0.25">
      <c r="A378" s="38">
        <v>374</v>
      </c>
      <c r="B378" s="33" t="s">
        <v>254</v>
      </c>
      <c r="C378" s="14"/>
      <c r="D378" s="5"/>
      <c r="E378" s="19"/>
      <c r="F378" s="5"/>
      <c r="G378" s="15"/>
      <c r="H378" s="15">
        <f t="shared" si="13"/>
        <v>0</v>
      </c>
    </row>
    <row r="379" spans="1:8" x14ac:dyDescent="0.25">
      <c r="A379" s="38">
        <v>375</v>
      </c>
      <c r="B379" s="33" t="s">
        <v>341</v>
      </c>
      <c r="C379" s="14"/>
      <c r="D379" s="5"/>
      <c r="E379" s="19"/>
      <c r="F379" s="5"/>
      <c r="G379" s="15"/>
      <c r="H379" s="15">
        <f t="shared" si="13"/>
        <v>0</v>
      </c>
    </row>
    <row r="380" spans="1:8" x14ac:dyDescent="0.25">
      <c r="A380" s="38">
        <v>376</v>
      </c>
      <c r="B380" s="33" t="s">
        <v>342</v>
      </c>
      <c r="C380" s="14"/>
      <c r="D380" s="5"/>
      <c r="E380" s="19">
        <f>30+13</f>
        <v>43</v>
      </c>
      <c r="F380" s="5"/>
      <c r="G380" s="15">
        <v>130</v>
      </c>
      <c r="H380" s="15">
        <f t="shared" si="13"/>
        <v>5590</v>
      </c>
    </row>
    <row r="381" spans="1:8" x14ac:dyDescent="0.25">
      <c r="A381" s="38">
        <v>377</v>
      </c>
      <c r="B381" s="33" t="s">
        <v>343</v>
      </c>
      <c r="C381" s="14"/>
      <c r="D381" s="5"/>
      <c r="E381" s="19">
        <f>190.54+13.82+7.66+1+4.1</f>
        <v>217.11999999999998</v>
      </c>
      <c r="F381" s="5"/>
      <c r="G381" s="15">
        <v>83</v>
      </c>
      <c r="H381" s="15">
        <f t="shared" si="13"/>
        <v>18020.96</v>
      </c>
    </row>
    <row r="382" spans="1:8" x14ac:dyDescent="0.25">
      <c r="A382" s="38">
        <v>378</v>
      </c>
      <c r="B382" s="33" t="s">
        <v>344</v>
      </c>
      <c r="C382" s="14"/>
      <c r="D382" s="5"/>
      <c r="E382" s="19"/>
      <c r="F382" s="5"/>
      <c r="G382" s="15"/>
      <c r="H382" s="15">
        <f t="shared" si="13"/>
        <v>0</v>
      </c>
    </row>
    <row r="383" spans="1:8" x14ac:dyDescent="0.25">
      <c r="A383" s="38">
        <v>379</v>
      </c>
      <c r="B383" s="33" t="s">
        <v>345</v>
      </c>
      <c r="C383" s="14"/>
      <c r="D383" s="5"/>
      <c r="E383" s="19">
        <f>0.79+0.72</f>
        <v>1.51</v>
      </c>
      <c r="F383" s="5"/>
      <c r="G383" s="15">
        <v>685</v>
      </c>
      <c r="H383" s="15">
        <f t="shared" si="13"/>
        <v>1034.3499999999999</v>
      </c>
    </row>
    <row r="384" spans="1:8" x14ac:dyDescent="0.25">
      <c r="A384" s="38">
        <v>380</v>
      </c>
      <c r="B384" s="33" t="s">
        <v>368</v>
      </c>
      <c r="C384" s="14"/>
      <c r="D384" s="5"/>
      <c r="E384" s="19">
        <f>7.5+65.5+5.62</f>
        <v>78.62</v>
      </c>
      <c r="F384" s="5"/>
      <c r="G384" s="15">
        <v>720</v>
      </c>
      <c r="H384" s="15">
        <f t="shared" si="13"/>
        <v>56606.400000000001</v>
      </c>
    </row>
    <row r="385" spans="1:8" x14ac:dyDescent="0.25">
      <c r="A385" s="38">
        <v>381</v>
      </c>
      <c r="B385" s="33" t="s">
        <v>346</v>
      </c>
      <c r="C385" s="14"/>
      <c r="D385" s="5"/>
      <c r="E385" s="19">
        <f>0.718</f>
        <v>0.71799999999999997</v>
      </c>
      <c r="F385" s="5"/>
      <c r="G385" s="15">
        <v>660</v>
      </c>
      <c r="H385" s="15">
        <f t="shared" si="13"/>
        <v>473.88</v>
      </c>
    </row>
    <row r="386" spans="1:8" x14ac:dyDescent="0.25">
      <c r="A386" s="38">
        <v>382</v>
      </c>
      <c r="B386" s="33" t="s">
        <v>347</v>
      </c>
      <c r="C386" s="14"/>
      <c r="D386" s="5"/>
      <c r="E386" s="19">
        <f>3.65</f>
        <v>3.65</v>
      </c>
      <c r="F386" s="5"/>
      <c r="G386" s="15">
        <v>741</v>
      </c>
      <c r="H386" s="15">
        <f t="shared" si="13"/>
        <v>2704.65</v>
      </c>
    </row>
    <row r="387" spans="1:8" x14ac:dyDescent="0.25">
      <c r="A387" s="38">
        <v>383</v>
      </c>
      <c r="B387" s="33" t="s">
        <v>348</v>
      </c>
      <c r="C387" s="14"/>
      <c r="D387" s="5"/>
      <c r="E387" s="19"/>
      <c r="F387" s="5"/>
      <c r="G387" s="15"/>
      <c r="H387" s="15">
        <f t="shared" si="13"/>
        <v>0</v>
      </c>
    </row>
    <row r="388" spans="1:8" x14ac:dyDescent="0.25">
      <c r="A388" s="38">
        <v>384</v>
      </c>
      <c r="B388" s="33" t="s">
        <v>349</v>
      </c>
      <c r="C388" s="14"/>
      <c r="D388" s="5"/>
      <c r="E388" s="19">
        <f>5</f>
        <v>5</v>
      </c>
      <c r="F388" s="5"/>
      <c r="G388" s="15">
        <v>345</v>
      </c>
      <c r="H388" s="15">
        <f t="shared" si="13"/>
        <v>1725</v>
      </c>
    </row>
    <row r="389" spans="1:8" x14ac:dyDescent="0.25">
      <c r="A389" s="38">
        <v>385</v>
      </c>
      <c r="B389" s="33" t="s">
        <v>181</v>
      </c>
      <c r="C389" s="14"/>
      <c r="D389" s="5"/>
      <c r="E389" s="19">
        <f>120.44+51.54+2.02</f>
        <v>174</v>
      </c>
      <c r="F389" s="5"/>
      <c r="G389" s="15">
        <v>112</v>
      </c>
      <c r="H389" s="15">
        <f t="shared" si="13"/>
        <v>19488</v>
      </c>
    </row>
    <row r="390" spans="1:8" x14ac:dyDescent="0.25">
      <c r="A390" s="38">
        <v>386</v>
      </c>
      <c r="B390" s="33" t="s">
        <v>350</v>
      </c>
      <c r="C390" s="14"/>
      <c r="D390" s="5"/>
      <c r="E390" s="19">
        <f>2.22*8</f>
        <v>17.760000000000002</v>
      </c>
      <c r="F390" s="5"/>
      <c r="G390" s="15">
        <v>565</v>
      </c>
      <c r="H390" s="15">
        <f t="shared" si="13"/>
        <v>10034.400000000001</v>
      </c>
    </row>
    <row r="391" spans="1:8" x14ac:dyDescent="0.25">
      <c r="A391" s="38">
        <v>387</v>
      </c>
      <c r="B391" s="33" t="s">
        <v>351</v>
      </c>
      <c r="C391" s="14"/>
      <c r="D391" s="5"/>
      <c r="E391" s="19"/>
      <c r="F391" s="5"/>
      <c r="G391" s="15"/>
      <c r="H391" s="15">
        <f t="shared" si="13"/>
        <v>0</v>
      </c>
    </row>
    <row r="392" spans="1:8" x14ac:dyDescent="0.25">
      <c r="A392" s="38">
        <v>388</v>
      </c>
      <c r="B392" s="33" t="s">
        <v>352</v>
      </c>
      <c r="C392" s="14"/>
      <c r="D392" s="5"/>
      <c r="E392" s="19"/>
      <c r="F392" s="5"/>
      <c r="G392" s="15"/>
      <c r="H392" s="15">
        <f t="shared" si="13"/>
        <v>0</v>
      </c>
    </row>
    <row r="393" spans="1:8" x14ac:dyDescent="0.25">
      <c r="A393" s="38">
        <v>389</v>
      </c>
      <c r="B393" s="33" t="s">
        <v>353</v>
      </c>
      <c r="C393" s="14"/>
      <c r="D393" s="5"/>
      <c r="E393" s="19">
        <f>16*2.22</f>
        <v>35.520000000000003</v>
      </c>
      <c r="F393" s="5"/>
      <c r="G393" s="15">
        <v>490</v>
      </c>
      <c r="H393" s="15">
        <f t="shared" si="13"/>
        <v>17404.800000000003</v>
      </c>
    </row>
    <row r="394" spans="1:8" x14ac:dyDescent="0.25">
      <c r="A394" s="38">
        <v>390</v>
      </c>
      <c r="B394" s="33" t="s">
        <v>354</v>
      </c>
      <c r="C394" s="14"/>
      <c r="D394" s="5"/>
      <c r="E394" s="19">
        <f>7*2.22</f>
        <v>15.540000000000001</v>
      </c>
      <c r="F394" s="5"/>
      <c r="G394" s="15">
        <v>530</v>
      </c>
      <c r="H394" s="15">
        <f t="shared" si="13"/>
        <v>8236.2000000000007</v>
      </c>
    </row>
    <row r="395" spans="1:8" x14ac:dyDescent="0.25">
      <c r="A395" s="38">
        <v>391</v>
      </c>
      <c r="B395" s="33" t="s">
        <v>306</v>
      </c>
      <c r="C395" s="14"/>
      <c r="D395" s="5"/>
      <c r="E395" s="19">
        <f>21</f>
        <v>21</v>
      </c>
      <c r="F395" s="5"/>
      <c r="G395" s="15">
        <v>400</v>
      </c>
      <c r="H395" s="15">
        <f t="shared" si="13"/>
        <v>8400</v>
      </c>
    </row>
    <row r="396" spans="1:8" x14ac:dyDescent="0.25">
      <c r="A396" s="38">
        <v>392</v>
      </c>
      <c r="B396" s="33" t="s">
        <v>260</v>
      </c>
      <c r="C396" s="14"/>
      <c r="D396" s="5"/>
      <c r="E396" s="19">
        <f>104.65+2.34</f>
        <v>106.99000000000001</v>
      </c>
      <c r="F396" s="5"/>
      <c r="G396" s="15">
        <v>164</v>
      </c>
      <c r="H396" s="15">
        <f t="shared" si="13"/>
        <v>17546.36</v>
      </c>
    </row>
    <row r="397" spans="1:8" x14ac:dyDescent="0.25">
      <c r="A397" s="38">
        <v>393</v>
      </c>
      <c r="B397" s="33" t="s">
        <v>355</v>
      </c>
      <c r="C397" s="14"/>
      <c r="D397" s="5"/>
      <c r="E397" s="19"/>
      <c r="F397" s="5"/>
      <c r="G397" s="15"/>
      <c r="H397" s="15">
        <f t="shared" si="13"/>
        <v>0</v>
      </c>
    </row>
    <row r="398" spans="1:8" x14ac:dyDescent="0.25">
      <c r="A398" s="38">
        <v>394</v>
      </c>
      <c r="B398" s="33" t="s">
        <v>356</v>
      </c>
      <c r="C398" s="14"/>
      <c r="D398" s="5"/>
      <c r="E398" s="19"/>
      <c r="F398" s="5"/>
      <c r="G398" s="15"/>
      <c r="H398" s="15">
        <f t="shared" si="13"/>
        <v>0</v>
      </c>
    </row>
    <row r="399" spans="1:8" x14ac:dyDescent="0.25">
      <c r="A399" s="38">
        <v>395</v>
      </c>
      <c r="B399" s="33" t="s">
        <v>262</v>
      </c>
      <c r="C399" s="14"/>
      <c r="D399" s="5"/>
      <c r="E399" s="19">
        <f>7.5+8.62</f>
        <v>16.119999999999997</v>
      </c>
      <c r="F399" s="5"/>
      <c r="G399" s="15">
        <v>10</v>
      </c>
      <c r="H399" s="15">
        <f t="shared" si="13"/>
        <v>161.19999999999999</v>
      </c>
    </row>
    <row r="400" spans="1:8" x14ac:dyDescent="0.25">
      <c r="A400" s="38">
        <v>396</v>
      </c>
      <c r="B400" s="33" t="s">
        <v>273</v>
      </c>
      <c r="C400" s="14"/>
      <c r="D400" s="5"/>
      <c r="E400" s="19">
        <f>11.5+15.2+7.12</f>
        <v>33.82</v>
      </c>
      <c r="F400" s="5"/>
      <c r="G400" s="15">
        <v>120</v>
      </c>
      <c r="H400" s="15">
        <f t="shared" si="13"/>
        <v>4058.4</v>
      </c>
    </row>
    <row r="401" spans="1:8" x14ac:dyDescent="0.25">
      <c r="A401" s="38">
        <v>397</v>
      </c>
      <c r="B401" s="33" t="s">
        <v>369</v>
      </c>
      <c r="C401" s="14"/>
      <c r="D401" s="5"/>
      <c r="E401" s="19">
        <f>504.5+119.5+323.5</f>
        <v>947.5</v>
      </c>
      <c r="F401" s="5"/>
      <c r="G401" s="15">
        <v>198</v>
      </c>
      <c r="H401" s="15">
        <f t="shared" si="13"/>
        <v>187605</v>
      </c>
    </row>
    <row r="402" spans="1:8" x14ac:dyDescent="0.25">
      <c r="A402" s="38">
        <v>398</v>
      </c>
      <c r="B402" s="33" t="s">
        <v>357</v>
      </c>
      <c r="C402" s="14"/>
      <c r="D402" s="5"/>
      <c r="E402" s="19"/>
      <c r="F402" s="5"/>
      <c r="G402" s="15"/>
      <c r="H402" s="15">
        <f t="shared" si="13"/>
        <v>0</v>
      </c>
    </row>
    <row r="403" spans="1:8" x14ac:dyDescent="0.25">
      <c r="A403" s="38">
        <v>399</v>
      </c>
      <c r="B403" s="33" t="s">
        <v>319</v>
      </c>
      <c r="C403" s="14"/>
      <c r="D403" s="5"/>
      <c r="E403" s="19"/>
      <c r="F403" s="5"/>
      <c r="G403" s="15"/>
      <c r="H403" s="15">
        <f t="shared" si="13"/>
        <v>0</v>
      </c>
    </row>
    <row r="404" spans="1:8" x14ac:dyDescent="0.25">
      <c r="A404" s="38">
        <v>400</v>
      </c>
      <c r="B404" s="33" t="s">
        <v>358</v>
      </c>
      <c r="C404" s="14"/>
      <c r="D404" s="5"/>
      <c r="E404" s="19"/>
      <c r="F404" s="5"/>
      <c r="G404" s="15"/>
      <c r="H404" s="15">
        <f t="shared" si="13"/>
        <v>0</v>
      </c>
    </row>
    <row r="405" spans="1:8" x14ac:dyDescent="0.25">
      <c r="A405" s="38">
        <v>401</v>
      </c>
      <c r="B405" s="33" t="s">
        <v>320</v>
      </c>
      <c r="C405" s="14"/>
      <c r="D405" s="5"/>
      <c r="E405" s="12"/>
      <c r="F405" s="5"/>
      <c r="G405" s="15"/>
      <c r="H405" s="15">
        <f t="shared" si="13"/>
        <v>0</v>
      </c>
    </row>
    <row r="406" spans="1:8" x14ac:dyDescent="0.25">
      <c r="A406" s="38">
        <v>402</v>
      </c>
      <c r="B406" s="33" t="s">
        <v>371</v>
      </c>
      <c r="C406" s="14"/>
      <c r="D406" s="5"/>
      <c r="E406" s="12">
        <f>14+36</f>
        <v>50</v>
      </c>
      <c r="F406" s="5"/>
      <c r="G406" s="15">
        <v>30</v>
      </c>
      <c r="H406" s="15">
        <f t="shared" si="13"/>
        <v>1500</v>
      </c>
    </row>
    <row r="407" spans="1:8" x14ac:dyDescent="0.25">
      <c r="A407" s="38">
        <v>403</v>
      </c>
      <c r="B407" s="33" t="s">
        <v>359</v>
      </c>
      <c r="C407" s="14"/>
      <c r="D407" s="5"/>
      <c r="E407" s="12">
        <v>21</v>
      </c>
      <c r="F407" s="5"/>
      <c r="G407" s="15">
        <v>30</v>
      </c>
      <c r="H407" s="15">
        <f t="shared" si="13"/>
        <v>630</v>
      </c>
    </row>
    <row r="408" spans="1:8" x14ac:dyDescent="0.25">
      <c r="A408" s="38">
        <v>404</v>
      </c>
      <c r="B408" s="33" t="s">
        <v>333</v>
      </c>
      <c r="C408" s="14"/>
      <c r="D408" s="5"/>
      <c r="E408" s="12"/>
      <c r="F408" s="5"/>
      <c r="G408" s="15"/>
      <c r="H408" s="15">
        <f t="shared" si="13"/>
        <v>0</v>
      </c>
    </row>
    <row r="409" spans="1:8" x14ac:dyDescent="0.25">
      <c r="A409" s="38">
        <v>405</v>
      </c>
      <c r="B409" s="33" t="s">
        <v>317</v>
      </c>
      <c r="C409" s="14"/>
      <c r="D409" s="5"/>
      <c r="E409" s="12"/>
      <c r="F409" s="5"/>
      <c r="G409" s="15"/>
      <c r="H409" s="15">
        <f t="shared" si="13"/>
        <v>0</v>
      </c>
    </row>
    <row r="410" spans="1:8" x14ac:dyDescent="0.25">
      <c r="A410" s="38">
        <v>406</v>
      </c>
      <c r="B410" s="33" t="s">
        <v>318</v>
      </c>
      <c r="C410" s="14"/>
      <c r="D410" s="5"/>
      <c r="E410" s="12"/>
      <c r="F410" s="5"/>
      <c r="G410" s="15"/>
      <c r="H410" s="15">
        <f t="shared" ref="H410:H442" si="14">E410*G410</f>
        <v>0</v>
      </c>
    </row>
    <row r="411" spans="1:8" x14ac:dyDescent="0.25">
      <c r="A411" s="38">
        <v>407</v>
      </c>
      <c r="B411" s="33" t="s">
        <v>56</v>
      </c>
      <c r="C411" s="14"/>
      <c r="D411" s="5"/>
      <c r="E411" s="12">
        <f>1032+1067+76.7+56.5+70.15+3.98+16.8</f>
        <v>2323.13</v>
      </c>
      <c r="F411" s="5">
        <f>46+25</f>
        <v>71</v>
      </c>
      <c r="G411" s="15">
        <v>160</v>
      </c>
      <c r="H411" s="15">
        <f t="shared" si="14"/>
        <v>371700.80000000005</v>
      </c>
    </row>
    <row r="412" spans="1:8" x14ac:dyDescent="0.25">
      <c r="A412" s="38">
        <v>408</v>
      </c>
      <c r="B412" s="33" t="s">
        <v>377</v>
      </c>
      <c r="C412" s="14"/>
      <c r="D412" s="5"/>
      <c r="E412" s="12">
        <f>153+215.5</f>
        <v>368.5</v>
      </c>
      <c r="F412" s="5"/>
      <c r="G412" s="15">
        <v>130</v>
      </c>
      <c r="H412" s="15">
        <f t="shared" si="14"/>
        <v>47905</v>
      </c>
    </row>
    <row r="413" spans="1:8" x14ac:dyDescent="0.25">
      <c r="A413" s="38">
        <v>409</v>
      </c>
      <c r="B413" s="33" t="s">
        <v>378</v>
      </c>
      <c r="C413" s="14"/>
      <c r="D413" s="5"/>
      <c r="E413" s="12">
        <f>36+6</f>
        <v>42</v>
      </c>
      <c r="F413" s="5"/>
      <c r="G413" s="15">
        <v>140</v>
      </c>
      <c r="H413" s="15">
        <f t="shared" si="14"/>
        <v>5880</v>
      </c>
    </row>
    <row r="414" spans="1:8" x14ac:dyDescent="0.25">
      <c r="A414" s="38">
        <v>410</v>
      </c>
      <c r="B414" s="33" t="s">
        <v>379</v>
      </c>
      <c r="C414" s="14"/>
      <c r="D414" s="5"/>
      <c r="E414" s="12">
        <f>82</f>
        <v>82</v>
      </c>
      <c r="F414" s="5"/>
      <c r="G414" s="15">
        <v>78</v>
      </c>
      <c r="H414" s="15">
        <f t="shared" si="14"/>
        <v>6396</v>
      </c>
    </row>
    <row r="415" spans="1:8" x14ac:dyDescent="0.25">
      <c r="A415" s="38">
        <v>411</v>
      </c>
      <c r="B415" s="33" t="s">
        <v>380</v>
      </c>
      <c r="C415" s="14"/>
      <c r="D415" s="5"/>
      <c r="E415" s="12">
        <f>257</f>
        <v>257</v>
      </c>
      <c r="F415" s="5"/>
      <c r="G415" s="15">
        <v>70</v>
      </c>
      <c r="H415" s="15">
        <f t="shared" si="14"/>
        <v>17990</v>
      </c>
    </row>
    <row r="416" spans="1:8" x14ac:dyDescent="0.25">
      <c r="A416" s="38">
        <v>412</v>
      </c>
      <c r="B416" s="33" t="s">
        <v>381</v>
      </c>
      <c r="C416" s="14"/>
      <c r="D416" s="5"/>
      <c r="E416" s="12">
        <f>3.5</f>
        <v>3.5</v>
      </c>
      <c r="F416" s="5"/>
      <c r="G416" s="15">
        <v>204</v>
      </c>
      <c r="H416" s="15">
        <f t="shared" si="14"/>
        <v>714</v>
      </c>
    </row>
    <row r="417" spans="1:8" x14ac:dyDescent="0.25">
      <c r="A417" s="38">
        <v>413</v>
      </c>
      <c r="B417" s="33" t="s">
        <v>382</v>
      </c>
      <c r="C417" s="14"/>
      <c r="D417" s="5"/>
      <c r="E417" s="12">
        <f>56.5</f>
        <v>56.5</v>
      </c>
      <c r="F417" s="5"/>
      <c r="G417" s="15">
        <v>102</v>
      </c>
      <c r="H417" s="15">
        <f t="shared" si="14"/>
        <v>5763</v>
      </c>
    </row>
    <row r="418" spans="1:8" x14ac:dyDescent="0.25">
      <c r="A418" s="38">
        <v>414</v>
      </c>
      <c r="B418" s="33" t="s">
        <v>383</v>
      </c>
      <c r="C418" s="14"/>
      <c r="D418" s="5"/>
      <c r="E418" s="12">
        <f>12+6</f>
        <v>18</v>
      </c>
      <c r="F418" s="5"/>
      <c r="G418" s="15">
        <v>140</v>
      </c>
      <c r="H418" s="15">
        <f t="shared" si="14"/>
        <v>2520</v>
      </c>
    </row>
    <row r="419" spans="1:8" x14ac:dyDescent="0.25">
      <c r="A419" s="38">
        <v>415</v>
      </c>
      <c r="B419" s="33" t="s">
        <v>384</v>
      </c>
      <c r="C419" s="14"/>
      <c r="D419" s="5"/>
      <c r="E419" s="12">
        <f>75.2</f>
        <v>75.2</v>
      </c>
      <c r="F419" s="5"/>
      <c r="G419" s="15">
        <v>76</v>
      </c>
      <c r="H419" s="15">
        <f t="shared" si="14"/>
        <v>5715.2</v>
      </c>
    </row>
    <row r="420" spans="1:8" x14ac:dyDescent="0.25">
      <c r="A420" s="38">
        <v>416</v>
      </c>
      <c r="B420" s="33" t="s">
        <v>385</v>
      </c>
      <c r="C420" s="14"/>
      <c r="D420" s="5"/>
      <c r="E420" s="12">
        <f>872.7</f>
        <v>872.7</v>
      </c>
      <c r="F420" s="5"/>
      <c r="G420" s="15">
        <v>47</v>
      </c>
      <c r="H420" s="15">
        <f t="shared" si="14"/>
        <v>41016.9</v>
      </c>
    </row>
    <row r="421" spans="1:8" x14ac:dyDescent="0.25">
      <c r="A421" s="38">
        <v>417</v>
      </c>
      <c r="B421" s="33" t="s">
        <v>386</v>
      </c>
      <c r="C421" s="14"/>
      <c r="D421" s="5"/>
      <c r="E421" s="12">
        <f>69.5+93.5</f>
        <v>163</v>
      </c>
      <c r="F421" s="5"/>
      <c r="G421" s="15">
        <v>177</v>
      </c>
      <c r="H421" s="15">
        <f t="shared" si="14"/>
        <v>28851</v>
      </c>
    </row>
    <row r="422" spans="1:8" x14ac:dyDescent="0.25">
      <c r="A422" s="38">
        <v>418</v>
      </c>
      <c r="B422" s="33" t="s">
        <v>387</v>
      </c>
      <c r="C422" s="14"/>
      <c r="D422" s="5"/>
      <c r="E422" s="12">
        <f>169</f>
        <v>169</v>
      </c>
      <c r="F422" s="5"/>
      <c r="G422" s="15">
        <v>48</v>
      </c>
      <c r="H422" s="15">
        <f t="shared" si="14"/>
        <v>8112</v>
      </c>
    </row>
    <row r="423" spans="1:8" x14ac:dyDescent="0.25">
      <c r="A423" s="38">
        <v>419</v>
      </c>
      <c r="B423" s="33" t="s">
        <v>388</v>
      </c>
      <c r="C423" s="14"/>
      <c r="D423" s="5"/>
      <c r="E423" s="12">
        <f>49.5+171.5</f>
        <v>221</v>
      </c>
      <c r="F423" s="5"/>
      <c r="G423" s="15">
        <v>88</v>
      </c>
      <c r="H423" s="15">
        <f t="shared" si="14"/>
        <v>19448</v>
      </c>
    </row>
    <row r="424" spans="1:8" x14ac:dyDescent="0.25">
      <c r="A424" s="38">
        <v>420</v>
      </c>
      <c r="B424" s="33" t="s">
        <v>389</v>
      </c>
      <c r="C424" s="14"/>
      <c r="D424" s="5"/>
      <c r="E424" s="12">
        <f>25.5</f>
        <v>25.5</v>
      </c>
      <c r="F424" s="5"/>
      <c r="G424" s="15">
        <v>62</v>
      </c>
      <c r="H424" s="15">
        <f t="shared" si="14"/>
        <v>1581</v>
      </c>
    </row>
    <row r="425" spans="1:8" x14ac:dyDescent="0.25">
      <c r="A425" s="38">
        <v>421</v>
      </c>
      <c r="B425" s="33" t="s">
        <v>390</v>
      </c>
      <c r="C425" s="14"/>
      <c r="D425" s="5"/>
      <c r="E425" s="12">
        <f>32+0.828</f>
        <v>32.828000000000003</v>
      </c>
      <c r="F425" s="5"/>
      <c r="G425" s="15">
        <v>15</v>
      </c>
      <c r="H425" s="15">
        <f t="shared" si="14"/>
        <v>492.42000000000007</v>
      </c>
    </row>
    <row r="426" spans="1:8" x14ac:dyDescent="0.25">
      <c r="A426" s="38">
        <v>422</v>
      </c>
      <c r="B426" s="33" t="s">
        <v>391</v>
      </c>
      <c r="C426" s="14"/>
      <c r="D426" s="5"/>
      <c r="E426" s="12">
        <f>446.5</f>
        <v>446.5</v>
      </c>
      <c r="F426" s="5"/>
      <c r="G426" s="15">
        <v>125</v>
      </c>
      <c r="H426" s="15">
        <f t="shared" si="14"/>
        <v>55812.5</v>
      </c>
    </row>
    <row r="427" spans="1:8" x14ac:dyDescent="0.25">
      <c r="A427" s="38">
        <v>423</v>
      </c>
      <c r="B427" s="33" t="s">
        <v>392</v>
      </c>
      <c r="C427" s="14"/>
      <c r="D427" s="5"/>
      <c r="E427" s="12">
        <f>119</f>
        <v>119</v>
      </c>
      <c r="F427" s="5"/>
      <c r="G427" s="15">
        <v>90</v>
      </c>
      <c r="H427" s="15">
        <f t="shared" si="14"/>
        <v>10710</v>
      </c>
    </row>
    <row r="428" spans="1:8" x14ac:dyDescent="0.25">
      <c r="A428" s="38">
        <v>424</v>
      </c>
      <c r="B428" s="33" t="s">
        <v>393</v>
      </c>
      <c r="C428" s="14"/>
      <c r="D428" s="5"/>
      <c r="E428" s="12">
        <f>5.5</f>
        <v>5.5</v>
      </c>
      <c r="F428" s="5"/>
      <c r="G428" s="15">
        <v>204</v>
      </c>
      <c r="H428" s="15">
        <f t="shared" si="14"/>
        <v>1122</v>
      </c>
    </row>
    <row r="429" spans="1:8" x14ac:dyDescent="0.25">
      <c r="A429" s="38">
        <v>425</v>
      </c>
      <c r="B429" s="33" t="s">
        <v>394</v>
      </c>
      <c r="C429" s="14"/>
      <c r="D429" s="5"/>
      <c r="E429" s="12">
        <f>13+6.1</f>
        <v>19.100000000000001</v>
      </c>
      <c r="F429" s="5"/>
      <c r="G429" s="15">
        <v>135</v>
      </c>
      <c r="H429" s="15">
        <f t="shared" si="14"/>
        <v>2578.5</v>
      </c>
    </row>
    <row r="430" spans="1:8" x14ac:dyDescent="0.25">
      <c r="A430" s="38">
        <v>426</v>
      </c>
      <c r="B430" s="33" t="s">
        <v>396</v>
      </c>
      <c r="C430" s="14"/>
      <c r="D430" s="5"/>
      <c r="E430" s="12">
        <f>49</f>
        <v>49</v>
      </c>
      <c r="F430" s="5"/>
      <c r="G430" s="15">
        <v>140</v>
      </c>
      <c r="H430" s="15">
        <f t="shared" si="14"/>
        <v>6860</v>
      </c>
    </row>
    <row r="431" spans="1:8" x14ac:dyDescent="0.25">
      <c r="A431" s="38">
        <v>427</v>
      </c>
      <c r="B431" s="33" t="s">
        <v>397</v>
      </c>
      <c r="C431" s="14"/>
      <c r="D431" s="5"/>
      <c r="E431" s="12">
        <v>1</v>
      </c>
      <c r="F431" s="5"/>
      <c r="G431" s="15">
        <v>73</v>
      </c>
      <c r="H431" s="15">
        <f t="shared" si="14"/>
        <v>73</v>
      </c>
    </row>
    <row r="432" spans="1:8" x14ac:dyDescent="0.25">
      <c r="A432" s="38">
        <v>428</v>
      </c>
      <c r="B432" s="33" t="s">
        <v>398</v>
      </c>
      <c r="C432" s="14"/>
      <c r="D432" s="5"/>
      <c r="E432" s="12">
        <f>6+1</f>
        <v>7</v>
      </c>
      <c r="F432" s="5"/>
      <c r="G432" s="15">
        <v>90</v>
      </c>
      <c r="H432" s="15">
        <f t="shared" si="14"/>
        <v>630</v>
      </c>
    </row>
    <row r="433" spans="1:8" x14ac:dyDescent="0.25">
      <c r="A433" s="38">
        <v>429</v>
      </c>
      <c r="B433" s="33" t="s">
        <v>407</v>
      </c>
      <c r="C433" s="14"/>
      <c r="D433" s="5"/>
      <c r="E433" s="12">
        <v>1</v>
      </c>
      <c r="F433" s="5"/>
      <c r="G433" s="15">
        <v>90</v>
      </c>
      <c r="H433" s="15">
        <f t="shared" si="14"/>
        <v>90</v>
      </c>
    </row>
    <row r="434" spans="1:8" x14ac:dyDescent="0.25">
      <c r="A434" s="38">
        <v>430</v>
      </c>
      <c r="B434" s="33" t="s">
        <v>399</v>
      </c>
      <c r="C434" s="14"/>
      <c r="D434" s="5"/>
      <c r="E434" s="12">
        <v>3</v>
      </c>
      <c r="F434" s="5"/>
      <c r="G434" s="15">
        <v>88</v>
      </c>
      <c r="H434" s="15">
        <f t="shared" si="14"/>
        <v>264</v>
      </c>
    </row>
    <row r="435" spans="1:8" x14ac:dyDescent="0.25">
      <c r="A435" s="38">
        <v>431</v>
      </c>
      <c r="B435" s="33" t="s">
        <v>400</v>
      </c>
      <c r="C435" s="14"/>
      <c r="D435" s="5"/>
      <c r="E435" s="12">
        <f>3+3</f>
        <v>6</v>
      </c>
      <c r="F435" s="5"/>
      <c r="G435" s="15">
        <v>98</v>
      </c>
      <c r="H435" s="15">
        <f t="shared" si="14"/>
        <v>588</v>
      </c>
    </row>
    <row r="436" spans="1:8" x14ac:dyDescent="0.25">
      <c r="A436" s="38">
        <v>432</v>
      </c>
      <c r="B436" s="33" t="s">
        <v>401</v>
      </c>
      <c r="C436" s="14"/>
      <c r="D436" s="5"/>
      <c r="E436" s="12">
        <v>1</v>
      </c>
      <c r="F436" s="5"/>
      <c r="G436" s="15">
        <v>98</v>
      </c>
      <c r="H436" s="15">
        <f t="shared" si="14"/>
        <v>98</v>
      </c>
    </row>
    <row r="437" spans="1:8" x14ac:dyDescent="0.25">
      <c r="A437" s="38">
        <v>433</v>
      </c>
      <c r="B437" s="33" t="s">
        <v>402</v>
      </c>
      <c r="C437" s="14"/>
      <c r="D437" s="5"/>
      <c r="E437" s="12">
        <v>4</v>
      </c>
      <c r="F437" s="5"/>
      <c r="G437" s="15">
        <v>90</v>
      </c>
      <c r="H437" s="15">
        <f t="shared" si="14"/>
        <v>360</v>
      </c>
    </row>
    <row r="438" spans="1:8" x14ac:dyDescent="0.25">
      <c r="A438" s="38">
        <v>434</v>
      </c>
      <c r="B438" s="33" t="s">
        <v>405</v>
      </c>
      <c r="C438" s="14"/>
      <c r="D438" s="5"/>
      <c r="E438" s="12">
        <v>4</v>
      </c>
      <c r="F438" s="5"/>
      <c r="G438" s="15">
        <v>95</v>
      </c>
      <c r="H438" s="15">
        <f t="shared" si="14"/>
        <v>380</v>
      </c>
    </row>
    <row r="439" spans="1:8" x14ac:dyDescent="0.25">
      <c r="A439" s="38">
        <v>435</v>
      </c>
      <c r="B439" s="33" t="s">
        <v>408</v>
      </c>
      <c r="C439" s="14"/>
      <c r="D439" s="5"/>
      <c r="E439" s="12">
        <v>5</v>
      </c>
      <c r="F439" s="5"/>
      <c r="G439" s="15">
        <v>78</v>
      </c>
      <c r="H439" s="15">
        <f t="shared" si="14"/>
        <v>390</v>
      </c>
    </row>
    <row r="440" spans="1:8" x14ac:dyDescent="0.25">
      <c r="A440" s="38">
        <v>436</v>
      </c>
      <c r="B440" s="33" t="s">
        <v>411</v>
      </c>
      <c r="C440" s="14"/>
      <c r="D440" s="5"/>
      <c r="E440" s="12">
        <f>74.5</f>
        <v>74.5</v>
      </c>
      <c r="F440" s="5"/>
      <c r="G440" s="15">
        <v>134</v>
      </c>
      <c r="H440" s="15">
        <f t="shared" si="14"/>
        <v>9983</v>
      </c>
    </row>
    <row r="441" spans="1:8" x14ac:dyDescent="0.25">
      <c r="A441" s="38">
        <v>437</v>
      </c>
      <c r="B441" s="33" t="s">
        <v>412</v>
      </c>
      <c r="C441" s="14"/>
      <c r="D441" s="5"/>
      <c r="E441" s="12">
        <f>385+73.5</f>
        <v>458.5</v>
      </c>
      <c r="F441" s="5"/>
      <c r="G441" s="15">
        <v>34</v>
      </c>
      <c r="H441" s="15">
        <f t="shared" si="14"/>
        <v>15589</v>
      </c>
    </row>
    <row r="442" spans="1:8" x14ac:dyDescent="0.25">
      <c r="A442" s="38">
        <v>438</v>
      </c>
      <c r="B442" s="33" t="s">
        <v>413</v>
      </c>
      <c r="C442" s="14"/>
      <c r="D442" s="5"/>
      <c r="E442" s="12">
        <f>80.5</f>
        <v>80.5</v>
      </c>
      <c r="F442" s="5"/>
      <c r="G442" s="15">
        <v>145</v>
      </c>
      <c r="H442" s="15">
        <f t="shared" si="14"/>
        <v>11672.5</v>
      </c>
    </row>
    <row r="443" spans="1:8" x14ac:dyDescent="0.25">
      <c r="A443" s="38">
        <v>439</v>
      </c>
      <c r="B443" s="33" t="s">
        <v>415</v>
      </c>
      <c r="C443" s="14"/>
      <c r="D443" s="5"/>
      <c r="E443" s="12">
        <f>24.5</f>
        <v>24.5</v>
      </c>
      <c r="F443" s="5"/>
      <c r="G443" s="15">
        <v>159</v>
      </c>
      <c r="H443" s="15">
        <f t="shared" ref="H443:H482" si="15">E443*G443</f>
        <v>3895.5</v>
      </c>
    </row>
    <row r="444" spans="1:8" x14ac:dyDescent="0.25">
      <c r="A444" s="38">
        <v>440</v>
      </c>
      <c r="B444" s="33" t="s">
        <v>416</v>
      </c>
      <c r="C444" s="14"/>
      <c r="D444" s="5"/>
      <c r="E444" s="12">
        <f>49.5</f>
        <v>49.5</v>
      </c>
      <c r="F444" s="5"/>
      <c r="G444" s="15">
        <v>128</v>
      </c>
      <c r="H444" s="15">
        <f t="shared" si="15"/>
        <v>6336</v>
      </c>
    </row>
    <row r="445" spans="1:8" x14ac:dyDescent="0.25">
      <c r="A445" s="38">
        <v>441</v>
      </c>
      <c r="B445" s="33" t="s">
        <v>417</v>
      </c>
      <c r="C445" s="14"/>
      <c r="D445" s="5"/>
      <c r="E445" s="12">
        <f>28</f>
        <v>28</v>
      </c>
      <c r="F445" s="5"/>
      <c r="G445" s="15">
        <v>150</v>
      </c>
      <c r="H445" s="15">
        <f t="shared" si="15"/>
        <v>4200</v>
      </c>
    </row>
    <row r="446" spans="1:8" x14ac:dyDescent="0.25">
      <c r="A446" s="38">
        <v>442</v>
      </c>
      <c r="B446" s="33" t="s">
        <v>418</v>
      </c>
      <c r="C446" s="14"/>
      <c r="D446" s="5"/>
      <c r="E446" s="12">
        <f>158+8.064</f>
        <v>166.06399999999999</v>
      </c>
      <c r="F446" s="5"/>
      <c r="G446" s="15">
        <v>92</v>
      </c>
      <c r="H446" s="15">
        <f t="shared" si="15"/>
        <v>15277.887999999999</v>
      </c>
    </row>
    <row r="447" spans="1:8" x14ac:dyDescent="0.25">
      <c r="A447" s="38">
        <v>443</v>
      </c>
      <c r="B447" s="33" t="s">
        <v>419</v>
      </c>
      <c r="C447" s="14"/>
      <c r="D447" s="5"/>
      <c r="E447" s="12">
        <f>19.5+17.5</f>
        <v>37</v>
      </c>
      <c r="F447" s="5"/>
      <c r="G447" s="15">
        <v>110</v>
      </c>
      <c r="H447" s="15">
        <f t="shared" si="15"/>
        <v>4070</v>
      </c>
    </row>
    <row r="448" spans="1:8" x14ac:dyDescent="0.25">
      <c r="A448" s="38">
        <v>444</v>
      </c>
      <c r="B448" s="33" t="s">
        <v>420</v>
      </c>
      <c r="C448" s="14"/>
      <c r="D448" s="5"/>
      <c r="E448" s="12">
        <f>127.5</f>
        <v>127.5</v>
      </c>
      <c r="F448" s="5"/>
      <c r="G448" s="15">
        <v>204</v>
      </c>
      <c r="H448" s="15">
        <f t="shared" si="15"/>
        <v>26010</v>
      </c>
    </row>
    <row r="449" spans="1:8" x14ac:dyDescent="0.25">
      <c r="A449" s="38">
        <v>445</v>
      </c>
      <c r="B449" s="33" t="s">
        <v>421</v>
      </c>
      <c r="C449" s="14"/>
      <c r="D449" s="5"/>
      <c r="E449" s="12">
        <f>81.5</f>
        <v>81.5</v>
      </c>
      <c r="F449" s="5"/>
      <c r="G449" s="15">
        <v>18</v>
      </c>
      <c r="H449" s="15">
        <f t="shared" si="15"/>
        <v>1467</v>
      </c>
    </row>
    <row r="450" spans="1:8" x14ac:dyDescent="0.25">
      <c r="A450" s="38">
        <v>446</v>
      </c>
      <c r="B450" s="33" t="s">
        <v>424</v>
      </c>
      <c r="C450" s="14"/>
      <c r="D450" s="5"/>
      <c r="E450" s="12">
        <f>4.46</f>
        <v>4.46</v>
      </c>
      <c r="F450" s="5"/>
      <c r="G450" s="15">
        <v>810</v>
      </c>
      <c r="H450" s="15">
        <f t="shared" si="15"/>
        <v>3612.6</v>
      </c>
    </row>
    <row r="451" spans="1:8" x14ac:dyDescent="0.25">
      <c r="A451" s="38">
        <v>447</v>
      </c>
      <c r="B451" s="33" t="s">
        <v>426</v>
      </c>
      <c r="C451" s="14"/>
      <c r="D451" s="5"/>
      <c r="E451" s="12">
        <v>25.28</v>
      </c>
      <c r="F451" s="5"/>
      <c r="G451" s="15">
        <v>450</v>
      </c>
      <c r="H451" s="15">
        <f t="shared" si="15"/>
        <v>11376</v>
      </c>
    </row>
    <row r="452" spans="1:8" x14ac:dyDescent="0.25">
      <c r="A452" s="38">
        <v>448</v>
      </c>
      <c r="B452" s="33" t="s">
        <v>428</v>
      </c>
      <c r="C452" s="14"/>
      <c r="D452" s="5"/>
      <c r="E452" s="12">
        <f>5.692+4.05</f>
        <v>9.7420000000000009</v>
      </c>
      <c r="F452" s="5"/>
      <c r="G452" s="15">
        <v>760</v>
      </c>
      <c r="H452" s="15">
        <f t="shared" si="15"/>
        <v>7403.920000000001</v>
      </c>
    </row>
    <row r="453" spans="1:8" x14ac:dyDescent="0.25">
      <c r="A453" s="38">
        <v>449</v>
      </c>
      <c r="B453" s="33" t="s">
        <v>429</v>
      </c>
      <c r="C453" s="14"/>
      <c r="D453" s="5"/>
      <c r="E453" s="12">
        <f>4</f>
        <v>4</v>
      </c>
      <c r="F453" s="5"/>
      <c r="G453" s="15">
        <v>75</v>
      </c>
      <c r="H453" s="15">
        <f t="shared" si="15"/>
        <v>300</v>
      </c>
    </row>
    <row r="454" spans="1:8" x14ac:dyDescent="0.25">
      <c r="A454" s="38">
        <v>450</v>
      </c>
      <c r="B454" s="33" t="s">
        <v>430</v>
      </c>
      <c r="C454" s="14"/>
      <c r="D454" s="5"/>
      <c r="E454" s="12">
        <f>5+6</f>
        <v>11</v>
      </c>
      <c r="F454" s="5"/>
      <c r="G454" s="15">
        <v>85</v>
      </c>
      <c r="H454" s="15">
        <f t="shared" si="15"/>
        <v>935</v>
      </c>
    </row>
    <row r="455" spans="1:8" x14ac:dyDescent="0.25">
      <c r="A455" s="38">
        <v>451</v>
      </c>
      <c r="B455" s="33" t="s">
        <v>435</v>
      </c>
      <c r="C455" s="14"/>
      <c r="D455" s="5"/>
      <c r="E455" s="12">
        <v>3.3719999999999999</v>
      </c>
      <c r="F455" s="5"/>
      <c r="G455" s="15">
        <v>225</v>
      </c>
      <c r="H455" s="15">
        <f t="shared" si="15"/>
        <v>758.69999999999993</v>
      </c>
    </row>
    <row r="456" spans="1:8" x14ac:dyDescent="0.25">
      <c r="A456" s="38">
        <v>452</v>
      </c>
      <c r="B456" s="33" t="s">
        <v>436</v>
      </c>
      <c r="C456" s="14"/>
      <c r="D456" s="5"/>
      <c r="E456" s="12">
        <v>3</v>
      </c>
      <c r="F456" s="5"/>
      <c r="G456" s="15">
        <v>78</v>
      </c>
      <c r="H456" s="15">
        <f t="shared" si="15"/>
        <v>234</v>
      </c>
    </row>
    <row r="457" spans="1:8" x14ac:dyDescent="0.25">
      <c r="A457" s="38">
        <v>453</v>
      </c>
      <c r="B457" s="33" t="s">
        <v>437</v>
      </c>
      <c r="C457" s="14"/>
      <c r="D457" s="5"/>
      <c r="E457" s="12">
        <v>3</v>
      </c>
      <c r="F457" s="5"/>
      <c r="G457" s="15">
        <v>86</v>
      </c>
      <c r="H457" s="15">
        <f t="shared" si="15"/>
        <v>258</v>
      </c>
    </row>
    <row r="458" spans="1:8" x14ac:dyDescent="0.25">
      <c r="A458" s="38">
        <v>454</v>
      </c>
      <c r="B458" s="33" t="s">
        <v>438</v>
      </c>
      <c r="C458" s="14"/>
      <c r="D458" s="5"/>
      <c r="E458" s="12">
        <f>8+7</f>
        <v>15</v>
      </c>
      <c r="F458" s="5"/>
      <c r="G458" s="15">
        <v>75</v>
      </c>
      <c r="H458" s="15">
        <f t="shared" si="15"/>
        <v>1125</v>
      </c>
    </row>
    <row r="459" spans="1:8" x14ac:dyDescent="0.25">
      <c r="A459" s="38">
        <v>455</v>
      </c>
      <c r="B459" s="33" t="s">
        <v>439</v>
      </c>
      <c r="C459" s="14"/>
      <c r="D459" s="5"/>
      <c r="E459" s="12">
        <f>17.5+118.4+32.5+10.1</f>
        <v>178.5</v>
      </c>
      <c r="F459" s="5"/>
      <c r="G459" s="15">
        <v>370</v>
      </c>
      <c r="H459" s="15">
        <f t="shared" si="15"/>
        <v>66045</v>
      </c>
    </row>
    <row r="460" spans="1:8" x14ac:dyDescent="0.25">
      <c r="A460" s="38">
        <v>456</v>
      </c>
      <c r="B460" s="33" t="s">
        <v>446</v>
      </c>
      <c r="C460" s="14"/>
      <c r="D460" s="5"/>
      <c r="E460" s="12">
        <f>1.44</f>
        <v>1.44</v>
      </c>
      <c r="F460" s="5"/>
      <c r="G460" s="15">
        <v>80</v>
      </c>
      <c r="H460" s="15">
        <f t="shared" si="15"/>
        <v>115.19999999999999</v>
      </c>
    </row>
    <row r="461" spans="1:8" x14ac:dyDescent="0.25">
      <c r="A461" s="38">
        <v>457</v>
      </c>
      <c r="B461" s="33" t="s">
        <v>448</v>
      </c>
      <c r="C461" s="14"/>
      <c r="D461" s="5"/>
      <c r="E461" s="12">
        <v>0.48499999999999999</v>
      </c>
      <c r="F461" s="5"/>
      <c r="G461" s="15">
        <v>225</v>
      </c>
      <c r="H461" s="15">
        <f t="shared" si="15"/>
        <v>109.125</v>
      </c>
    </row>
    <row r="462" spans="1:8" x14ac:dyDescent="0.25">
      <c r="A462" s="38">
        <v>458</v>
      </c>
      <c r="B462" s="33" t="s">
        <v>449</v>
      </c>
      <c r="C462" s="14"/>
      <c r="D462" s="5"/>
      <c r="E462" s="12">
        <v>0.495</v>
      </c>
      <c r="F462" s="5"/>
      <c r="G462" s="15">
        <v>225</v>
      </c>
      <c r="H462" s="15">
        <f t="shared" si="15"/>
        <v>111.375</v>
      </c>
    </row>
    <row r="463" spans="1:8" x14ac:dyDescent="0.25">
      <c r="A463" s="38">
        <v>459</v>
      </c>
      <c r="B463" s="33" t="s">
        <v>450</v>
      </c>
      <c r="C463" s="14"/>
      <c r="D463" s="5"/>
      <c r="E463" s="12">
        <v>0.505</v>
      </c>
      <c r="F463" s="5"/>
      <c r="G463" s="15">
        <v>225</v>
      </c>
      <c r="H463" s="15">
        <f t="shared" si="15"/>
        <v>113.625</v>
      </c>
    </row>
    <row r="464" spans="1:8" x14ac:dyDescent="0.25">
      <c r="A464" s="38">
        <v>460</v>
      </c>
      <c r="B464" s="33" t="s">
        <v>451</v>
      </c>
      <c r="C464" s="14"/>
      <c r="D464" s="5"/>
      <c r="E464" s="12">
        <v>0.46500000000000002</v>
      </c>
      <c r="F464" s="5"/>
      <c r="G464" s="15">
        <v>225</v>
      </c>
      <c r="H464" s="15">
        <f t="shared" si="15"/>
        <v>104.625</v>
      </c>
    </row>
    <row r="465" spans="1:8" x14ac:dyDescent="0.25">
      <c r="A465" s="38">
        <v>461</v>
      </c>
      <c r="B465" s="33" t="s">
        <v>452</v>
      </c>
      <c r="C465" s="14"/>
      <c r="D465" s="5"/>
      <c r="E465" s="12">
        <v>0.215</v>
      </c>
      <c r="F465" s="5"/>
      <c r="G465" s="15">
        <v>225</v>
      </c>
      <c r="H465" s="15">
        <f t="shared" si="15"/>
        <v>48.375</v>
      </c>
    </row>
    <row r="466" spans="1:8" x14ac:dyDescent="0.25">
      <c r="A466" s="38">
        <v>462</v>
      </c>
      <c r="B466" s="33" t="s">
        <v>453</v>
      </c>
      <c r="C466" s="14"/>
      <c r="D466" s="31"/>
      <c r="E466" s="12">
        <v>0.24</v>
      </c>
      <c r="F466" s="5"/>
      <c r="G466" s="15">
        <v>225</v>
      </c>
      <c r="H466" s="15">
        <f t="shared" si="15"/>
        <v>54</v>
      </c>
    </row>
    <row r="467" spans="1:8" x14ac:dyDescent="0.25">
      <c r="A467" s="38">
        <v>463</v>
      </c>
      <c r="B467" s="33" t="s">
        <v>450</v>
      </c>
      <c r="C467" s="14"/>
      <c r="D467" s="5"/>
      <c r="E467" s="12">
        <v>0.255</v>
      </c>
      <c r="F467" s="5"/>
      <c r="G467" s="15">
        <v>225</v>
      </c>
      <c r="H467" s="15">
        <f t="shared" si="15"/>
        <v>57.375</v>
      </c>
    </row>
    <row r="468" spans="1:8" x14ac:dyDescent="0.25">
      <c r="A468" s="38">
        <v>464</v>
      </c>
      <c r="B468" s="33" t="s">
        <v>455</v>
      </c>
      <c r="C468" s="14"/>
      <c r="D468" s="5"/>
      <c r="E468" s="12">
        <f>14</f>
        <v>14</v>
      </c>
      <c r="F468" s="5"/>
      <c r="G468" s="15">
        <v>28</v>
      </c>
      <c r="H468" s="15">
        <f t="shared" si="15"/>
        <v>392</v>
      </c>
    </row>
    <row r="469" spans="1:8" x14ac:dyDescent="0.25">
      <c r="A469" s="38">
        <v>465</v>
      </c>
      <c r="B469" s="35"/>
      <c r="C469" s="14"/>
      <c r="D469" s="5"/>
      <c r="E469" s="5"/>
      <c r="F469" s="5"/>
      <c r="G469" s="15"/>
      <c r="H469" s="15">
        <f t="shared" si="15"/>
        <v>0</v>
      </c>
    </row>
    <row r="470" spans="1:8" x14ac:dyDescent="0.25">
      <c r="A470" s="38">
        <v>466</v>
      </c>
      <c r="B470" s="35"/>
      <c r="C470" s="14"/>
      <c r="D470" s="5"/>
      <c r="E470" s="5"/>
      <c r="F470" s="5"/>
      <c r="G470" s="15"/>
      <c r="H470" s="15">
        <f t="shared" si="15"/>
        <v>0</v>
      </c>
    </row>
    <row r="471" spans="1:8" x14ac:dyDescent="0.25">
      <c r="A471" s="38">
        <v>467</v>
      </c>
      <c r="B471" s="35"/>
      <c r="C471" s="14"/>
      <c r="D471" s="5"/>
      <c r="E471" s="5"/>
      <c r="F471" s="5"/>
      <c r="G471" s="15"/>
      <c r="H471" s="15">
        <f t="shared" si="15"/>
        <v>0</v>
      </c>
    </row>
    <row r="472" spans="1:8" x14ac:dyDescent="0.25">
      <c r="A472" s="38">
        <v>468</v>
      </c>
      <c r="B472" s="35"/>
      <c r="C472" s="14"/>
      <c r="D472" s="5"/>
      <c r="E472" s="5"/>
      <c r="F472" s="5"/>
      <c r="G472" s="15"/>
      <c r="H472" s="15">
        <f t="shared" si="15"/>
        <v>0</v>
      </c>
    </row>
    <row r="473" spans="1:8" x14ac:dyDescent="0.25">
      <c r="A473" s="38">
        <v>469</v>
      </c>
      <c r="B473" s="35"/>
      <c r="C473" s="14"/>
      <c r="D473" s="5"/>
      <c r="E473" s="5"/>
      <c r="F473" s="5"/>
      <c r="G473" s="15"/>
      <c r="H473" s="15">
        <f t="shared" si="15"/>
        <v>0</v>
      </c>
    </row>
    <row r="474" spans="1:8" x14ac:dyDescent="0.25">
      <c r="A474" s="38">
        <v>470</v>
      </c>
      <c r="B474" s="35"/>
      <c r="C474" s="14"/>
      <c r="D474" s="5"/>
      <c r="E474" s="5"/>
      <c r="F474" s="5"/>
      <c r="G474" s="15"/>
      <c r="H474" s="15">
        <f t="shared" si="15"/>
        <v>0</v>
      </c>
    </row>
    <row r="475" spans="1:8" x14ac:dyDescent="0.25">
      <c r="A475" s="38">
        <v>468</v>
      </c>
      <c r="B475" s="35"/>
      <c r="C475" s="14"/>
      <c r="D475" s="5"/>
      <c r="E475" s="5"/>
      <c r="F475" s="5"/>
      <c r="G475" s="15"/>
      <c r="H475" s="15">
        <f t="shared" si="15"/>
        <v>0</v>
      </c>
    </row>
    <row r="476" spans="1:8" x14ac:dyDescent="0.25">
      <c r="A476" s="38">
        <v>469</v>
      </c>
      <c r="B476" s="35"/>
      <c r="C476" s="14"/>
      <c r="D476" s="5"/>
      <c r="E476" s="5"/>
      <c r="F476" s="5"/>
      <c r="G476" s="15"/>
      <c r="H476" s="15">
        <f t="shared" si="15"/>
        <v>0</v>
      </c>
    </row>
    <row r="477" spans="1:8" x14ac:dyDescent="0.25">
      <c r="A477" s="38">
        <v>470</v>
      </c>
      <c r="B477" s="35"/>
      <c r="C477" s="14"/>
      <c r="D477" s="5"/>
      <c r="E477" s="5"/>
      <c r="F477" s="5"/>
      <c r="G477" s="15"/>
      <c r="H477" s="15">
        <f t="shared" si="15"/>
        <v>0</v>
      </c>
    </row>
    <row r="478" spans="1:8" x14ac:dyDescent="0.25">
      <c r="A478" s="39">
        <v>471</v>
      </c>
      <c r="B478" s="35"/>
      <c r="C478" s="14"/>
      <c r="D478" s="5"/>
      <c r="E478" s="5"/>
      <c r="F478" s="5"/>
      <c r="G478" s="15"/>
      <c r="H478" s="15">
        <f t="shared" si="15"/>
        <v>0</v>
      </c>
    </row>
    <row r="479" spans="1:8" x14ac:dyDescent="0.25">
      <c r="A479" s="38">
        <v>472</v>
      </c>
      <c r="B479" s="35"/>
      <c r="C479" s="14"/>
      <c r="D479" s="5"/>
      <c r="E479" s="5"/>
      <c r="F479" s="5"/>
      <c r="G479" s="15"/>
      <c r="H479" s="15">
        <f t="shared" si="15"/>
        <v>0</v>
      </c>
    </row>
    <row r="480" spans="1:8" x14ac:dyDescent="0.25">
      <c r="A480" s="38">
        <v>473</v>
      </c>
      <c r="B480" s="35"/>
      <c r="C480" s="14"/>
      <c r="D480" s="5"/>
      <c r="E480" s="5"/>
      <c r="F480" s="5"/>
      <c r="G480" s="15"/>
      <c r="H480" s="15">
        <f t="shared" si="15"/>
        <v>0</v>
      </c>
    </row>
    <row r="481" spans="1:8" x14ac:dyDescent="0.25">
      <c r="A481" s="38">
        <v>474</v>
      </c>
      <c r="B481" s="35"/>
      <c r="C481" s="14"/>
      <c r="D481" s="5"/>
      <c r="E481" s="5"/>
      <c r="F481" s="5"/>
      <c r="G481" s="15"/>
      <c r="H481" s="15">
        <f t="shared" si="15"/>
        <v>0</v>
      </c>
    </row>
    <row r="482" spans="1:8" x14ac:dyDescent="0.25">
      <c r="A482" s="40"/>
      <c r="C482"/>
      <c r="G482"/>
      <c r="H482" s="15">
        <f t="shared" si="15"/>
        <v>0</v>
      </c>
    </row>
    <row r="483" spans="1:8" ht="31.5" x14ac:dyDescent="0.5">
      <c r="A483" s="40"/>
      <c r="B483" s="32" t="s">
        <v>11</v>
      </c>
      <c r="C483" s="25"/>
      <c r="D483" s="25"/>
      <c r="E483" s="26">
        <f>SUM(E5:E481)</f>
        <v>22687.791000000001</v>
      </c>
      <c r="F483" s="26">
        <f>SUM(F5:F222)</f>
        <v>0</v>
      </c>
      <c r="G483" s="25"/>
      <c r="H483" s="45">
        <f>SUM(H5:H482)</f>
        <v>4013029.9500000007</v>
      </c>
    </row>
    <row r="484" spans="1:8" x14ac:dyDescent="0.25">
      <c r="A484" s="40"/>
      <c r="C484"/>
      <c r="G484"/>
      <c r="H484"/>
    </row>
    <row r="485" spans="1:8" ht="18.75" x14ac:dyDescent="0.3">
      <c r="A485" s="40"/>
      <c r="B485" s="59" t="s">
        <v>13</v>
      </c>
      <c r="C485"/>
      <c r="E485" s="42" t="s">
        <v>14</v>
      </c>
      <c r="F485" s="43" t="s">
        <v>10</v>
      </c>
      <c r="G485" s="44" t="s">
        <v>360</v>
      </c>
      <c r="H485"/>
    </row>
    <row r="486" spans="1:8" ht="15" x14ac:dyDescent="0.25">
      <c r="A486" s="40"/>
      <c r="B486" s="60"/>
      <c r="C486"/>
      <c r="E486" s="62">
        <v>795</v>
      </c>
      <c r="F486" s="62">
        <v>159</v>
      </c>
      <c r="G486" s="64">
        <f>E486+F486</f>
        <v>954</v>
      </c>
      <c r="H486"/>
    </row>
    <row r="487" spans="1:8" ht="15" x14ac:dyDescent="0.25">
      <c r="A487" s="40"/>
      <c r="B487" s="61"/>
      <c r="C487"/>
      <c r="E487" s="63"/>
      <c r="F487" s="63"/>
      <c r="G487" s="64"/>
      <c r="H487"/>
    </row>
    <row r="488" spans="1:8" x14ac:dyDescent="0.25">
      <c r="A488" s="40"/>
      <c r="C488"/>
      <c r="G488"/>
      <c r="H488"/>
    </row>
    <row r="489" spans="1:8" x14ac:dyDescent="0.25">
      <c r="A489" s="40"/>
      <c r="C489"/>
      <c r="G489"/>
      <c r="H489"/>
    </row>
    <row r="490" spans="1:8" x14ac:dyDescent="0.25">
      <c r="A490" s="40"/>
      <c r="C490"/>
      <c r="G490"/>
      <c r="H490"/>
    </row>
    <row r="491" spans="1:8" x14ac:dyDescent="0.25">
      <c r="A491" s="40"/>
      <c r="C491"/>
      <c r="G491"/>
      <c r="H491"/>
    </row>
    <row r="492" spans="1:8" x14ac:dyDescent="0.25">
      <c r="A492" s="40"/>
      <c r="C492"/>
      <c r="G492"/>
      <c r="H492"/>
    </row>
  </sheetData>
  <sheetProtection formatCells="0" formatColumns="0" formatRows="0" insertColumns="0" insertRows="0" insertHyperlinks="0" deleteColumns="0" deleteRows="0" selectLockedCells="1" sort="0" autoFilter="0" pivotTables="0" selectUnlockedCells="1"/>
  <protectedRanges>
    <protectedRange algorithmName="SHA-512" hashValue="U597kkUQHT7TQolN/9CZogveJ5wz1CN2QHYRZizopIWrLXDCfOGDN6VokmodtcCsYIWq9+An5uQDn2r1oP/i4g==" saltValue="SnA6tyDqU/dOuFXJK2H2AQ==" spinCount="100000" sqref="F5:G7" name="Rango1"/>
  </protectedRanges>
  <autoFilter ref="A4:H481"/>
  <sortState ref="A5:I374">
    <sortCondition ref="B1"/>
  </sortState>
  <mergeCells count="7">
    <mergeCell ref="A3:H3"/>
    <mergeCell ref="A1:H1"/>
    <mergeCell ref="A2:H2"/>
    <mergeCell ref="B485:B487"/>
    <mergeCell ref="E486:E487"/>
    <mergeCell ref="F486:F487"/>
    <mergeCell ref="G486:G487"/>
  </mergeCells>
  <pageMargins left="0.23622047244094491" right="0.23622047244094491" top="0.74803149606299213" bottom="0.74803149606299213" header="0.31496062992125984" footer="0.31496062992125984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505"/>
  <sheetViews>
    <sheetView tabSelected="1" topLeftCell="A376" zoomScale="118" zoomScaleNormal="118" workbookViewId="0">
      <selection activeCell="E402" sqref="E402"/>
    </sheetView>
  </sheetViews>
  <sheetFormatPr baseColWidth="10" defaultRowHeight="15" x14ac:dyDescent="0.25"/>
  <cols>
    <col min="1" max="1" width="5.7109375" customWidth="1"/>
    <col min="2" max="2" width="46.42578125" customWidth="1"/>
    <col min="3" max="3" width="10.7109375" hidden="1" customWidth="1"/>
    <col min="4" max="4" width="6.85546875" hidden="1" customWidth="1"/>
    <col min="5" max="5" width="20" bestFit="1" customWidth="1"/>
    <col min="6" max="6" width="9.7109375" bestFit="1" customWidth="1"/>
    <col min="7" max="7" width="13.7109375" bestFit="1" customWidth="1"/>
    <col min="8" max="8" width="23.28515625" bestFit="1" customWidth="1"/>
  </cols>
  <sheetData>
    <row r="1" spans="1:8" ht="35.25" x14ac:dyDescent="0.5">
      <c r="A1" s="52" t="s">
        <v>16</v>
      </c>
      <c r="B1" s="53"/>
      <c r="C1" s="53"/>
      <c r="D1" s="53"/>
      <c r="E1" s="53"/>
      <c r="F1" s="53"/>
      <c r="G1" s="53"/>
      <c r="H1" s="54"/>
    </row>
    <row r="2" spans="1:8" ht="30.75" x14ac:dyDescent="0.45">
      <c r="A2" s="55" t="s">
        <v>463</v>
      </c>
      <c r="B2" s="56"/>
      <c r="C2" s="57"/>
      <c r="D2" s="57"/>
      <c r="E2" s="56"/>
      <c r="F2" s="56"/>
      <c r="G2" s="56"/>
      <c r="H2" s="58"/>
    </row>
    <row r="3" spans="1:8" ht="20.25" x14ac:dyDescent="0.3">
      <c r="A3" s="49" t="s">
        <v>464</v>
      </c>
      <c r="B3" s="50"/>
      <c r="C3" s="50"/>
      <c r="D3" s="50"/>
      <c r="E3" s="50"/>
      <c r="F3" s="50"/>
      <c r="G3" s="50"/>
      <c r="H3" s="51"/>
    </row>
    <row r="4" spans="1:8" ht="15.75" x14ac:dyDescent="0.25">
      <c r="A4" s="37" t="s">
        <v>12</v>
      </c>
      <c r="B4" s="32" t="s">
        <v>0</v>
      </c>
      <c r="C4" s="11" t="s">
        <v>3</v>
      </c>
      <c r="D4" s="10" t="s">
        <v>1</v>
      </c>
      <c r="E4" s="14" t="s">
        <v>8</v>
      </c>
      <c r="F4" s="14" t="s">
        <v>2</v>
      </c>
      <c r="G4" s="3" t="s">
        <v>4</v>
      </c>
      <c r="H4" s="3" t="s">
        <v>9</v>
      </c>
    </row>
    <row r="5" spans="1:8" ht="15.75" x14ac:dyDescent="0.25">
      <c r="A5" s="38">
        <v>1</v>
      </c>
      <c r="B5" s="33"/>
      <c r="C5" s="19"/>
      <c r="D5" s="12"/>
      <c r="E5" s="19"/>
      <c r="F5" s="5"/>
      <c r="G5" s="15"/>
      <c r="H5" s="15">
        <f t="shared" ref="H5:H68" si="0">E5*G5</f>
        <v>0</v>
      </c>
    </row>
    <row r="6" spans="1:8" ht="15.75" x14ac:dyDescent="0.25">
      <c r="A6" s="38">
        <v>2</v>
      </c>
      <c r="B6" s="33" t="s">
        <v>17</v>
      </c>
      <c r="C6" s="19"/>
      <c r="D6" s="12"/>
      <c r="E6" s="19">
        <f>9.995+41.6+9.27+8.44+7.365</f>
        <v>76.669999999999987</v>
      </c>
      <c r="F6" s="5"/>
      <c r="G6" s="15">
        <v>64</v>
      </c>
      <c r="H6" s="15">
        <f>E6*G6</f>
        <v>4906.8799999999992</v>
      </c>
    </row>
    <row r="7" spans="1:8" ht="15.75" x14ac:dyDescent="0.25">
      <c r="A7" s="38">
        <v>3</v>
      </c>
      <c r="B7" s="33" t="s">
        <v>18</v>
      </c>
      <c r="C7" s="19"/>
      <c r="D7" s="12"/>
      <c r="E7" s="19">
        <f>9.18+22.3+1.172</f>
        <v>32.652000000000001</v>
      </c>
      <c r="F7" s="5"/>
      <c r="G7" s="15">
        <v>118</v>
      </c>
      <c r="H7" s="15">
        <f t="shared" si="0"/>
        <v>3852.9360000000001</v>
      </c>
    </row>
    <row r="8" spans="1:8" ht="15.75" x14ac:dyDescent="0.25">
      <c r="A8" s="38">
        <v>4</v>
      </c>
      <c r="B8" s="33" t="s">
        <v>19</v>
      </c>
      <c r="C8" s="19"/>
      <c r="D8" s="12"/>
      <c r="E8" s="19">
        <f>17.8+21.8+6.03+63.5</f>
        <v>109.13</v>
      </c>
      <c r="F8" s="5"/>
      <c r="G8" s="15">
        <v>180</v>
      </c>
      <c r="H8" s="15">
        <f t="shared" si="0"/>
        <v>19643.399999999998</v>
      </c>
    </row>
    <row r="9" spans="1:8" ht="15.75" x14ac:dyDescent="0.25">
      <c r="A9" s="38">
        <v>5</v>
      </c>
      <c r="B9" s="33" t="s">
        <v>5</v>
      </c>
      <c r="C9" s="19"/>
      <c r="D9" s="12"/>
      <c r="E9" s="19">
        <f>3.18+1.012</f>
        <v>4.1920000000000002</v>
      </c>
      <c r="F9" s="5"/>
      <c r="G9" s="15">
        <v>120</v>
      </c>
      <c r="H9" s="15">
        <f t="shared" si="0"/>
        <v>503.04</v>
      </c>
    </row>
    <row r="10" spans="1:8" ht="15.75" x14ac:dyDescent="0.25">
      <c r="A10" s="38">
        <v>6</v>
      </c>
      <c r="B10" s="33" t="s">
        <v>20</v>
      </c>
      <c r="C10" s="19"/>
      <c r="D10" s="12"/>
      <c r="E10" s="19"/>
      <c r="F10" s="5"/>
      <c r="G10" s="15"/>
      <c r="H10" s="15">
        <f t="shared" si="0"/>
        <v>0</v>
      </c>
    </row>
    <row r="11" spans="1:8" ht="15.75" x14ac:dyDescent="0.25">
      <c r="A11" s="38">
        <v>7</v>
      </c>
      <c r="B11" s="33" t="s">
        <v>21</v>
      </c>
      <c r="C11" s="19"/>
      <c r="D11" s="12"/>
      <c r="E11" s="19"/>
      <c r="F11" s="5"/>
      <c r="G11" s="15"/>
      <c r="H11" s="15">
        <f t="shared" si="0"/>
        <v>0</v>
      </c>
    </row>
    <row r="12" spans="1:8" ht="15.75" x14ac:dyDescent="0.25">
      <c r="A12" s="38">
        <v>8</v>
      </c>
      <c r="B12" s="33" t="s">
        <v>7</v>
      </c>
      <c r="C12" s="19"/>
      <c r="D12" s="12"/>
      <c r="E12" s="19">
        <f>20.35+57.4+20.45+14.01</f>
        <v>112.21000000000001</v>
      </c>
      <c r="F12" s="5"/>
      <c r="G12" s="15">
        <v>64</v>
      </c>
      <c r="H12" s="15">
        <f t="shared" si="0"/>
        <v>7181.4400000000005</v>
      </c>
    </row>
    <row r="13" spans="1:8" ht="15.75" x14ac:dyDescent="0.25">
      <c r="A13" s="38">
        <v>9</v>
      </c>
      <c r="B13" s="33" t="s">
        <v>22</v>
      </c>
      <c r="C13" s="19"/>
      <c r="D13" s="12"/>
      <c r="E13" s="19">
        <f>22.61+43+19.8+65.25+7.985+0.454</f>
        <v>159.09900000000002</v>
      </c>
      <c r="F13" s="5"/>
      <c r="G13" s="15">
        <v>130</v>
      </c>
      <c r="H13" s="15">
        <f t="shared" si="0"/>
        <v>20682.870000000003</v>
      </c>
    </row>
    <row r="14" spans="1:8" ht="15.75" x14ac:dyDescent="0.25">
      <c r="A14" s="38">
        <v>10</v>
      </c>
      <c r="B14" s="33" t="s">
        <v>23</v>
      </c>
      <c r="C14" s="19"/>
      <c r="D14" s="12"/>
      <c r="E14" s="19"/>
      <c r="F14" s="5"/>
      <c r="G14" s="15"/>
      <c r="H14" s="15">
        <f t="shared" si="0"/>
        <v>0</v>
      </c>
    </row>
    <row r="15" spans="1:8" ht="15.75" x14ac:dyDescent="0.25">
      <c r="A15" s="38">
        <v>11</v>
      </c>
      <c r="B15" s="33" t="s">
        <v>460</v>
      </c>
      <c r="C15" s="19"/>
      <c r="D15" s="12"/>
      <c r="E15" s="19"/>
      <c r="F15" s="5"/>
      <c r="G15" s="15">
        <v>440</v>
      </c>
      <c r="H15" s="15">
        <f t="shared" si="0"/>
        <v>0</v>
      </c>
    </row>
    <row r="16" spans="1:8" ht="15.75" x14ac:dyDescent="0.25">
      <c r="A16" s="38">
        <v>12</v>
      </c>
      <c r="B16" s="33" t="s">
        <v>25</v>
      </c>
      <c r="C16" s="19"/>
      <c r="D16" s="12"/>
      <c r="E16" s="19"/>
      <c r="F16" s="5"/>
      <c r="G16" s="15"/>
      <c r="H16" s="15">
        <f t="shared" si="0"/>
        <v>0</v>
      </c>
    </row>
    <row r="17" spans="1:8" ht="15.75" x14ac:dyDescent="0.25">
      <c r="A17" s="38">
        <v>13</v>
      </c>
      <c r="B17" s="33" t="s">
        <v>26</v>
      </c>
      <c r="C17" s="19"/>
      <c r="D17" s="12"/>
      <c r="E17" s="19">
        <f>27.895</f>
        <v>27.895</v>
      </c>
      <c r="F17" s="5"/>
      <c r="G17" s="15">
        <v>62</v>
      </c>
      <c r="H17" s="15">
        <f t="shared" si="0"/>
        <v>1729.49</v>
      </c>
    </row>
    <row r="18" spans="1:8" ht="18" customHeight="1" x14ac:dyDescent="0.25">
      <c r="A18" s="38">
        <v>14</v>
      </c>
      <c r="B18" s="34" t="s">
        <v>27</v>
      </c>
      <c r="C18" s="19"/>
      <c r="D18" s="12"/>
      <c r="E18" s="19">
        <f>17.55+3.475</f>
        <v>21.025000000000002</v>
      </c>
      <c r="F18" s="5"/>
      <c r="G18" s="15">
        <v>98</v>
      </c>
      <c r="H18" s="15">
        <f t="shared" si="0"/>
        <v>2060.4500000000003</v>
      </c>
    </row>
    <row r="19" spans="1:8" ht="17.25" customHeight="1" x14ac:dyDescent="0.25">
      <c r="A19" s="38">
        <v>15</v>
      </c>
      <c r="B19" s="34" t="s">
        <v>28</v>
      </c>
      <c r="C19" s="19"/>
      <c r="D19" s="12"/>
      <c r="E19" s="19">
        <f>15.6+2.4</f>
        <v>18</v>
      </c>
      <c r="F19" s="13"/>
      <c r="G19" s="22">
        <v>133</v>
      </c>
      <c r="H19" s="15">
        <f t="shared" si="0"/>
        <v>2394</v>
      </c>
    </row>
    <row r="20" spans="1:8" ht="15.75" customHeight="1" x14ac:dyDescent="0.25">
      <c r="A20" s="38">
        <v>16</v>
      </c>
      <c r="B20" s="34" t="s">
        <v>441</v>
      </c>
      <c r="C20" s="19"/>
      <c r="D20" s="12"/>
      <c r="E20" s="19"/>
      <c r="F20" s="5"/>
      <c r="G20" s="15">
        <v>145</v>
      </c>
      <c r="H20" s="15">
        <f t="shared" si="0"/>
        <v>0</v>
      </c>
    </row>
    <row r="21" spans="1:8" ht="21" customHeight="1" x14ac:dyDescent="0.25">
      <c r="A21" s="38">
        <v>17</v>
      </c>
      <c r="B21" s="34" t="s">
        <v>29</v>
      </c>
      <c r="C21" s="19"/>
      <c r="D21" s="12"/>
      <c r="E21" s="19">
        <f>5.95</f>
        <v>5.95</v>
      </c>
      <c r="F21" s="5"/>
      <c r="G21" s="15">
        <v>360</v>
      </c>
      <c r="H21" s="15">
        <f t="shared" si="0"/>
        <v>2142</v>
      </c>
    </row>
    <row r="22" spans="1:8" ht="17.25" customHeight="1" x14ac:dyDescent="0.25">
      <c r="A22" s="38">
        <v>18</v>
      </c>
      <c r="B22" s="34" t="s">
        <v>30</v>
      </c>
      <c r="C22" s="19"/>
      <c r="D22" s="12"/>
      <c r="E22" s="19">
        <f>20.88+13.64+4.4</f>
        <v>38.919999999999995</v>
      </c>
      <c r="F22" s="5"/>
      <c r="G22" s="15">
        <v>110</v>
      </c>
      <c r="H22" s="15">
        <f t="shared" si="0"/>
        <v>4281.2</v>
      </c>
    </row>
    <row r="23" spans="1:8" ht="15.75" customHeight="1" x14ac:dyDescent="0.25">
      <c r="A23" s="38">
        <v>19</v>
      </c>
      <c r="B23" s="34" t="s">
        <v>31</v>
      </c>
      <c r="C23" s="19"/>
      <c r="D23" s="12"/>
      <c r="E23" s="19">
        <f>5.9</f>
        <v>5.9</v>
      </c>
      <c r="F23" s="5"/>
      <c r="G23" s="15"/>
      <c r="H23" s="15">
        <f t="shared" si="0"/>
        <v>0</v>
      </c>
    </row>
    <row r="24" spans="1:8" ht="13.5" customHeight="1" x14ac:dyDescent="0.25">
      <c r="A24" s="38">
        <v>20</v>
      </c>
      <c r="B24" s="34" t="s">
        <v>518</v>
      </c>
      <c r="C24" s="19"/>
      <c r="D24" s="12"/>
      <c r="E24" s="19">
        <f>1+2</f>
        <v>3</v>
      </c>
      <c r="F24" s="7">
        <v>3</v>
      </c>
      <c r="G24" s="23">
        <v>175</v>
      </c>
      <c r="H24" s="15">
        <f t="shared" si="0"/>
        <v>525</v>
      </c>
    </row>
    <row r="25" spans="1:8" ht="20.25" customHeight="1" x14ac:dyDescent="0.25">
      <c r="A25" s="38">
        <v>21</v>
      </c>
      <c r="B25" s="34" t="s">
        <v>32</v>
      </c>
      <c r="C25" s="19"/>
      <c r="D25" s="12"/>
      <c r="E25" s="19"/>
      <c r="F25" s="5"/>
      <c r="G25" s="15"/>
      <c r="H25" s="15">
        <f t="shared" si="0"/>
        <v>0</v>
      </c>
    </row>
    <row r="26" spans="1:8" ht="16.5" customHeight="1" x14ac:dyDescent="0.25">
      <c r="A26" s="38">
        <v>22</v>
      </c>
      <c r="B26" s="34" t="s">
        <v>33</v>
      </c>
      <c r="C26" s="19"/>
      <c r="D26" s="12"/>
      <c r="E26" s="19"/>
      <c r="F26" s="5"/>
      <c r="G26" s="15">
        <f>440</f>
        <v>440</v>
      </c>
      <c r="H26" s="15">
        <f t="shared" si="0"/>
        <v>0</v>
      </c>
    </row>
    <row r="27" spans="1:8" ht="21" customHeight="1" x14ac:dyDescent="0.25">
      <c r="A27" s="38">
        <v>23</v>
      </c>
      <c r="B27" s="34" t="s">
        <v>34</v>
      </c>
      <c r="C27" s="19"/>
      <c r="D27" s="12"/>
      <c r="E27" s="19">
        <f>2.87</f>
        <v>2.87</v>
      </c>
      <c r="F27" s="5"/>
      <c r="G27" s="15">
        <v>96</v>
      </c>
      <c r="H27" s="15">
        <f t="shared" si="0"/>
        <v>275.52</v>
      </c>
    </row>
    <row r="28" spans="1:8" ht="16.5" customHeight="1" x14ac:dyDescent="0.25">
      <c r="A28" s="38">
        <v>24</v>
      </c>
      <c r="B28" s="34" t="s">
        <v>35</v>
      </c>
      <c r="C28" s="19"/>
      <c r="D28" s="12"/>
      <c r="E28" s="19">
        <f>7.145</f>
        <v>7.1449999999999996</v>
      </c>
      <c r="F28" s="5"/>
      <c r="G28" s="15">
        <v>100</v>
      </c>
      <c r="H28" s="15">
        <f t="shared" si="0"/>
        <v>714.5</v>
      </c>
    </row>
    <row r="29" spans="1:8" ht="15.75" x14ac:dyDescent="0.25">
      <c r="A29" s="38">
        <v>25</v>
      </c>
      <c r="B29" s="33" t="s">
        <v>462</v>
      </c>
      <c r="C29" s="19"/>
      <c r="D29" s="12"/>
      <c r="E29" s="19"/>
      <c r="F29" s="5"/>
      <c r="G29" s="15">
        <v>135</v>
      </c>
      <c r="H29" s="15">
        <f t="shared" si="0"/>
        <v>0</v>
      </c>
    </row>
    <row r="30" spans="1:8" ht="15.75" x14ac:dyDescent="0.25">
      <c r="A30" s="38">
        <v>26</v>
      </c>
      <c r="B30" s="33" t="s">
        <v>36</v>
      </c>
      <c r="C30" s="19"/>
      <c r="D30" s="12"/>
      <c r="E30" s="19">
        <f>4</f>
        <v>4</v>
      </c>
      <c r="F30" s="5"/>
      <c r="G30" s="15">
        <v>146</v>
      </c>
      <c r="H30" s="15">
        <f t="shared" si="0"/>
        <v>584</v>
      </c>
    </row>
    <row r="31" spans="1:8" ht="15.75" x14ac:dyDescent="0.25">
      <c r="A31" s="38">
        <v>27</v>
      </c>
      <c r="B31" s="33" t="s">
        <v>37</v>
      </c>
      <c r="C31" s="19"/>
      <c r="D31" s="12"/>
      <c r="E31" s="19">
        <f>3.8</f>
        <v>3.8</v>
      </c>
      <c r="F31" s="5"/>
      <c r="G31" s="15">
        <v>145</v>
      </c>
      <c r="H31" s="15">
        <f t="shared" si="0"/>
        <v>551</v>
      </c>
    </row>
    <row r="32" spans="1:8" ht="15.75" x14ac:dyDescent="0.25">
      <c r="A32" s="38">
        <v>28</v>
      </c>
      <c r="B32" s="33" t="s">
        <v>38</v>
      </c>
      <c r="C32" s="19"/>
      <c r="D32" s="12"/>
      <c r="E32" s="19"/>
      <c r="F32" s="5"/>
      <c r="G32" s="15"/>
      <c r="H32" s="15">
        <f t="shared" si="0"/>
        <v>0</v>
      </c>
    </row>
    <row r="33" spans="1:8" ht="15.75" x14ac:dyDescent="0.25">
      <c r="A33" s="38">
        <v>29</v>
      </c>
      <c r="B33" s="33" t="s">
        <v>39</v>
      </c>
      <c r="C33" s="19"/>
      <c r="D33" s="12"/>
      <c r="E33" s="19">
        <f>4.59</f>
        <v>4.59</v>
      </c>
      <c r="F33" s="5"/>
      <c r="G33" s="15">
        <v>128</v>
      </c>
      <c r="H33" s="15">
        <f t="shared" si="0"/>
        <v>587.52</v>
      </c>
    </row>
    <row r="34" spans="1:8" ht="15.75" x14ac:dyDescent="0.25">
      <c r="A34" s="38">
        <v>30</v>
      </c>
      <c r="B34" s="33" t="s">
        <v>15</v>
      </c>
      <c r="C34" s="19"/>
      <c r="D34" s="12"/>
      <c r="E34" s="19">
        <f>8.1+21.8+2</f>
        <v>31.9</v>
      </c>
      <c r="F34" s="5"/>
      <c r="G34" s="15">
        <v>120</v>
      </c>
      <c r="H34" s="15">
        <f t="shared" si="0"/>
        <v>3828</v>
      </c>
    </row>
    <row r="35" spans="1:8" ht="15.75" x14ac:dyDescent="0.25">
      <c r="A35" s="38">
        <v>31</v>
      </c>
      <c r="B35" s="33" t="s">
        <v>40</v>
      </c>
      <c r="C35" s="19"/>
      <c r="D35" s="12"/>
      <c r="E35" s="19">
        <f>7.68+53.1-3.4+4.8+14.745+0.97</f>
        <v>77.894999999999996</v>
      </c>
      <c r="F35" s="5"/>
      <c r="G35" s="15">
        <v>100</v>
      </c>
      <c r="H35" s="15">
        <f t="shared" si="0"/>
        <v>7789.5</v>
      </c>
    </row>
    <row r="36" spans="1:8" ht="15.75" x14ac:dyDescent="0.25">
      <c r="A36" s="38">
        <v>32</v>
      </c>
      <c r="B36" s="33" t="s">
        <v>41</v>
      </c>
      <c r="C36" s="19"/>
      <c r="D36" s="12"/>
      <c r="E36" s="19">
        <f>4.985+5.155</f>
        <v>10.14</v>
      </c>
      <c r="F36" s="5"/>
      <c r="G36" s="15">
        <v>120</v>
      </c>
      <c r="H36" s="15">
        <f t="shared" si="0"/>
        <v>1216.8000000000002</v>
      </c>
    </row>
    <row r="37" spans="1:8" ht="15.75" x14ac:dyDescent="0.25">
      <c r="A37" s="38">
        <v>33</v>
      </c>
      <c r="B37" s="33" t="s">
        <v>42</v>
      </c>
      <c r="C37" s="19"/>
      <c r="D37" s="12"/>
      <c r="E37" s="19"/>
      <c r="F37" s="5"/>
      <c r="G37" s="15"/>
      <c r="H37" s="15">
        <f t="shared" si="0"/>
        <v>0</v>
      </c>
    </row>
    <row r="38" spans="1:8" ht="18" customHeight="1" x14ac:dyDescent="0.25">
      <c r="A38" s="38">
        <v>34</v>
      </c>
      <c r="B38" s="34" t="s">
        <v>43</v>
      </c>
      <c r="C38" s="27"/>
      <c r="D38" s="27"/>
      <c r="E38" s="19"/>
      <c r="F38" s="13"/>
      <c r="G38" s="22"/>
      <c r="H38" s="15">
        <f t="shared" si="0"/>
        <v>0</v>
      </c>
    </row>
    <row r="39" spans="1:8" ht="15.75" x14ac:dyDescent="0.25">
      <c r="A39" s="38">
        <v>35</v>
      </c>
      <c r="B39" s="33" t="s">
        <v>44</v>
      </c>
      <c r="C39" s="19"/>
      <c r="D39" s="12"/>
      <c r="E39" s="19"/>
      <c r="F39" s="5"/>
      <c r="G39" s="15">
        <v>105</v>
      </c>
      <c r="H39" s="15">
        <f t="shared" si="0"/>
        <v>0</v>
      </c>
    </row>
    <row r="40" spans="1:8" ht="15.75" x14ac:dyDescent="0.25">
      <c r="A40" s="38">
        <v>36</v>
      </c>
      <c r="B40" s="33" t="s">
        <v>45</v>
      </c>
      <c r="C40" s="19"/>
      <c r="D40" s="12"/>
      <c r="E40" s="19"/>
      <c r="F40" s="5"/>
      <c r="G40" s="15"/>
      <c r="H40" s="15">
        <f t="shared" si="0"/>
        <v>0</v>
      </c>
    </row>
    <row r="41" spans="1:8" ht="15.75" x14ac:dyDescent="0.25">
      <c r="A41" s="38">
        <v>37</v>
      </c>
      <c r="B41" s="33" t="s">
        <v>46</v>
      </c>
      <c r="C41" s="19"/>
      <c r="D41" s="12"/>
      <c r="E41" s="19">
        <f>9.825+11+6.595</f>
        <v>27.419999999999998</v>
      </c>
      <c r="F41" s="5"/>
      <c r="G41" s="15">
        <v>220</v>
      </c>
      <c r="H41" s="15">
        <f t="shared" si="0"/>
        <v>6032.4</v>
      </c>
    </row>
    <row r="42" spans="1:8" ht="15.75" x14ac:dyDescent="0.25">
      <c r="A42" s="38">
        <v>38</v>
      </c>
      <c r="B42" s="33" t="s">
        <v>47</v>
      </c>
      <c r="C42" s="19"/>
      <c r="D42" s="12"/>
      <c r="E42" s="19"/>
      <c r="F42" s="5"/>
      <c r="G42" s="15"/>
      <c r="H42" s="15">
        <f t="shared" si="0"/>
        <v>0</v>
      </c>
    </row>
    <row r="43" spans="1:8" ht="15.75" x14ac:dyDescent="0.25">
      <c r="A43" s="38">
        <v>39</v>
      </c>
      <c r="B43" s="33" t="s">
        <v>48</v>
      </c>
      <c r="C43" s="19"/>
      <c r="D43" s="12"/>
      <c r="E43" s="19"/>
      <c r="F43" s="5"/>
      <c r="G43" s="15"/>
      <c r="H43" s="15">
        <f t="shared" si="0"/>
        <v>0</v>
      </c>
    </row>
    <row r="44" spans="1:8" ht="15.75" x14ac:dyDescent="0.25">
      <c r="A44" s="38">
        <v>40</v>
      </c>
      <c r="B44" s="33" t="s">
        <v>49</v>
      </c>
      <c r="C44" s="19"/>
      <c r="D44" s="12"/>
      <c r="E44" s="19">
        <f>3</f>
        <v>3</v>
      </c>
      <c r="F44" s="5"/>
      <c r="G44" s="15">
        <v>85</v>
      </c>
      <c r="H44" s="15">
        <f t="shared" si="0"/>
        <v>255</v>
      </c>
    </row>
    <row r="45" spans="1:8" ht="15.75" x14ac:dyDescent="0.25">
      <c r="A45" s="38">
        <v>41</v>
      </c>
      <c r="B45" s="33" t="s">
        <v>311</v>
      </c>
      <c r="C45" s="19"/>
      <c r="D45" s="12"/>
      <c r="E45" s="19">
        <f>15.79</f>
        <v>15.79</v>
      </c>
      <c r="F45" s="5"/>
      <c r="G45" s="15">
        <v>55</v>
      </c>
      <c r="H45" s="15">
        <f t="shared" si="0"/>
        <v>868.44999999999993</v>
      </c>
    </row>
    <row r="46" spans="1:8" ht="15.75" x14ac:dyDescent="0.25">
      <c r="A46" s="38">
        <v>42</v>
      </c>
      <c r="B46" s="33" t="s">
        <v>50</v>
      </c>
      <c r="C46" s="19"/>
      <c r="D46" s="12"/>
      <c r="E46" s="19">
        <v>11.44</v>
      </c>
      <c r="F46" s="5"/>
      <c r="G46" s="15">
        <v>55</v>
      </c>
      <c r="H46" s="15">
        <f t="shared" si="0"/>
        <v>629.19999999999993</v>
      </c>
    </row>
    <row r="47" spans="1:8" ht="15.75" x14ac:dyDescent="0.25">
      <c r="A47" s="38">
        <v>43</v>
      </c>
      <c r="B47" s="33" t="s">
        <v>51</v>
      </c>
      <c r="C47" s="19"/>
      <c r="D47" s="12"/>
      <c r="E47" s="19">
        <f>5.62</f>
        <v>5.62</v>
      </c>
      <c r="F47" s="5"/>
      <c r="G47" s="15">
        <v>80</v>
      </c>
      <c r="H47" s="15">
        <f t="shared" si="0"/>
        <v>449.6</v>
      </c>
    </row>
    <row r="48" spans="1:8" ht="15.75" x14ac:dyDescent="0.25">
      <c r="A48" s="38">
        <v>44</v>
      </c>
      <c r="B48" s="33" t="s">
        <v>52</v>
      </c>
      <c r="C48" s="19"/>
      <c r="D48" s="12"/>
      <c r="E48" s="19">
        <f>0.915</f>
        <v>0.91500000000000004</v>
      </c>
      <c r="F48" s="5"/>
      <c r="G48" s="15">
        <v>90</v>
      </c>
      <c r="H48" s="15">
        <f t="shared" si="0"/>
        <v>82.350000000000009</v>
      </c>
    </row>
    <row r="49" spans="1:8" ht="15.75" x14ac:dyDescent="0.25">
      <c r="A49" s="38">
        <v>45</v>
      </c>
      <c r="B49" s="33" t="s">
        <v>53</v>
      </c>
      <c r="C49" s="19"/>
      <c r="D49" s="12"/>
      <c r="E49" s="19">
        <f>56.5+8.27+1.048</f>
        <v>65.817999999999998</v>
      </c>
      <c r="F49" s="5"/>
      <c r="G49" s="15">
        <v>110</v>
      </c>
      <c r="H49" s="15">
        <f t="shared" si="0"/>
        <v>7239.98</v>
      </c>
    </row>
    <row r="50" spans="1:8" ht="15.75" x14ac:dyDescent="0.25">
      <c r="A50" s="38">
        <v>46</v>
      </c>
      <c r="B50" s="33" t="s">
        <v>54</v>
      </c>
      <c r="C50" s="19"/>
      <c r="D50" s="12"/>
      <c r="E50" s="19"/>
      <c r="F50" s="5"/>
      <c r="G50" s="15"/>
      <c r="H50" s="15">
        <f t="shared" si="0"/>
        <v>0</v>
      </c>
    </row>
    <row r="51" spans="1:8" ht="15.75" x14ac:dyDescent="0.25">
      <c r="A51" s="38">
        <v>47</v>
      </c>
      <c r="B51" s="33" t="s">
        <v>55</v>
      </c>
      <c r="C51" s="19"/>
      <c r="D51" s="12"/>
      <c r="E51" s="19"/>
      <c r="F51" s="5"/>
      <c r="G51" s="15"/>
      <c r="H51" s="15">
        <f t="shared" si="0"/>
        <v>0</v>
      </c>
    </row>
    <row r="52" spans="1:8" ht="15.75" x14ac:dyDescent="0.25">
      <c r="A52" s="38">
        <v>48</v>
      </c>
      <c r="B52" s="33" t="s">
        <v>56</v>
      </c>
      <c r="C52" s="19"/>
      <c r="D52" s="12"/>
      <c r="E52" s="19"/>
      <c r="F52" s="5"/>
      <c r="G52" s="15"/>
      <c r="H52" s="15">
        <f t="shared" si="0"/>
        <v>0</v>
      </c>
    </row>
    <row r="53" spans="1:8" ht="15.75" x14ac:dyDescent="0.25">
      <c r="A53" s="38">
        <v>49</v>
      </c>
      <c r="B53" s="33" t="s">
        <v>57</v>
      </c>
      <c r="C53" s="19"/>
      <c r="D53" s="12"/>
      <c r="E53" s="19"/>
      <c r="F53" s="5"/>
      <c r="G53" s="15"/>
      <c r="H53" s="15">
        <f t="shared" si="0"/>
        <v>0</v>
      </c>
    </row>
    <row r="54" spans="1:8" ht="15.75" x14ac:dyDescent="0.25">
      <c r="A54" s="38">
        <v>50</v>
      </c>
      <c r="B54" s="33" t="s">
        <v>58</v>
      </c>
      <c r="C54" s="19"/>
      <c r="D54" s="12"/>
      <c r="E54" s="19">
        <f>2.74+4.11</f>
        <v>6.8500000000000005</v>
      </c>
      <c r="F54" s="5"/>
      <c r="G54" s="15">
        <v>128</v>
      </c>
      <c r="H54" s="15">
        <f t="shared" si="0"/>
        <v>876.80000000000007</v>
      </c>
    </row>
    <row r="55" spans="1:8" ht="15.75" x14ac:dyDescent="0.25">
      <c r="A55" s="38">
        <v>51</v>
      </c>
      <c r="B55" s="33" t="s">
        <v>59</v>
      </c>
      <c r="C55" s="19"/>
      <c r="D55" s="12"/>
      <c r="E55" s="19"/>
      <c r="F55" s="5"/>
      <c r="G55" s="15"/>
      <c r="H55" s="15">
        <f t="shared" si="0"/>
        <v>0</v>
      </c>
    </row>
    <row r="56" spans="1:8" ht="15.75" x14ac:dyDescent="0.25">
      <c r="A56" s="38">
        <v>52</v>
      </c>
      <c r="B56" s="33" t="s">
        <v>60</v>
      </c>
      <c r="C56" s="19"/>
      <c r="D56" s="12"/>
      <c r="E56" s="19"/>
      <c r="F56" s="5"/>
      <c r="G56" s="15"/>
      <c r="H56" s="15">
        <f t="shared" si="0"/>
        <v>0</v>
      </c>
    </row>
    <row r="57" spans="1:8" ht="15.75" x14ac:dyDescent="0.25">
      <c r="A57" s="38">
        <v>53</v>
      </c>
      <c r="B57" s="33" t="s">
        <v>61</v>
      </c>
      <c r="C57" s="19"/>
      <c r="D57" s="12"/>
      <c r="E57" s="19"/>
      <c r="F57" s="5"/>
      <c r="G57" s="15"/>
      <c r="H57" s="15">
        <f t="shared" si="0"/>
        <v>0</v>
      </c>
    </row>
    <row r="58" spans="1:8" ht="15.75" x14ac:dyDescent="0.25">
      <c r="A58" s="38">
        <v>54</v>
      </c>
      <c r="B58" s="33" t="s">
        <v>62</v>
      </c>
      <c r="C58" s="19"/>
      <c r="D58" s="12"/>
      <c r="E58" s="19">
        <f>7.7</f>
        <v>7.7</v>
      </c>
      <c r="F58" s="5"/>
      <c r="G58" s="15">
        <v>630</v>
      </c>
      <c r="H58" s="15">
        <f>E58*G58</f>
        <v>4851</v>
      </c>
    </row>
    <row r="59" spans="1:8" ht="15.75" x14ac:dyDescent="0.25">
      <c r="A59" s="38">
        <v>55</v>
      </c>
      <c r="B59" s="33" t="s">
        <v>519</v>
      </c>
      <c r="C59" s="19"/>
      <c r="D59" s="12"/>
      <c r="E59" s="19">
        <f>44+20</f>
        <v>64</v>
      </c>
      <c r="F59" s="5"/>
      <c r="G59" s="15">
        <v>40</v>
      </c>
      <c r="H59" s="15">
        <f t="shared" si="0"/>
        <v>2560</v>
      </c>
    </row>
    <row r="60" spans="1:8" ht="15.75" x14ac:dyDescent="0.25">
      <c r="A60" s="38">
        <v>56</v>
      </c>
      <c r="B60" s="33" t="s">
        <v>64</v>
      </c>
      <c r="C60" s="19"/>
      <c r="D60" s="12"/>
      <c r="E60" s="19"/>
      <c r="F60" s="5"/>
      <c r="G60" s="15"/>
      <c r="H60" s="15">
        <f t="shared" si="0"/>
        <v>0</v>
      </c>
    </row>
    <row r="61" spans="1:8" ht="15.75" x14ac:dyDescent="0.25">
      <c r="A61" s="38">
        <v>57</v>
      </c>
      <c r="B61" s="33" t="s">
        <v>65</v>
      </c>
      <c r="C61" s="19"/>
      <c r="D61" s="12"/>
      <c r="E61" s="19"/>
      <c r="F61" s="5"/>
      <c r="G61" s="15"/>
      <c r="H61" s="15">
        <f t="shared" si="0"/>
        <v>0</v>
      </c>
    </row>
    <row r="62" spans="1:8" ht="15.75" x14ac:dyDescent="0.25">
      <c r="A62" s="38">
        <v>58</v>
      </c>
      <c r="B62" s="33" t="s">
        <v>66</v>
      </c>
      <c r="C62" s="19"/>
      <c r="D62" s="12"/>
      <c r="E62" s="19">
        <f>19.5</f>
        <v>19.5</v>
      </c>
      <c r="F62" s="5"/>
      <c r="G62" s="15">
        <v>75</v>
      </c>
      <c r="H62" s="15">
        <f t="shared" si="0"/>
        <v>1462.5</v>
      </c>
    </row>
    <row r="63" spans="1:8" ht="15.75" x14ac:dyDescent="0.25">
      <c r="A63" s="38">
        <v>59</v>
      </c>
      <c r="B63" s="33" t="s">
        <v>67</v>
      </c>
      <c r="C63" s="19"/>
      <c r="D63" s="12"/>
      <c r="E63" s="19"/>
      <c r="F63" s="5"/>
      <c r="G63" s="15"/>
      <c r="H63" s="15">
        <f t="shared" si="0"/>
        <v>0</v>
      </c>
    </row>
    <row r="64" spans="1:8" ht="15.75" x14ac:dyDescent="0.25">
      <c r="A64" s="38">
        <v>60</v>
      </c>
      <c r="B64" s="33" t="s">
        <v>68</v>
      </c>
      <c r="C64" s="19"/>
      <c r="D64" s="12"/>
      <c r="E64" s="19">
        <f>6+5</f>
        <v>11</v>
      </c>
      <c r="F64" s="5"/>
      <c r="G64" s="15">
        <v>28</v>
      </c>
      <c r="H64" s="15">
        <f t="shared" si="0"/>
        <v>308</v>
      </c>
    </row>
    <row r="65" spans="1:8" ht="15.75" x14ac:dyDescent="0.25">
      <c r="A65" s="38">
        <v>61</v>
      </c>
      <c r="B65" s="33" t="s">
        <v>312</v>
      </c>
      <c r="C65" s="19"/>
      <c r="D65" s="12"/>
      <c r="E65" s="19">
        <f>10</f>
        <v>10</v>
      </c>
      <c r="F65" s="5"/>
      <c r="G65" s="15">
        <v>55</v>
      </c>
      <c r="H65" s="15">
        <f t="shared" si="0"/>
        <v>550</v>
      </c>
    </row>
    <row r="66" spans="1:8" ht="15.75" x14ac:dyDescent="0.25">
      <c r="A66" s="38">
        <v>62</v>
      </c>
      <c r="B66" s="33" t="s">
        <v>447</v>
      </c>
      <c r="C66" s="19"/>
      <c r="D66" s="12"/>
      <c r="E66" s="19"/>
      <c r="F66" s="5"/>
      <c r="G66" s="15">
        <v>115</v>
      </c>
      <c r="H66" s="15">
        <f t="shared" si="0"/>
        <v>0</v>
      </c>
    </row>
    <row r="67" spans="1:8" ht="15.75" x14ac:dyDescent="0.25">
      <c r="A67" s="38">
        <v>63</v>
      </c>
      <c r="B67" s="33" t="s">
        <v>458</v>
      </c>
      <c r="C67" s="19"/>
      <c r="D67" s="12"/>
      <c r="E67" s="19">
        <f>1.5</f>
        <v>1.5</v>
      </c>
      <c r="F67" s="5"/>
      <c r="G67" s="15">
        <v>100</v>
      </c>
      <c r="H67" s="15">
        <f t="shared" si="0"/>
        <v>150</v>
      </c>
    </row>
    <row r="68" spans="1:8" ht="15.75" x14ac:dyDescent="0.25">
      <c r="A68" s="38">
        <v>64</v>
      </c>
      <c r="B68" s="33" t="s">
        <v>457</v>
      </c>
      <c r="C68" s="19"/>
      <c r="D68" s="12"/>
      <c r="E68" s="19">
        <v>2</v>
      </c>
      <c r="F68" s="5"/>
      <c r="G68" s="15">
        <v>100</v>
      </c>
      <c r="H68" s="15">
        <f t="shared" si="0"/>
        <v>200</v>
      </c>
    </row>
    <row r="69" spans="1:8" ht="15.75" x14ac:dyDescent="0.25">
      <c r="A69" s="38">
        <v>65</v>
      </c>
      <c r="B69" s="33" t="s">
        <v>71</v>
      </c>
      <c r="C69" s="19"/>
      <c r="D69" s="12"/>
      <c r="E69" s="19"/>
      <c r="F69" s="5"/>
      <c r="G69" s="15"/>
      <c r="H69" s="15">
        <f t="shared" ref="H69:H83" si="1">E69*G69</f>
        <v>0</v>
      </c>
    </row>
    <row r="70" spans="1:8" ht="15.75" x14ac:dyDescent="0.25">
      <c r="A70" s="38">
        <v>66</v>
      </c>
      <c r="B70" s="33" t="s">
        <v>72</v>
      </c>
      <c r="C70" s="19"/>
      <c r="D70" s="12"/>
      <c r="E70" s="19"/>
      <c r="F70" s="5"/>
      <c r="G70" s="15"/>
      <c r="H70" s="15">
        <f t="shared" si="1"/>
        <v>0</v>
      </c>
    </row>
    <row r="71" spans="1:8" ht="15.75" x14ac:dyDescent="0.25">
      <c r="A71" s="38">
        <v>67</v>
      </c>
      <c r="B71" s="33" t="s">
        <v>73</v>
      </c>
      <c r="C71" s="19"/>
      <c r="D71" s="12"/>
      <c r="E71" s="19"/>
      <c r="F71" s="5"/>
      <c r="G71" s="15"/>
      <c r="H71" s="15">
        <f t="shared" si="1"/>
        <v>0</v>
      </c>
    </row>
    <row r="72" spans="1:8" ht="15.75" x14ac:dyDescent="0.25">
      <c r="A72" s="38">
        <v>68</v>
      </c>
      <c r="B72" s="33" t="s">
        <v>74</v>
      </c>
      <c r="C72" s="19"/>
      <c r="D72" s="12"/>
      <c r="E72" s="19"/>
      <c r="F72" s="5"/>
      <c r="G72" s="15"/>
      <c r="H72" s="15">
        <f t="shared" si="1"/>
        <v>0</v>
      </c>
    </row>
    <row r="73" spans="1:8" ht="15.75" x14ac:dyDescent="0.25">
      <c r="A73" s="38">
        <v>69</v>
      </c>
      <c r="B73" s="33" t="s">
        <v>75</v>
      </c>
      <c r="C73" s="19"/>
      <c r="D73" s="12"/>
      <c r="E73" s="19"/>
      <c r="F73" s="5"/>
      <c r="G73" s="15"/>
      <c r="H73" s="15">
        <f t="shared" si="1"/>
        <v>0</v>
      </c>
    </row>
    <row r="74" spans="1:8" ht="15.75" x14ac:dyDescent="0.25">
      <c r="A74" s="38">
        <v>70</v>
      </c>
      <c r="B74" s="33" t="s">
        <v>76</v>
      </c>
      <c r="C74" s="19"/>
      <c r="D74" s="12"/>
      <c r="E74" s="19"/>
      <c r="F74" s="5"/>
      <c r="G74" s="15">
        <v>245</v>
      </c>
      <c r="H74" s="15">
        <f t="shared" si="1"/>
        <v>0</v>
      </c>
    </row>
    <row r="75" spans="1:8" ht="15.75" x14ac:dyDescent="0.25">
      <c r="A75" s="38">
        <v>71</v>
      </c>
      <c r="B75" s="33" t="s">
        <v>78</v>
      </c>
      <c r="C75" s="19"/>
      <c r="D75" s="12"/>
      <c r="E75" s="19"/>
      <c r="F75" s="5"/>
      <c r="G75" s="15">
        <v>85</v>
      </c>
      <c r="H75" s="15">
        <f t="shared" si="1"/>
        <v>0</v>
      </c>
    </row>
    <row r="76" spans="1:8" ht="15.75" x14ac:dyDescent="0.25">
      <c r="A76" s="38">
        <v>72</v>
      </c>
      <c r="B76" s="33" t="s">
        <v>79</v>
      </c>
      <c r="C76" s="19"/>
      <c r="D76" s="12"/>
      <c r="E76" s="19"/>
      <c r="F76" s="5"/>
      <c r="G76" s="15">
        <v>760</v>
      </c>
      <c r="H76" s="15">
        <f t="shared" si="1"/>
        <v>0</v>
      </c>
    </row>
    <row r="77" spans="1:8" ht="15.75" x14ac:dyDescent="0.25">
      <c r="A77" s="38">
        <v>73</v>
      </c>
      <c r="B77" s="33" t="s">
        <v>80</v>
      </c>
      <c r="C77" s="19"/>
      <c r="D77" s="12"/>
      <c r="E77" s="19">
        <f>7.98+22.3</f>
        <v>30.28</v>
      </c>
      <c r="F77" s="5"/>
      <c r="G77" s="15">
        <v>125</v>
      </c>
      <c r="H77" s="15">
        <f t="shared" si="1"/>
        <v>3785</v>
      </c>
    </row>
    <row r="78" spans="1:8" ht="15.75" x14ac:dyDescent="0.25">
      <c r="A78" s="38">
        <v>74</v>
      </c>
      <c r="B78" s="33" t="s">
        <v>81</v>
      </c>
      <c r="C78" s="19"/>
      <c r="D78" s="12"/>
      <c r="E78" s="19">
        <f>30+10+2</f>
        <v>42</v>
      </c>
      <c r="F78" s="5"/>
      <c r="G78" s="15">
        <v>120</v>
      </c>
      <c r="H78" s="15">
        <f t="shared" si="1"/>
        <v>5040</v>
      </c>
    </row>
    <row r="79" spans="1:8" ht="15.75" x14ac:dyDescent="0.25">
      <c r="A79" s="38">
        <v>75</v>
      </c>
      <c r="B79" s="33" t="s">
        <v>82</v>
      </c>
      <c r="C79" s="19"/>
      <c r="D79" s="12"/>
      <c r="E79" s="19">
        <f>30+6+4</f>
        <v>40</v>
      </c>
      <c r="F79" s="5"/>
      <c r="G79" s="15">
        <v>70</v>
      </c>
      <c r="H79" s="15">
        <f t="shared" si="1"/>
        <v>2800</v>
      </c>
    </row>
    <row r="80" spans="1:8" ht="15.75" x14ac:dyDescent="0.25">
      <c r="A80" s="38">
        <v>76</v>
      </c>
      <c r="B80" s="33" t="s">
        <v>83</v>
      </c>
      <c r="C80" s="19"/>
      <c r="D80" s="12"/>
      <c r="E80" s="19">
        <f>72+19+6</f>
        <v>97</v>
      </c>
      <c r="F80" s="5"/>
      <c r="G80" s="15">
        <v>16</v>
      </c>
      <c r="H80" s="15">
        <f t="shared" si="1"/>
        <v>1552</v>
      </c>
    </row>
    <row r="81" spans="1:8" ht="15.75" x14ac:dyDescent="0.25">
      <c r="A81" s="38">
        <v>77</v>
      </c>
      <c r="B81" s="33" t="s">
        <v>313</v>
      </c>
      <c r="C81" s="19"/>
      <c r="D81" s="12"/>
      <c r="E81" s="19"/>
      <c r="F81" s="5"/>
      <c r="G81" s="15"/>
      <c r="H81" s="15">
        <f t="shared" si="1"/>
        <v>0</v>
      </c>
    </row>
    <row r="82" spans="1:8" ht="15.75" x14ac:dyDescent="0.25">
      <c r="A82" s="38">
        <v>78</v>
      </c>
      <c r="B82" s="33" t="s">
        <v>84</v>
      </c>
      <c r="C82" s="19"/>
      <c r="D82" s="12"/>
      <c r="E82" s="19"/>
      <c r="F82" s="5"/>
      <c r="G82" s="15"/>
      <c r="H82" s="15">
        <f t="shared" si="1"/>
        <v>0</v>
      </c>
    </row>
    <row r="83" spans="1:8" ht="15.75" x14ac:dyDescent="0.25">
      <c r="A83" s="38">
        <v>79</v>
      </c>
      <c r="B83" s="33" t="s">
        <v>85</v>
      </c>
      <c r="C83" s="19"/>
      <c r="D83" s="12"/>
      <c r="E83" s="19"/>
      <c r="F83" s="5"/>
      <c r="G83" s="15"/>
      <c r="H83" s="15">
        <f t="shared" si="1"/>
        <v>0</v>
      </c>
    </row>
    <row r="84" spans="1:8" ht="15.75" x14ac:dyDescent="0.25">
      <c r="A84" s="38">
        <v>80</v>
      </c>
      <c r="B84" s="33" t="s">
        <v>86</v>
      </c>
      <c r="C84" s="19"/>
      <c r="D84" s="12"/>
      <c r="E84" s="19"/>
      <c r="F84" s="5"/>
      <c r="G84" s="15"/>
      <c r="H84" s="15">
        <f>F84*G84</f>
        <v>0</v>
      </c>
    </row>
    <row r="85" spans="1:8" ht="15.75" x14ac:dyDescent="0.25">
      <c r="A85" s="38">
        <v>81</v>
      </c>
      <c r="B85" s="33" t="s">
        <v>87</v>
      </c>
      <c r="C85" s="19"/>
      <c r="D85" s="12"/>
      <c r="E85" s="19">
        <v>32</v>
      </c>
      <c r="F85" s="5"/>
      <c r="G85" s="15">
        <v>30</v>
      </c>
      <c r="H85" s="15">
        <f>F85*G85</f>
        <v>0</v>
      </c>
    </row>
    <row r="86" spans="1:8" ht="15.75" x14ac:dyDescent="0.25">
      <c r="A86" s="38">
        <v>82</v>
      </c>
      <c r="B86" s="33" t="s">
        <v>88</v>
      </c>
      <c r="C86" s="19"/>
      <c r="D86" s="12"/>
      <c r="E86" s="19"/>
      <c r="F86" s="5"/>
      <c r="G86" s="15"/>
      <c r="H86" s="15">
        <f t="shared" ref="H86:H99" si="2">E86*G86</f>
        <v>0</v>
      </c>
    </row>
    <row r="87" spans="1:8" ht="15.75" x14ac:dyDescent="0.25">
      <c r="A87" s="38">
        <v>83</v>
      </c>
      <c r="B87" s="33" t="s">
        <v>89</v>
      </c>
      <c r="C87" s="19"/>
      <c r="D87" s="12"/>
      <c r="E87" s="19"/>
      <c r="F87" s="5"/>
      <c r="G87" s="15"/>
      <c r="H87" s="15">
        <f t="shared" si="2"/>
        <v>0</v>
      </c>
    </row>
    <row r="88" spans="1:8" ht="15.75" x14ac:dyDescent="0.25">
      <c r="A88" s="38">
        <v>84</v>
      </c>
      <c r="B88" s="33" t="s">
        <v>90</v>
      </c>
      <c r="C88" s="19"/>
      <c r="D88" s="12"/>
      <c r="E88" s="19">
        <f>2</f>
        <v>2</v>
      </c>
      <c r="F88" s="5"/>
      <c r="G88" s="15">
        <v>247</v>
      </c>
      <c r="H88" s="15">
        <f t="shared" si="2"/>
        <v>494</v>
      </c>
    </row>
    <row r="89" spans="1:8" ht="15.75" x14ac:dyDescent="0.25">
      <c r="A89" s="38">
        <v>85</v>
      </c>
      <c r="B89" s="33" t="s">
        <v>91</v>
      </c>
      <c r="C89" s="19"/>
      <c r="D89" s="12"/>
      <c r="E89" s="19"/>
      <c r="F89" s="5"/>
      <c r="G89" s="15">
        <v>111</v>
      </c>
      <c r="H89" s="15">
        <f t="shared" si="2"/>
        <v>0</v>
      </c>
    </row>
    <row r="90" spans="1:8" ht="15.75" x14ac:dyDescent="0.25">
      <c r="A90" s="38">
        <v>86</v>
      </c>
      <c r="B90" s="33" t="s">
        <v>92</v>
      </c>
      <c r="C90" s="19"/>
      <c r="D90" s="12"/>
      <c r="E90" s="19"/>
      <c r="F90" s="5"/>
      <c r="G90" s="15"/>
      <c r="H90" s="15">
        <f t="shared" si="2"/>
        <v>0</v>
      </c>
    </row>
    <row r="91" spans="1:8" ht="15.75" x14ac:dyDescent="0.25">
      <c r="A91" s="38">
        <v>87</v>
      </c>
      <c r="B91" s="33" t="s">
        <v>93</v>
      </c>
      <c r="C91" s="19"/>
      <c r="D91" s="12"/>
      <c r="E91" s="19">
        <f>2</f>
        <v>2</v>
      </c>
      <c r="F91" s="5"/>
      <c r="G91" s="15">
        <v>206</v>
      </c>
      <c r="H91" s="15">
        <f t="shared" si="2"/>
        <v>412</v>
      </c>
    </row>
    <row r="92" spans="1:8" ht="15.75" x14ac:dyDescent="0.25">
      <c r="A92" s="38">
        <v>88</v>
      </c>
      <c r="B92" s="33" t="s">
        <v>94</v>
      </c>
      <c r="C92" s="19"/>
      <c r="D92" s="12"/>
      <c r="E92" s="19"/>
      <c r="F92" s="5"/>
      <c r="G92" s="15"/>
      <c r="H92" s="15">
        <f t="shared" si="2"/>
        <v>0</v>
      </c>
    </row>
    <row r="93" spans="1:8" ht="15.75" x14ac:dyDescent="0.25">
      <c r="A93" s="38">
        <v>89</v>
      </c>
      <c r="B93" s="33" t="s">
        <v>95</v>
      </c>
      <c r="C93" s="19"/>
      <c r="D93" s="12"/>
      <c r="E93" s="19"/>
      <c r="F93" s="5"/>
      <c r="G93" s="15"/>
      <c r="H93" s="15">
        <f t="shared" si="2"/>
        <v>0</v>
      </c>
    </row>
    <row r="94" spans="1:8" ht="15.75" x14ac:dyDescent="0.25">
      <c r="A94" s="38">
        <v>90</v>
      </c>
      <c r="B94" s="33" t="s">
        <v>96</v>
      </c>
      <c r="C94" s="19"/>
      <c r="D94" s="12"/>
      <c r="E94" s="19"/>
      <c r="F94" s="5"/>
      <c r="G94" s="15"/>
      <c r="H94" s="15">
        <f t="shared" si="2"/>
        <v>0</v>
      </c>
    </row>
    <row r="95" spans="1:8" ht="15.75" x14ac:dyDescent="0.25">
      <c r="A95" s="38">
        <v>91</v>
      </c>
      <c r="B95" s="33" t="s">
        <v>17</v>
      </c>
      <c r="C95" s="19"/>
      <c r="D95" s="12"/>
      <c r="E95" s="19"/>
      <c r="F95" s="5"/>
      <c r="G95" s="15"/>
      <c r="H95" s="15">
        <f t="shared" si="2"/>
        <v>0</v>
      </c>
    </row>
    <row r="96" spans="1:8" ht="15.75" x14ac:dyDescent="0.25">
      <c r="A96" s="38">
        <v>92</v>
      </c>
      <c r="B96" s="33" t="s">
        <v>45</v>
      </c>
      <c r="C96" s="19"/>
      <c r="D96" s="12"/>
      <c r="E96" s="19"/>
      <c r="F96" s="5"/>
      <c r="G96" s="15">
        <v>140</v>
      </c>
      <c r="H96" s="15">
        <f t="shared" si="2"/>
        <v>0</v>
      </c>
    </row>
    <row r="97" spans="1:8" ht="15.75" x14ac:dyDescent="0.25">
      <c r="A97" s="38">
        <v>93</v>
      </c>
      <c r="B97" s="33" t="s">
        <v>97</v>
      </c>
      <c r="C97" s="19"/>
      <c r="D97" s="12"/>
      <c r="E97" s="19">
        <f>10.06+10.11+10.025+10.05+10.1+10.02+10.155+6.88</f>
        <v>77.400000000000006</v>
      </c>
      <c r="F97" s="5"/>
      <c r="G97" s="15">
        <v>115</v>
      </c>
      <c r="H97" s="15">
        <f t="shared" si="2"/>
        <v>8901</v>
      </c>
    </row>
    <row r="98" spans="1:8" ht="15.75" x14ac:dyDescent="0.25">
      <c r="A98" s="38">
        <v>94</v>
      </c>
      <c r="B98" s="33" t="s">
        <v>98</v>
      </c>
      <c r="C98" s="19"/>
      <c r="D98" s="12"/>
      <c r="E98" s="19"/>
      <c r="F98" s="5"/>
      <c r="G98" s="15"/>
      <c r="H98" s="15">
        <f t="shared" si="2"/>
        <v>0</v>
      </c>
    </row>
    <row r="99" spans="1:8" ht="15.75" x14ac:dyDescent="0.25">
      <c r="A99" s="38">
        <v>95</v>
      </c>
      <c r="B99" s="33" t="s">
        <v>99</v>
      </c>
      <c r="C99" s="19"/>
      <c r="D99" s="12"/>
      <c r="E99" s="19"/>
      <c r="F99" s="5"/>
      <c r="G99" s="15"/>
      <c r="H99" s="15">
        <f t="shared" si="2"/>
        <v>0</v>
      </c>
    </row>
    <row r="100" spans="1:8" ht="15.75" x14ac:dyDescent="0.25">
      <c r="A100" s="38">
        <v>96</v>
      </c>
      <c r="B100" s="33" t="s">
        <v>100</v>
      </c>
      <c r="C100" s="19"/>
      <c r="D100" s="12"/>
      <c r="E100" s="19">
        <f>5.68+29</f>
        <v>34.68</v>
      </c>
      <c r="F100" s="5"/>
      <c r="G100" s="15">
        <v>240</v>
      </c>
      <c r="H100" s="15">
        <f>F100*G100</f>
        <v>0</v>
      </c>
    </row>
    <row r="101" spans="1:8" ht="15.75" x14ac:dyDescent="0.25">
      <c r="A101" s="38">
        <v>97</v>
      </c>
      <c r="B101" s="33" t="s">
        <v>101</v>
      </c>
      <c r="C101" s="19"/>
      <c r="D101" s="12"/>
      <c r="E101" s="19">
        <f>100+43</f>
        <v>143</v>
      </c>
      <c r="F101" s="5"/>
      <c r="G101" s="15">
        <v>55</v>
      </c>
      <c r="H101" s="15">
        <f t="shared" ref="H101:H130" si="3">E101*G101</f>
        <v>7865</v>
      </c>
    </row>
    <row r="102" spans="1:8" ht="15.75" x14ac:dyDescent="0.25">
      <c r="A102" s="38">
        <v>98</v>
      </c>
      <c r="B102" s="33" t="s">
        <v>102</v>
      </c>
      <c r="C102" s="19"/>
      <c r="D102" s="12"/>
      <c r="E102" s="19">
        <v>22</v>
      </c>
      <c r="F102" s="5"/>
      <c r="G102" s="15">
        <v>120</v>
      </c>
      <c r="H102" s="15">
        <f t="shared" si="3"/>
        <v>2640</v>
      </c>
    </row>
    <row r="103" spans="1:8" ht="15.75" x14ac:dyDescent="0.25">
      <c r="A103" s="38">
        <v>99</v>
      </c>
      <c r="B103" s="33" t="s">
        <v>103</v>
      </c>
      <c r="C103" s="19"/>
      <c r="D103" s="12"/>
      <c r="E103" s="19">
        <f>25+2</f>
        <v>27</v>
      </c>
      <c r="F103" s="5"/>
      <c r="G103" s="15">
        <v>28</v>
      </c>
      <c r="H103" s="15">
        <f t="shared" si="3"/>
        <v>756</v>
      </c>
    </row>
    <row r="104" spans="1:8" ht="15.75" x14ac:dyDescent="0.25">
      <c r="A104" s="38">
        <v>100</v>
      </c>
      <c r="B104" s="33" t="s">
        <v>104</v>
      </c>
      <c r="C104" s="19"/>
      <c r="D104" s="12"/>
      <c r="E104" s="19"/>
      <c r="F104" s="5"/>
      <c r="G104" s="15"/>
      <c r="H104" s="15">
        <f t="shared" si="3"/>
        <v>0</v>
      </c>
    </row>
    <row r="105" spans="1:8" ht="15.75" x14ac:dyDescent="0.25">
      <c r="A105" s="38">
        <v>101</v>
      </c>
      <c r="B105" s="33" t="s">
        <v>105</v>
      </c>
      <c r="C105" s="19"/>
      <c r="D105" s="12"/>
      <c r="E105" s="19"/>
      <c r="F105" s="5"/>
      <c r="G105" s="15"/>
      <c r="H105" s="15">
        <f t="shared" si="3"/>
        <v>0</v>
      </c>
    </row>
    <row r="106" spans="1:8" ht="15.75" x14ac:dyDescent="0.25">
      <c r="A106" s="38">
        <v>102</v>
      </c>
      <c r="B106" s="33" t="s">
        <v>106</v>
      </c>
      <c r="C106" s="19"/>
      <c r="D106" s="12"/>
      <c r="E106" s="19">
        <f>3</f>
        <v>3</v>
      </c>
      <c r="F106" s="5"/>
      <c r="G106" s="15">
        <v>98</v>
      </c>
      <c r="H106" s="15">
        <f t="shared" si="3"/>
        <v>294</v>
      </c>
    </row>
    <row r="107" spans="1:8" ht="15.75" x14ac:dyDescent="0.25">
      <c r="A107" s="38">
        <v>103</v>
      </c>
      <c r="B107" s="33" t="s">
        <v>107</v>
      </c>
      <c r="C107" s="19"/>
      <c r="D107" s="12"/>
      <c r="E107" s="19">
        <v>2</v>
      </c>
      <c r="F107" s="12"/>
      <c r="G107" s="20">
        <v>92</v>
      </c>
      <c r="H107" s="15">
        <f t="shared" si="3"/>
        <v>184</v>
      </c>
    </row>
    <row r="108" spans="1:8" ht="15.75" x14ac:dyDescent="0.25">
      <c r="A108" s="38">
        <v>104</v>
      </c>
      <c r="B108" s="33" t="s">
        <v>108</v>
      </c>
      <c r="C108" s="19"/>
      <c r="D108" s="12"/>
      <c r="E108" s="19"/>
      <c r="F108" s="5"/>
      <c r="G108" s="15"/>
      <c r="H108" s="15">
        <f t="shared" si="3"/>
        <v>0</v>
      </c>
    </row>
    <row r="109" spans="1:8" ht="15.75" x14ac:dyDescent="0.25">
      <c r="A109" s="38">
        <v>105</v>
      </c>
      <c r="B109" s="33" t="s">
        <v>109</v>
      </c>
      <c r="C109" s="19"/>
      <c r="D109" s="12"/>
      <c r="E109" s="19"/>
      <c r="F109" s="5"/>
      <c r="G109" s="15"/>
      <c r="H109" s="15">
        <f t="shared" si="3"/>
        <v>0</v>
      </c>
    </row>
    <row r="110" spans="1:8" ht="15.75" x14ac:dyDescent="0.25">
      <c r="A110" s="38">
        <v>106</v>
      </c>
      <c r="B110" s="33" t="s">
        <v>110</v>
      </c>
      <c r="C110" s="19"/>
      <c r="D110" s="12"/>
      <c r="E110" s="19"/>
      <c r="F110" s="5"/>
      <c r="G110" s="15"/>
      <c r="H110" s="15">
        <f t="shared" si="3"/>
        <v>0</v>
      </c>
    </row>
    <row r="111" spans="1:8" ht="15.75" x14ac:dyDescent="0.25">
      <c r="A111" s="38">
        <v>107</v>
      </c>
      <c r="B111" s="33" t="s">
        <v>459</v>
      </c>
      <c r="C111" s="19"/>
      <c r="D111" s="12"/>
      <c r="E111" s="19">
        <f>1</f>
        <v>1</v>
      </c>
      <c r="F111" s="5"/>
      <c r="G111" s="15">
        <v>98</v>
      </c>
      <c r="H111" s="15">
        <f t="shared" si="3"/>
        <v>98</v>
      </c>
    </row>
    <row r="112" spans="1:8" ht="15.75" x14ac:dyDescent="0.25">
      <c r="A112" s="38">
        <v>108</v>
      </c>
      <c r="B112" s="33" t="s">
        <v>112</v>
      </c>
      <c r="C112" s="19"/>
      <c r="D112" s="12"/>
      <c r="E112" s="19">
        <f>2</f>
        <v>2</v>
      </c>
      <c r="F112" s="5"/>
      <c r="G112" s="15">
        <v>112</v>
      </c>
      <c r="H112" s="15">
        <f t="shared" si="3"/>
        <v>224</v>
      </c>
    </row>
    <row r="113" spans="1:8" ht="15.75" x14ac:dyDescent="0.25">
      <c r="A113" s="38">
        <v>109</v>
      </c>
      <c r="B113" s="33" t="s">
        <v>111</v>
      </c>
      <c r="C113" s="19"/>
      <c r="D113" s="12"/>
      <c r="E113" s="19"/>
      <c r="F113" s="5"/>
      <c r="G113" s="15">
        <v>97</v>
      </c>
      <c r="H113" s="15">
        <f t="shared" si="3"/>
        <v>0</v>
      </c>
    </row>
    <row r="114" spans="1:8" ht="15.75" x14ac:dyDescent="0.25">
      <c r="A114" s="38">
        <v>110</v>
      </c>
      <c r="B114" s="33" t="s">
        <v>113</v>
      </c>
      <c r="C114" s="19"/>
      <c r="D114" s="12"/>
      <c r="E114" s="19">
        <f>12.81+9</f>
        <v>21.810000000000002</v>
      </c>
      <c r="F114" s="5"/>
      <c r="G114" s="15">
        <v>95</v>
      </c>
      <c r="H114" s="15">
        <f t="shared" si="3"/>
        <v>2071.9500000000003</v>
      </c>
    </row>
    <row r="115" spans="1:8" ht="15.75" x14ac:dyDescent="0.25">
      <c r="A115" s="38">
        <v>111</v>
      </c>
      <c r="B115" s="33" t="s">
        <v>114</v>
      </c>
      <c r="C115" s="19"/>
      <c r="D115" s="12"/>
      <c r="E115" s="19">
        <f>11.685+7.9+2.3</f>
        <v>21.885000000000002</v>
      </c>
      <c r="F115" s="5"/>
      <c r="G115" s="15">
        <v>110</v>
      </c>
      <c r="H115" s="15">
        <f t="shared" si="3"/>
        <v>2407.3500000000004</v>
      </c>
    </row>
    <row r="116" spans="1:8" ht="15.75" x14ac:dyDescent="0.25">
      <c r="A116" s="38">
        <v>112</v>
      </c>
      <c r="B116" s="33" t="s">
        <v>445</v>
      </c>
      <c r="C116" s="19"/>
      <c r="D116" s="12"/>
      <c r="E116" s="19">
        <f>1.23</f>
        <v>1.23</v>
      </c>
      <c r="F116" s="5"/>
      <c r="G116" s="15">
        <v>318</v>
      </c>
      <c r="H116" s="15">
        <f t="shared" si="3"/>
        <v>391.14</v>
      </c>
    </row>
    <row r="117" spans="1:8" ht="15.75" x14ac:dyDescent="0.25">
      <c r="A117" s="38">
        <v>113</v>
      </c>
      <c r="B117" s="33" t="s">
        <v>115</v>
      </c>
      <c r="C117" s="19"/>
      <c r="D117" s="12"/>
      <c r="E117" s="19"/>
      <c r="F117" s="5"/>
      <c r="G117" s="15">
        <v>595</v>
      </c>
      <c r="H117" s="15">
        <f t="shared" si="3"/>
        <v>0</v>
      </c>
    </row>
    <row r="118" spans="1:8" ht="15.75" x14ac:dyDescent="0.25">
      <c r="A118" s="38">
        <v>114</v>
      </c>
      <c r="B118" s="33" t="s">
        <v>440</v>
      </c>
      <c r="C118" s="19"/>
      <c r="D118" s="12"/>
      <c r="E118" s="19">
        <f>3.985+3.95</f>
        <v>7.9350000000000005</v>
      </c>
      <c r="F118" s="12"/>
      <c r="G118" s="20">
        <v>160</v>
      </c>
      <c r="H118" s="15">
        <f t="shared" si="3"/>
        <v>1269.6000000000001</v>
      </c>
    </row>
    <row r="119" spans="1:8" ht="15.75" x14ac:dyDescent="0.25">
      <c r="A119" s="38">
        <v>115</v>
      </c>
      <c r="B119" s="33" t="s">
        <v>116</v>
      </c>
      <c r="C119" s="19"/>
      <c r="D119" s="12"/>
      <c r="E119" s="19"/>
      <c r="F119" s="5"/>
      <c r="G119" s="15"/>
      <c r="H119" s="15">
        <f t="shared" si="3"/>
        <v>0</v>
      </c>
    </row>
    <row r="120" spans="1:8" ht="15.75" x14ac:dyDescent="0.25">
      <c r="A120" s="38">
        <v>116</v>
      </c>
      <c r="B120" s="33" t="s">
        <v>117</v>
      </c>
      <c r="C120" s="19"/>
      <c r="D120" s="12"/>
      <c r="E120" s="19"/>
      <c r="F120" s="5"/>
      <c r="G120" s="15">
        <v>290</v>
      </c>
      <c r="H120" s="15">
        <f t="shared" si="3"/>
        <v>0</v>
      </c>
    </row>
    <row r="121" spans="1:8" ht="15.75" x14ac:dyDescent="0.25">
      <c r="A121" s="38">
        <v>117</v>
      </c>
      <c r="B121" s="33" t="s">
        <v>118</v>
      </c>
      <c r="C121" s="19"/>
      <c r="D121" s="12"/>
      <c r="E121" s="19">
        <f>5.16</f>
        <v>5.16</v>
      </c>
      <c r="F121" s="5"/>
      <c r="G121" s="15">
        <v>595</v>
      </c>
      <c r="H121" s="15">
        <f t="shared" si="3"/>
        <v>3070.2000000000003</v>
      </c>
    </row>
    <row r="122" spans="1:8" ht="15.75" x14ac:dyDescent="0.25">
      <c r="A122" s="38">
        <v>118</v>
      </c>
      <c r="B122" s="33" t="s">
        <v>442</v>
      </c>
      <c r="C122" s="19"/>
      <c r="D122" s="12"/>
      <c r="E122" s="19"/>
      <c r="F122" s="5"/>
      <c r="G122" s="15">
        <v>318</v>
      </c>
      <c r="H122" s="15">
        <f t="shared" si="3"/>
        <v>0</v>
      </c>
    </row>
    <row r="123" spans="1:8" ht="15.75" x14ac:dyDescent="0.25">
      <c r="A123" s="38">
        <v>119</v>
      </c>
      <c r="B123" s="33" t="s">
        <v>119</v>
      </c>
      <c r="C123" s="19"/>
      <c r="D123" s="12"/>
      <c r="E123" s="19"/>
      <c r="F123" s="5"/>
      <c r="G123" s="15">
        <v>470</v>
      </c>
      <c r="H123" s="15">
        <f t="shared" si="3"/>
        <v>0</v>
      </c>
    </row>
    <row r="124" spans="1:8" ht="15.75" x14ac:dyDescent="0.25">
      <c r="A124" s="38">
        <v>120</v>
      </c>
      <c r="B124" s="33" t="s">
        <v>120</v>
      </c>
      <c r="C124" s="19"/>
      <c r="D124" s="12"/>
      <c r="E124" s="19">
        <f>2.75</f>
        <v>2.75</v>
      </c>
      <c r="F124" s="5"/>
      <c r="G124" s="15">
        <v>445</v>
      </c>
      <c r="H124" s="15">
        <f t="shared" si="3"/>
        <v>1223.75</v>
      </c>
    </row>
    <row r="125" spans="1:8" ht="15.75" x14ac:dyDescent="0.25">
      <c r="A125" s="38">
        <v>121</v>
      </c>
      <c r="B125" s="33" t="s">
        <v>84</v>
      </c>
      <c r="C125" s="19"/>
      <c r="D125" s="12"/>
      <c r="E125" s="19"/>
      <c r="F125" s="5"/>
      <c r="G125" s="15"/>
      <c r="H125" s="15">
        <f t="shared" si="3"/>
        <v>0</v>
      </c>
    </row>
    <row r="126" spans="1:8" ht="15.75" x14ac:dyDescent="0.25">
      <c r="A126" s="38">
        <v>122</v>
      </c>
      <c r="B126" s="33" t="s">
        <v>474</v>
      </c>
      <c r="C126" s="19"/>
      <c r="D126" s="12"/>
      <c r="E126" s="19">
        <v>13</v>
      </c>
      <c r="F126" s="5"/>
      <c r="G126" s="15">
        <v>145</v>
      </c>
      <c r="H126" s="15">
        <f t="shared" si="3"/>
        <v>1885</v>
      </c>
    </row>
    <row r="127" spans="1:8" ht="15.75" x14ac:dyDescent="0.25">
      <c r="A127" s="38">
        <v>123</v>
      </c>
      <c r="B127" s="33" t="s">
        <v>122</v>
      </c>
      <c r="C127" s="19"/>
      <c r="D127" s="12"/>
      <c r="E127" s="19"/>
      <c r="F127" s="5"/>
      <c r="G127" s="15"/>
      <c r="H127" s="15">
        <f t="shared" si="3"/>
        <v>0</v>
      </c>
    </row>
    <row r="128" spans="1:8" ht="15.75" x14ac:dyDescent="0.25">
      <c r="A128" s="38">
        <v>124</v>
      </c>
      <c r="B128" s="33" t="s">
        <v>123</v>
      </c>
      <c r="C128" s="19"/>
      <c r="D128" s="12"/>
      <c r="E128" s="19">
        <v>3</v>
      </c>
      <c r="F128" s="5"/>
      <c r="G128" s="15">
        <v>220</v>
      </c>
      <c r="H128" s="15">
        <f t="shared" si="3"/>
        <v>660</v>
      </c>
    </row>
    <row r="129" spans="1:8" ht="15.75" x14ac:dyDescent="0.25">
      <c r="A129" s="38">
        <v>125</v>
      </c>
      <c r="B129" s="33" t="s">
        <v>124</v>
      </c>
      <c r="C129" s="19"/>
      <c r="D129" s="12"/>
      <c r="E129" s="19">
        <v>1</v>
      </c>
      <c r="F129" s="5"/>
      <c r="G129" s="15">
        <v>88</v>
      </c>
      <c r="H129" s="15">
        <f t="shared" si="3"/>
        <v>88</v>
      </c>
    </row>
    <row r="130" spans="1:8" ht="15.75" x14ac:dyDescent="0.25">
      <c r="A130" s="38">
        <v>126</v>
      </c>
      <c r="B130" s="33" t="s">
        <v>125</v>
      </c>
      <c r="C130" s="19"/>
      <c r="D130" s="12"/>
      <c r="E130" s="19"/>
      <c r="F130" s="5"/>
      <c r="G130" s="15"/>
      <c r="H130" s="15">
        <f t="shared" si="3"/>
        <v>0</v>
      </c>
    </row>
    <row r="131" spans="1:8" ht="15.75" x14ac:dyDescent="0.25">
      <c r="A131" s="38">
        <v>127</v>
      </c>
      <c r="B131" s="33" t="s">
        <v>91</v>
      </c>
      <c r="C131" s="19"/>
      <c r="D131" s="12"/>
      <c r="E131" s="19"/>
      <c r="F131" s="5"/>
      <c r="G131" s="15"/>
      <c r="H131" s="15">
        <f>F131*G131</f>
        <v>0</v>
      </c>
    </row>
    <row r="132" spans="1:8" ht="15.75" x14ac:dyDescent="0.25">
      <c r="A132" s="38">
        <v>128</v>
      </c>
      <c r="B132" s="33" t="s">
        <v>126</v>
      </c>
      <c r="C132" s="19"/>
      <c r="D132" s="12"/>
      <c r="E132" s="19"/>
      <c r="F132" s="5"/>
      <c r="G132" s="15"/>
      <c r="H132" s="15">
        <f t="shared" ref="H132:H143" si="4">E132*G132</f>
        <v>0</v>
      </c>
    </row>
    <row r="133" spans="1:8" ht="15.75" x14ac:dyDescent="0.25">
      <c r="A133" s="38">
        <v>129</v>
      </c>
      <c r="B133" s="33" t="s">
        <v>127</v>
      </c>
      <c r="C133" s="19"/>
      <c r="D133" s="12"/>
      <c r="E133" s="19"/>
      <c r="F133" s="5"/>
      <c r="G133" s="15">
        <v>247</v>
      </c>
      <c r="H133" s="15">
        <f t="shared" si="4"/>
        <v>0</v>
      </c>
    </row>
    <row r="134" spans="1:8" ht="15.75" x14ac:dyDescent="0.25">
      <c r="A134" s="38">
        <v>130</v>
      </c>
      <c r="B134" s="33" t="s">
        <v>128</v>
      </c>
      <c r="C134" s="19"/>
      <c r="D134" s="12"/>
      <c r="E134" s="19">
        <f>3</f>
        <v>3</v>
      </c>
      <c r="F134" s="5"/>
      <c r="G134" s="15">
        <v>190</v>
      </c>
      <c r="H134" s="15">
        <f t="shared" si="4"/>
        <v>570</v>
      </c>
    </row>
    <row r="135" spans="1:8" ht="15.75" x14ac:dyDescent="0.25">
      <c r="A135" s="38">
        <v>131</v>
      </c>
      <c r="B135" s="33" t="s">
        <v>129</v>
      </c>
      <c r="C135" s="19"/>
      <c r="D135" s="12"/>
      <c r="E135" s="19">
        <v>2</v>
      </c>
      <c r="F135" s="5"/>
      <c r="G135" s="15">
        <v>206</v>
      </c>
      <c r="H135" s="15">
        <f t="shared" si="4"/>
        <v>412</v>
      </c>
    </row>
    <row r="136" spans="1:8" ht="15.75" x14ac:dyDescent="0.25">
      <c r="A136" s="38">
        <v>132</v>
      </c>
      <c r="B136" s="33" t="s">
        <v>130</v>
      </c>
      <c r="C136" s="19"/>
      <c r="D136" s="12"/>
      <c r="E136" s="19">
        <v>1</v>
      </c>
      <c r="F136" s="5"/>
      <c r="G136" s="15">
        <v>187</v>
      </c>
      <c r="H136" s="15">
        <f t="shared" si="4"/>
        <v>187</v>
      </c>
    </row>
    <row r="137" spans="1:8" ht="15.75" x14ac:dyDescent="0.25">
      <c r="A137" s="38">
        <v>133</v>
      </c>
      <c r="B137" s="33" t="s">
        <v>131</v>
      </c>
      <c r="C137" s="19"/>
      <c r="D137" s="12"/>
      <c r="E137" s="19">
        <v>4</v>
      </c>
      <c r="F137" s="12"/>
      <c r="G137" s="20">
        <v>206</v>
      </c>
      <c r="H137" s="15">
        <f t="shared" si="4"/>
        <v>824</v>
      </c>
    </row>
    <row r="138" spans="1:8" ht="15.75" x14ac:dyDescent="0.25">
      <c r="A138" s="38">
        <v>134</v>
      </c>
      <c r="B138" s="33" t="s">
        <v>132</v>
      </c>
      <c r="C138" s="19"/>
      <c r="D138" s="12"/>
      <c r="E138" s="19"/>
      <c r="F138" s="5"/>
      <c r="G138" s="15"/>
      <c r="H138" s="15">
        <f t="shared" si="4"/>
        <v>0</v>
      </c>
    </row>
    <row r="139" spans="1:8" ht="15.75" x14ac:dyDescent="0.25">
      <c r="A139" s="38">
        <v>135</v>
      </c>
      <c r="B139" s="33" t="s">
        <v>133</v>
      </c>
      <c r="C139" s="14"/>
      <c r="D139" s="5"/>
      <c r="E139" s="19"/>
      <c r="F139" s="5"/>
      <c r="G139" s="15">
        <v>298</v>
      </c>
      <c r="H139" s="15">
        <f t="shared" si="4"/>
        <v>0</v>
      </c>
    </row>
    <row r="140" spans="1:8" ht="15.75" x14ac:dyDescent="0.25">
      <c r="A140" s="38">
        <v>136</v>
      </c>
      <c r="B140" s="33" t="s">
        <v>134</v>
      </c>
      <c r="C140" s="14"/>
      <c r="D140" s="5"/>
      <c r="E140" s="19"/>
      <c r="F140" s="5"/>
      <c r="G140" s="15"/>
      <c r="H140" s="15">
        <f t="shared" si="4"/>
        <v>0</v>
      </c>
    </row>
    <row r="141" spans="1:8" ht="15.75" x14ac:dyDescent="0.25">
      <c r="A141" s="38">
        <v>137</v>
      </c>
      <c r="B141" s="33" t="s">
        <v>79</v>
      </c>
      <c r="C141" s="14"/>
      <c r="D141" s="5"/>
      <c r="E141" s="19"/>
      <c r="F141" s="5"/>
      <c r="G141" s="15"/>
      <c r="H141" s="15">
        <f t="shared" si="4"/>
        <v>0</v>
      </c>
    </row>
    <row r="142" spans="1:8" ht="15.75" x14ac:dyDescent="0.25">
      <c r="A142" s="38">
        <v>138</v>
      </c>
      <c r="B142" s="33" t="s">
        <v>62</v>
      </c>
      <c r="C142" s="14"/>
      <c r="D142" s="5"/>
      <c r="E142" s="19"/>
      <c r="F142" s="5"/>
      <c r="G142" s="15"/>
      <c r="H142" s="15">
        <f t="shared" si="4"/>
        <v>0</v>
      </c>
    </row>
    <row r="143" spans="1:8" ht="15.75" x14ac:dyDescent="0.25">
      <c r="A143" s="38">
        <v>139</v>
      </c>
      <c r="B143" s="33" t="s">
        <v>135</v>
      </c>
      <c r="C143" s="14"/>
      <c r="D143" s="5"/>
      <c r="E143" s="19">
        <f>11</f>
        <v>11</v>
      </c>
      <c r="F143" s="5"/>
      <c r="G143" s="15">
        <v>35</v>
      </c>
      <c r="H143" s="15">
        <f t="shared" si="4"/>
        <v>385</v>
      </c>
    </row>
    <row r="144" spans="1:8" ht="15.75" x14ac:dyDescent="0.25">
      <c r="A144" s="38">
        <v>140</v>
      </c>
      <c r="B144" s="33" t="s">
        <v>136</v>
      </c>
      <c r="C144" s="14"/>
      <c r="D144" s="5"/>
      <c r="E144" s="19"/>
      <c r="F144" s="5"/>
      <c r="G144" s="15"/>
      <c r="H144" s="15">
        <f>F144*G144</f>
        <v>0</v>
      </c>
    </row>
    <row r="145" spans="1:8" ht="15.75" x14ac:dyDescent="0.25">
      <c r="A145" s="38">
        <v>141</v>
      </c>
      <c r="B145" s="33" t="s">
        <v>427</v>
      </c>
      <c r="C145" s="14"/>
      <c r="D145" s="5"/>
      <c r="E145" s="19"/>
      <c r="F145" s="5"/>
      <c r="G145" s="15">
        <v>244</v>
      </c>
      <c r="H145" s="15">
        <f>F145*G145</f>
        <v>0</v>
      </c>
    </row>
    <row r="146" spans="1:8" ht="15.75" x14ac:dyDescent="0.25">
      <c r="A146" s="38">
        <v>142</v>
      </c>
      <c r="B146" s="33" t="s">
        <v>137</v>
      </c>
      <c r="C146" s="14"/>
      <c r="D146" s="5"/>
      <c r="E146" s="19"/>
      <c r="F146" s="5"/>
      <c r="G146" s="15"/>
      <c r="H146" s="15">
        <f>F146*G146</f>
        <v>0</v>
      </c>
    </row>
    <row r="147" spans="1:8" ht="15.75" x14ac:dyDescent="0.25">
      <c r="A147" s="38">
        <v>143</v>
      </c>
      <c r="B147" s="33" t="s">
        <v>67</v>
      </c>
      <c r="C147" s="14"/>
      <c r="D147" s="5"/>
      <c r="E147" s="19">
        <f>8.565+4.1+3.83+9.445+4.1+3.83+9.445</f>
        <v>43.314999999999998</v>
      </c>
      <c r="F147" s="5"/>
      <c r="G147" s="15">
        <v>110</v>
      </c>
      <c r="H147" s="15">
        <f t="shared" ref="H147:H168" si="5">E147*G147</f>
        <v>4764.6499999999996</v>
      </c>
    </row>
    <row r="148" spans="1:8" ht="15.75" x14ac:dyDescent="0.25">
      <c r="A148" s="38">
        <v>144</v>
      </c>
      <c r="B148" s="33" t="s">
        <v>138</v>
      </c>
      <c r="C148" s="14"/>
      <c r="D148" s="5"/>
      <c r="E148" s="19"/>
      <c r="F148" s="5"/>
      <c r="G148" s="15"/>
      <c r="H148" s="15">
        <f t="shared" si="5"/>
        <v>0</v>
      </c>
    </row>
    <row r="149" spans="1:8" ht="15.75" x14ac:dyDescent="0.25">
      <c r="A149" s="38">
        <v>145</v>
      </c>
      <c r="B149" s="33" t="s">
        <v>139</v>
      </c>
      <c r="C149" s="14"/>
      <c r="D149" s="5"/>
      <c r="E149" s="19">
        <f>5</f>
        <v>5</v>
      </c>
      <c r="F149" s="5"/>
      <c r="G149" s="15">
        <v>56</v>
      </c>
      <c r="H149" s="15">
        <f t="shared" si="5"/>
        <v>280</v>
      </c>
    </row>
    <row r="150" spans="1:8" ht="15.75" x14ac:dyDescent="0.25">
      <c r="A150" s="38">
        <v>146</v>
      </c>
      <c r="B150" s="33" t="s">
        <v>140</v>
      </c>
      <c r="C150" s="14"/>
      <c r="D150" s="5"/>
      <c r="E150" s="19"/>
      <c r="F150" s="5"/>
      <c r="G150" s="15">
        <v>59</v>
      </c>
      <c r="H150" s="15">
        <f t="shared" si="5"/>
        <v>0</v>
      </c>
    </row>
    <row r="151" spans="1:8" ht="15.75" x14ac:dyDescent="0.25">
      <c r="A151" s="38">
        <v>147</v>
      </c>
      <c r="B151" s="33" t="s">
        <v>141</v>
      </c>
      <c r="C151" s="14"/>
      <c r="D151" s="5"/>
      <c r="E151" s="19">
        <v>1</v>
      </c>
      <c r="F151" s="5"/>
      <c r="G151" s="15">
        <v>62</v>
      </c>
      <c r="H151" s="15">
        <f t="shared" si="5"/>
        <v>62</v>
      </c>
    </row>
    <row r="152" spans="1:8" ht="15.75" x14ac:dyDescent="0.25">
      <c r="A152" s="38">
        <v>148</v>
      </c>
      <c r="B152" s="33" t="s">
        <v>433</v>
      </c>
      <c r="C152" s="14"/>
      <c r="D152" s="5"/>
      <c r="E152" s="19"/>
      <c r="F152" s="5"/>
      <c r="G152" s="15">
        <v>62</v>
      </c>
      <c r="H152" s="15">
        <f t="shared" si="5"/>
        <v>0</v>
      </c>
    </row>
    <row r="153" spans="1:8" ht="15.75" x14ac:dyDescent="0.25">
      <c r="A153" s="38">
        <v>149</v>
      </c>
      <c r="B153" s="33" t="s">
        <v>142</v>
      </c>
      <c r="C153" s="14"/>
      <c r="D153" s="5"/>
      <c r="E153" s="19"/>
      <c r="F153" s="5"/>
      <c r="G153" s="15">
        <v>62</v>
      </c>
      <c r="H153" s="15">
        <f t="shared" si="5"/>
        <v>0</v>
      </c>
    </row>
    <row r="154" spans="1:8" ht="15.75" x14ac:dyDescent="0.25">
      <c r="A154" s="38">
        <v>150</v>
      </c>
      <c r="B154" s="33" t="s">
        <v>143</v>
      </c>
      <c r="C154" s="14"/>
      <c r="D154" s="5"/>
      <c r="E154" s="19">
        <v>1</v>
      </c>
      <c r="F154" s="5"/>
      <c r="G154" s="15">
        <v>62</v>
      </c>
      <c r="H154" s="15">
        <f t="shared" si="5"/>
        <v>62</v>
      </c>
    </row>
    <row r="155" spans="1:8" ht="15.75" x14ac:dyDescent="0.25">
      <c r="A155" s="38">
        <v>151</v>
      </c>
      <c r="B155" s="33" t="s">
        <v>484</v>
      </c>
      <c r="C155" s="14"/>
      <c r="D155" s="5"/>
      <c r="E155" s="19">
        <v>1</v>
      </c>
      <c r="F155" s="5"/>
      <c r="G155" s="15">
        <v>63</v>
      </c>
      <c r="H155" s="15">
        <f t="shared" si="5"/>
        <v>63</v>
      </c>
    </row>
    <row r="156" spans="1:8" ht="15.75" x14ac:dyDescent="0.25">
      <c r="A156" s="38">
        <v>152</v>
      </c>
      <c r="B156" s="33" t="s">
        <v>144</v>
      </c>
      <c r="C156" s="14"/>
      <c r="D156" s="5"/>
      <c r="E156" s="19"/>
      <c r="F156" s="5"/>
      <c r="G156" s="15"/>
      <c r="H156" s="15">
        <f t="shared" si="5"/>
        <v>0</v>
      </c>
    </row>
    <row r="157" spans="1:8" ht="15.75" x14ac:dyDescent="0.25">
      <c r="A157" s="38">
        <v>153</v>
      </c>
      <c r="B157" s="33" t="s">
        <v>145</v>
      </c>
      <c r="C157" s="14"/>
      <c r="D157" s="5"/>
      <c r="E157" s="19">
        <f>2</f>
        <v>2</v>
      </c>
      <c r="F157" s="5"/>
      <c r="G157" s="15">
        <v>23</v>
      </c>
      <c r="H157" s="15">
        <f t="shared" si="5"/>
        <v>46</v>
      </c>
    </row>
    <row r="158" spans="1:8" ht="15.75" x14ac:dyDescent="0.25">
      <c r="A158" s="38">
        <v>154</v>
      </c>
      <c r="B158" s="33" t="s">
        <v>434</v>
      </c>
      <c r="C158" s="14"/>
      <c r="D158" s="5"/>
      <c r="E158" s="19"/>
      <c r="F158" s="5"/>
      <c r="G158" s="15">
        <v>23</v>
      </c>
      <c r="H158" s="15">
        <f t="shared" si="5"/>
        <v>0</v>
      </c>
    </row>
    <row r="159" spans="1:8" ht="15.75" x14ac:dyDescent="0.25">
      <c r="A159" s="38">
        <v>155</v>
      </c>
      <c r="B159" s="33" t="s">
        <v>146</v>
      </c>
      <c r="C159" s="14"/>
      <c r="D159" s="5"/>
      <c r="E159" s="19">
        <f>4.984</f>
        <v>4.984</v>
      </c>
      <c r="F159" s="5"/>
      <c r="G159" s="15">
        <v>245</v>
      </c>
      <c r="H159" s="15">
        <f t="shared" si="5"/>
        <v>1221.08</v>
      </c>
    </row>
    <row r="160" spans="1:8" ht="15.75" x14ac:dyDescent="0.25">
      <c r="A160" s="38">
        <v>156</v>
      </c>
      <c r="B160" s="33" t="s">
        <v>75</v>
      </c>
      <c r="C160" s="14"/>
      <c r="D160" s="5"/>
      <c r="E160" s="19">
        <f>2.468</f>
        <v>2.468</v>
      </c>
      <c r="F160" s="5"/>
      <c r="G160" s="15">
        <v>300</v>
      </c>
      <c r="H160" s="15">
        <f t="shared" si="5"/>
        <v>740.4</v>
      </c>
    </row>
    <row r="161" spans="1:8" ht="15.75" x14ac:dyDescent="0.25">
      <c r="A161" s="38">
        <v>157</v>
      </c>
      <c r="B161" s="33" t="s">
        <v>74</v>
      </c>
      <c r="C161" s="14"/>
      <c r="D161" s="5"/>
      <c r="E161" s="19">
        <v>4.3940000000000001</v>
      </c>
      <c r="F161" s="5"/>
      <c r="G161" s="15">
        <v>285</v>
      </c>
      <c r="H161" s="15">
        <f t="shared" si="5"/>
        <v>1252.29</v>
      </c>
    </row>
    <row r="162" spans="1:8" ht="15.75" x14ac:dyDescent="0.25">
      <c r="A162" s="38">
        <v>158</v>
      </c>
      <c r="B162" s="33" t="s">
        <v>73</v>
      </c>
      <c r="C162" s="14"/>
      <c r="D162" s="5"/>
      <c r="E162" s="19">
        <f>0.762</f>
        <v>0.76200000000000001</v>
      </c>
      <c r="F162" s="5"/>
      <c r="G162" s="15">
        <v>285</v>
      </c>
      <c r="H162" s="15">
        <f t="shared" si="5"/>
        <v>217.17000000000002</v>
      </c>
    </row>
    <row r="163" spans="1:8" ht="15.75" x14ac:dyDescent="0.25">
      <c r="A163" s="38">
        <v>159</v>
      </c>
      <c r="B163" s="33" t="s">
        <v>147</v>
      </c>
      <c r="C163" s="14"/>
      <c r="D163" s="5"/>
      <c r="E163" s="19">
        <v>0.28399999999999997</v>
      </c>
      <c r="F163" s="5"/>
      <c r="G163" s="15">
        <v>285</v>
      </c>
      <c r="H163" s="15">
        <f t="shared" si="5"/>
        <v>80.94</v>
      </c>
    </row>
    <row r="164" spans="1:8" ht="15.75" x14ac:dyDescent="0.25">
      <c r="A164" s="38">
        <v>160</v>
      </c>
      <c r="B164" s="33" t="s">
        <v>432</v>
      </c>
      <c r="C164" s="14"/>
      <c r="D164" s="5"/>
      <c r="E164" s="19"/>
      <c r="F164" s="5"/>
      <c r="G164" s="15">
        <v>600</v>
      </c>
      <c r="H164" s="15">
        <f t="shared" si="5"/>
        <v>0</v>
      </c>
    </row>
    <row r="165" spans="1:8" ht="15.75" x14ac:dyDescent="0.25">
      <c r="A165" s="38">
        <v>161</v>
      </c>
      <c r="B165" s="33" t="s">
        <v>83</v>
      </c>
      <c r="C165" s="14"/>
      <c r="D165" s="5"/>
      <c r="E165" s="19"/>
      <c r="F165" s="5"/>
      <c r="G165" s="15"/>
      <c r="H165" s="15">
        <f t="shared" si="5"/>
        <v>0</v>
      </c>
    </row>
    <row r="166" spans="1:8" ht="15.75" x14ac:dyDescent="0.25">
      <c r="A166" s="38">
        <v>162</v>
      </c>
      <c r="B166" s="33" t="s">
        <v>82</v>
      </c>
      <c r="C166" s="14"/>
      <c r="D166" s="5"/>
      <c r="E166" s="19"/>
      <c r="F166" s="5"/>
      <c r="G166" s="15"/>
      <c r="H166" s="15">
        <f t="shared" si="5"/>
        <v>0</v>
      </c>
    </row>
    <row r="167" spans="1:8" ht="15.75" x14ac:dyDescent="0.25">
      <c r="A167" s="38">
        <v>163</v>
      </c>
      <c r="B167" s="33" t="s">
        <v>81</v>
      </c>
      <c r="C167" s="19"/>
      <c r="D167" s="12"/>
      <c r="E167" s="19"/>
      <c r="F167" s="5"/>
      <c r="G167" s="15"/>
      <c r="H167" s="15">
        <f t="shared" si="5"/>
        <v>0</v>
      </c>
    </row>
    <row r="168" spans="1:8" ht="15.75" x14ac:dyDescent="0.25">
      <c r="A168" s="38">
        <v>164</v>
      </c>
      <c r="B168" s="33" t="s">
        <v>148</v>
      </c>
      <c r="C168" s="19"/>
      <c r="D168" s="12"/>
      <c r="E168" s="19"/>
      <c r="F168" s="5"/>
      <c r="G168" s="15"/>
      <c r="H168" s="15">
        <f t="shared" si="5"/>
        <v>0</v>
      </c>
    </row>
    <row r="169" spans="1:8" ht="15.75" x14ac:dyDescent="0.25">
      <c r="A169" s="38">
        <v>165</v>
      </c>
      <c r="B169" s="33" t="s">
        <v>149</v>
      </c>
      <c r="C169" s="19"/>
      <c r="D169" s="12"/>
      <c r="E169" s="19">
        <f>29</f>
        <v>29</v>
      </c>
      <c r="F169" s="5"/>
      <c r="G169" s="15">
        <v>50</v>
      </c>
      <c r="H169" s="15">
        <f>F169*G169</f>
        <v>0</v>
      </c>
    </row>
    <row r="170" spans="1:8" ht="15.75" x14ac:dyDescent="0.25">
      <c r="A170" s="38">
        <v>166</v>
      </c>
      <c r="B170" s="33" t="s">
        <v>150</v>
      </c>
      <c r="C170" s="19"/>
      <c r="D170" s="12"/>
      <c r="E170" s="19">
        <f>1.055+2.024</f>
        <v>3.0789999999999997</v>
      </c>
      <c r="F170" s="5"/>
      <c r="G170" s="15">
        <v>290</v>
      </c>
      <c r="H170" s="15">
        <f t="shared" ref="H170:H176" si="6">E170*G170</f>
        <v>892.91</v>
      </c>
    </row>
    <row r="171" spans="1:8" ht="15.75" x14ac:dyDescent="0.25">
      <c r="A171" s="38">
        <v>167</v>
      </c>
      <c r="B171" s="33" t="s">
        <v>151</v>
      </c>
      <c r="C171" s="19"/>
      <c r="D171" s="12"/>
      <c r="E171" s="19">
        <v>0.62</v>
      </c>
      <c r="F171" s="5"/>
      <c r="G171" s="15">
        <v>398</v>
      </c>
      <c r="H171" s="15">
        <f t="shared" si="6"/>
        <v>246.76</v>
      </c>
    </row>
    <row r="172" spans="1:8" ht="15.75" x14ac:dyDescent="0.25">
      <c r="A172" s="38">
        <v>168</v>
      </c>
      <c r="B172" s="33" t="s">
        <v>63</v>
      </c>
      <c r="C172" s="19"/>
      <c r="D172" s="12"/>
      <c r="E172" s="19"/>
      <c r="F172" s="5"/>
      <c r="G172" s="15"/>
      <c r="H172" s="15">
        <f t="shared" si="6"/>
        <v>0</v>
      </c>
    </row>
    <row r="173" spans="1:8" ht="15.75" x14ac:dyDescent="0.25">
      <c r="A173" s="38">
        <v>169</v>
      </c>
      <c r="B173" s="33" t="s">
        <v>456</v>
      </c>
      <c r="C173" s="19"/>
      <c r="D173" s="12"/>
      <c r="E173" s="19">
        <f>110+29</f>
        <v>139</v>
      </c>
      <c r="F173" s="5"/>
      <c r="G173" s="15">
        <v>18</v>
      </c>
      <c r="H173" s="15">
        <f t="shared" si="6"/>
        <v>2502</v>
      </c>
    </row>
    <row r="174" spans="1:8" ht="15.75" x14ac:dyDescent="0.25">
      <c r="A174" s="38">
        <v>170</v>
      </c>
      <c r="B174" s="33" t="s">
        <v>152</v>
      </c>
      <c r="C174" s="19"/>
      <c r="D174" s="12"/>
      <c r="E174" s="19"/>
      <c r="F174" s="5"/>
      <c r="G174" s="15"/>
      <c r="H174" s="15">
        <f t="shared" si="6"/>
        <v>0</v>
      </c>
    </row>
    <row r="175" spans="1:8" ht="15.75" x14ac:dyDescent="0.25">
      <c r="A175" s="38">
        <v>171</v>
      </c>
      <c r="B175" s="33" t="s">
        <v>454</v>
      </c>
      <c r="C175" s="19"/>
      <c r="D175" s="12"/>
      <c r="E175" s="19">
        <v>5</v>
      </c>
      <c r="F175" s="5"/>
      <c r="G175" s="15">
        <v>40</v>
      </c>
      <c r="H175" s="15">
        <f t="shared" si="6"/>
        <v>200</v>
      </c>
    </row>
    <row r="176" spans="1:8" ht="15.75" x14ac:dyDescent="0.25">
      <c r="A176" s="38">
        <v>172</v>
      </c>
      <c r="B176" s="33" t="s">
        <v>70</v>
      </c>
      <c r="C176" s="19"/>
      <c r="D176" s="12"/>
      <c r="E176" s="19">
        <f>2.5+2</f>
        <v>4.5</v>
      </c>
      <c r="F176" s="5"/>
      <c r="G176" s="15">
        <v>70</v>
      </c>
      <c r="H176" s="15">
        <f t="shared" si="6"/>
        <v>315</v>
      </c>
    </row>
    <row r="177" spans="1:8" ht="15.75" x14ac:dyDescent="0.25">
      <c r="A177" s="38">
        <v>173</v>
      </c>
      <c r="B177" s="33" t="s">
        <v>153</v>
      </c>
      <c r="C177" s="19"/>
      <c r="D177" s="12"/>
      <c r="E177" s="19"/>
      <c r="F177" s="5"/>
      <c r="G177" s="15"/>
      <c r="H177" s="15">
        <f>F177*G177</f>
        <v>0</v>
      </c>
    </row>
    <row r="178" spans="1:8" ht="15.75" x14ac:dyDescent="0.25">
      <c r="A178" s="38">
        <v>174</v>
      </c>
      <c r="B178" s="33" t="s">
        <v>40</v>
      </c>
      <c r="C178" s="19"/>
      <c r="D178" s="12"/>
      <c r="E178" s="19"/>
      <c r="F178" s="5"/>
      <c r="G178" s="15"/>
      <c r="H178" s="15">
        <f>F178*G178</f>
        <v>0</v>
      </c>
    </row>
    <row r="179" spans="1:8" ht="15.75" x14ac:dyDescent="0.25">
      <c r="A179" s="38">
        <v>175</v>
      </c>
      <c r="B179" s="33" t="s">
        <v>45</v>
      </c>
      <c r="C179" s="19"/>
      <c r="D179" s="12"/>
      <c r="E179" s="19"/>
      <c r="F179" s="5"/>
      <c r="G179" s="15"/>
      <c r="H179" s="15">
        <f>F179*G179</f>
        <v>0</v>
      </c>
    </row>
    <row r="180" spans="1:8" ht="15.75" x14ac:dyDescent="0.25">
      <c r="A180" s="38">
        <v>176</v>
      </c>
      <c r="B180" s="33" t="s">
        <v>17</v>
      </c>
      <c r="C180" s="19"/>
      <c r="D180" s="12"/>
      <c r="E180" s="19"/>
      <c r="F180" s="5"/>
      <c r="G180" s="15"/>
      <c r="H180" s="15">
        <f>F180*G180</f>
        <v>0</v>
      </c>
    </row>
    <row r="181" spans="1:8" ht="15.75" x14ac:dyDescent="0.25">
      <c r="A181" s="38">
        <v>177</v>
      </c>
      <c r="B181" s="33" t="s">
        <v>24</v>
      </c>
      <c r="C181" s="19"/>
      <c r="D181" s="12"/>
      <c r="E181" s="19">
        <f>10.3+28.1+3.3+5.338+3.33</f>
        <v>50.368000000000002</v>
      </c>
      <c r="F181" s="5"/>
      <c r="G181" s="15">
        <v>64</v>
      </c>
      <c r="H181" s="15">
        <f>E181*G181</f>
        <v>3223.5520000000001</v>
      </c>
    </row>
    <row r="182" spans="1:8" ht="15.75" x14ac:dyDescent="0.25">
      <c r="A182" s="38">
        <v>178</v>
      </c>
      <c r="B182" s="33" t="s">
        <v>6</v>
      </c>
      <c r="C182" s="19"/>
      <c r="D182" s="12"/>
      <c r="E182" s="19">
        <f>10.35+60+4.425+50.4+16.1+14.365</f>
        <v>155.63999999999999</v>
      </c>
      <c r="F182" s="5"/>
      <c r="G182" s="15"/>
      <c r="H182" s="15">
        <f>E182*G182</f>
        <v>0</v>
      </c>
    </row>
    <row r="183" spans="1:8" ht="15.75" x14ac:dyDescent="0.25">
      <c r="A183" s="38">
        <v>179</v>
      </c>
      <c r="B183" s="33" t="s">
        <v>154</v>
      </c>
      <c r="C183" s="19"/>
      <c r="D183" s="12"/>
      <c r="E183" s="19"/>
      <c r="F183" s="5"/>
      <c r="G183" s="15"/>
      <c r="H183" s="15">
        <f>F183*G183</f>
        <v>0</v>
      </c>
    </row>
    <row r="184" spans="1:8" ht="15.75" x14ac:dyDescent="0.25">
      <c r="A184" s="38">
        <v>180</v>
      </c>
      <c r="B184" s="33" t="s">
        <v>48</v>
      </c>
      <c r="C184" s="19"/>
      <c r="D184" s="12"/>
      <c r="E184" s="19"/>
      <c r="F184" s="5"/>
      <c r="G184" s="15">
        <v>115</v>
      </c>
      <c r="H184" s="15">
        <f>F184*G184</f>
        <v>0</v>
      </c>
    </row>
    <row r="185" spans="1:8" ht="15.75" x14ac:dyDescent="0.25">
      <c r="A185" s="38">
        <v>181</v>
      </c>
      <c r="B185" s="33" t="s">
        <v>49</v>
      </c>
      <c r="C185" s="19"/>
      <c r="D185" s="12"/>
      <c r="E185" s="19"/>
      <c r="F185" s="5"/>
      <c r="G185" s="15"/>
      <c r="H185" s="15">
        <f t="shared" ref="H185:H203" si="7">E185*G185</f>
        <v>0</v>
      </c>
    </row>
    <row r="186" spans="1:8" ht="15.75" x14ac:dyDescent="0.25">
      <c r="A186" s="38">
        <v>182</v>
      </c>
      <c r="B186" s="33" t="s">
        <v>520</v>
      </c>
      <c r="C186" s="19"/>
      <c r="D186" s="12"/>
      <c r="E186" s="19">
        <v>8</v>
      </c>
      <c r="F186" s="5"/>
      <c r="G186" s="15">
        <v>60</v>
      </c>
      <c r="H186" s="15">
        <f t="shared" si="7"/>
        <v>480</v>
      </c>
    </row>
    <row r="187" spans="1:8" ht="15.75" x14ac:dyDescent="0.25">
      <c r="A187" s="38">
        <v>183</v>
      </c>
      <c r="B187" s="33" t="s">
        <v>155</v>
      </c>
      <c r="C187" s="19"/>
      <c r="D187" s="12"/>
      <c r="E187" s="19">
        <f>2+1.5</f>
        <v>3.5</v>
      </c>
      <c r="F187" s="5"/>
      <c r="G187" s="15">
        <v>136</v>
      </c>
      <c r="H187" s="15">
        <f t="shared" si="7"/>
        <v>476</v>
      </c>
    </row>
    <row r="188" spans="1:8" ht="15.75" x14ac:dyDescent="0.25">
      <c r="A188" s="38">
        <v>184</v>
      </c>
      <c r="B188" s="33" t="s">
        <v>156</v>
      </c>
      <c r="C188" s="19"/>
      <c r="D188" s="12"/>
      <c r="E188" s="19">
        <f>5+3</f>
        <v>8</v>
      </c>
      <c r="F188" s="5"/>
      <c r="G188" s="15">
        <v>220</v>
      </c>
      <c r="H188" s="15">
        <f t="shared" si="7"/>
        <v>1760</v>
      </c>
    </row>
    <row r="189" spans="1:8" ht="15.75" x14ac:dyDescent="0.25">
      <c r="A189" s="38">
        <v>185</v>
      </c>
      <c r="B189" s="33" t="s">
        <v>157</v>
      </c>
      <c r="C189" s="46"/>
      <c r="D189" s="47"/>
      <c r="E189" s="30"/>
      <c r="F189" s="12"/>
      <c r="G189" s="20"/>
      <c r="H189" s="15">
        <f t="shared" si="7"/>
        <v>0</v>
      </c>
    </row>
    <row r="190" spans="1:8" ht="15.75" x14ac:dyDescent="0.25">
      <c r="A190" s="38">
        <v>186</v>
      </c>
      <c r="B190" s="33" t="s">
        <v>158</v>
      </c>
      <c r="C190" s="19"/>
      <c r="D190" s="12"/>
      <c r="E190" s="19">
        <f>12.62+24+3.355</f>
        <v>39.974999999999994</v>
      </c>
      <c r="F190" s="5"/>
      <c r="G190" s="15">
        <v>54</v>
      </c>
      <c r="H190" s="15">
        <f t="shared" si="7"/>
        <v>2158.6499999999996</v>
      </c>
    </row>
    <row r="191" spans="1:8" ht="15.75" x14ac:dyDescent="0.25">
      <c r="A191" s="38">
        <v>187</v>
      </c>
      <c r="B191" s="33" t="s">
        <v>159</v>
      </c>
      <c r="C191" s="19"/>
      <c r="D191" s="12"/>
      <c r="E191" s="19">
        <f>2.185+35</f>
        <v>37.185000000000002</v>
      </c>
      <c r="F191" s="5"/>
      <c r="G191" s="15">
        <v>60</v>
      </c>
      <c r="H191" s="15">
        <f t="shared" si="7"/>
        <v>2231.1000000000004</v>
      </c>
    </row>
    <row r="192" spans="1:8" ht="15.75" x14ac:dyDescent="0.25">
      <c r="A192" s="38">
        <v>188</v>
      </c>
      <c r="B192" s="33" t="s">
        <v>517</v>
      </c>
      <c r="C192" s="19"/>
      <c r="D192" s="12"/>
      <c r="E192" s="19">
        <f>3.14+2</f>
        <v>5.1400000000000006</v>
      </c>
      <c r="F192" s="5"/>
      <c r="G192" s="15">
        <v>125</v>
      </c>
      <c r="H192" s="15">
        <f t="shared" si="7"/>
        <v>642.50000000000011</v>
      </c>
    </row>
    <row r="193" spans="1:8" ht="15.75" x14ac:dyDescent="0.25">
      <c r="A193" s="38">
        <v>189</v>
      </c>
      <c r="B193" s="33" t="s">
        <v>19</v>
      </c>
      <c r="C193" s="19"/>
      <c r="D193" s="12"/>
      <c r="E193" s="19"/>
      <c r="F193" s="12"/>
      <c r="G193" s="20"/>
      <c r="H193" s="15">
        <f t="shared" si="7"/>
        <v>0</v>
      </c>
    </row>
    <row r="194" spans="1:8" ht="15.75" x14ac:dyDescent="0.25">
      <c r="A194" s="38">
        <v>190</v>
      </c>
      <c r="B194" s="33" t="s">
        <v>22</v>
      </c>
      <c r="C194" s="19"/>
      <c r="D194" s="12"/>
      <c r="E194" s="19"/>
      <c r="F194" s="5"/>
      <c r="G194" s="15"/>
      <c r="H194" s="15">
        <f t="shared" si="7"/>
        <v>0</v>
      </c>
    </row>
    <row r="195" spans="1:8" ht="15.75" x14ac:dyDescent="0.25">
      <c r="A195" s="38">
        <v>191</v>
      </c>
      <c r="B195" s="33" t="s">
        <v>161</v>
      </c>
      <c r="C195" s="19"/>
      <c r="D195" s="12"/>
      <c r="E195" s="19">
        <f>22.3+10.73+5.71</f>
        <v>38.74</v>
      </c>
      <c r="F195" s="5"/>
      <c r="G195" s="15">
        <v>90</v>
      </c>
      <c r="H195" s="15">
        <f t="shared" si="7"/>
        <v>3486.6000000000004</v>
      </c>
    </row>
    <row r="196" spans="1:8" ht="15.75" x14ac:dyDescent="0.25">
      <c r="A196" s="38">
        <v>192</v>
      </c>
      <c r="B196" s="33" t="s">
        <v>69</v>
      </c>
      <c r="C196" s="19"/>
      <c r="D196" s="12"/>
      <c r="E196" s="19"/>
      <c r="F196" s="5"/>
      <c r="G196" s="15"/>
      <c r="H196" s="15">
        <f t="shared" si="7"/>
        <v>0</v>
      </c>
    </row>
    <row r="197" spans="1:8" ht="15.75" x14ac:dyDescent="0.25">
      <c r="A197" s="38">
        <v>193</v>
      </c>
      <c r="B197" s="33" t="s">
        <v>481</v>
      </c>
      <c r="C197" s="19"/>
      <c r="D197" s="12"/>
      <c r="E197" s="19">
        <f>3.5+1.685+1.77+0.56</f>
        <v>7.5150000000000006</v>
      </c>
      <c r="F197" s="5"/>
      <c r="G197" s="15">
        <v>210</v>
      </c>
      <c r="H197" s="15">
        <f t="shared" si="7"/>
        <v>1578.15</v>
      </c>
    </row>
    <row r="198" spans="1:8" ht="15.75" x14ac:dyDescent="0.25">
      <c r="A198" s="38">
        <v>194</v>
      </c>
      <c r="B198" s="33" t="s">
        <v>163</v>
      </c>
      <c r="C198" s="19"/>
      <c r="D198" s="12"/>
      <c r="E198" s="19">
        <f>1.44+5.77</f>
        <v>7.2099999999999991</v>
      </c>
      <c r="F198" s="5"/>
      <c r="G198" s="15">
        <v>210</v>
      </c>
      <c r="H198" s="15">
        <f t="shared" si="7"/>
        <v>1514.1</v>
      </c>
    </row>
    <row r="199" spans="1:8" ht="15.75" x14ac:dyDescent="0.25">
      <c r="A199" s="38">
        <v>195</v>
      </c>
      <c r="B199" s="33" t="s">
        <v>164</v>
      </c>
      <c r="C199" s="19"/>
      <c r="D199" s="12"/>
      <c r="E199" s="19">
        <f>2.13+1.2</f>
        <v>3.33</v>
      </c>
      <c r="F199" s="5"/>
      <c r="G199" s="15">
        <v>210</v>
      </c>
      <c r="H199" s="15">
        <f t="shared" si="7"/>
        <v>699.30000000000007</v>
      </c>
    </row>
    <row r="200" spans="1:8" ht="15.75" x14ac:dyDescent="0.25">
      <c r="A200" s="38">
        <v>196</v>
      </c>
      <c r="B200" s="33" t="s">
        <v>443</v>
      </c>
      <c r="C200" s="19"/>
      <c r="D200" s="12"/>
      <c r="E200" s="19"/>
      <c r="F200" s="5"/>
      <c r="G200" s="15">
        <v>118</v>
      </c>
      <c r="H200" s="15">
        <f t="shared" si="7"/>
        <v>0</v>
      </c>
    </row>
    <row r="201" spans="1:8" ht="15.75" x14ac:dyDescent="0.25">
      <c r="A201" s="38">
        <v>197</v>
      </c>
      <c r="B201" s="33" t="s">
        <v>444</v>
      </c>
      <c r="C201" s="19"/>
      <c r="D201" s="12"/>
      <c r="E201" s="19"/>
      <c r="F201" s="5"/>
      <c r="G201" s="15">
        <v>120</v>
      </c>
      <c r="H201" s="15">
        <f t="shared" si="7"/>
        <v>0</v>
      </c>
    </row>
    <row r="202" spans="1:8" ht="15.75" x14ac:dyDescent="0.25">
      <c r="A202" s="38">
        <v>198</v>
      </c>
      <c r="B202" s="33" t="s">
        <v>65</v>
      </c>
      <c r="C202" s="19"/>
      <c r="D202" s="12"/>
      <c r="E202" s="19">
        <f>0.535+1.83+4+1.78+0.258</f>
        <v>8.4029999999999987</v>
      </c>
      <c r="F202" s="5"/>
      <c r="G202" s="15">
        <v>165</v>
      </c>
      <c r="H202" s="15">
        <f t="shared" si="7"/>
        <v>1386.4949999999999</v>
      </c>
    </row>
    <row r="203" spans="1:8" ht="15.75" x14ac:dyDescent="0.25">
      <c r="A203" s="38">
        <v>199</v>
      </c>
      <c r="B203" s="33" t="s">
        <v>64</v>
      </c>
      <c r="C203" s="19"/>
      <c r="D203" s="12"/>
      <c r="E203" s="19">
        <f>6</f>
        <v>6</v>
      </c>
      <c r="F203" s="5"/>
      <c r="G203" s="15">
        <v>70</v>
      </c>
      <c r="H203" s="15">
        <f t="shared" si="7"/>
        <v>420</v>
      </c>
    </row>
    <row r="204" spans="1:8" ht="15.75" x14ac:dyDescent="0.25">
      <c r="A204" s="38">
        <v>200</v>
      </c>
      <c r="B204" s="33" t="s">
        <v>54</v>
      </c>
      <c r="C204" s="19"/>
      <c r="D204" s="12"/>
      <c r="E204" s="19">
        <f>5.9+28.4+0.3</f>
        <v>34.599999999999994</v>
      </c>
      <c r="F204" s="5"/>
      <c r="G204" s="15">
        <v>122</v>
      </c>
      <c r="H204" s="15">
        <f>F204*G204</f>
        <v>0</v>
      </c>
    </row>
    <row r="205" spans="1:8" ht="15.75" x14ac:dyDescent="0.25">
      <c r="A205" s="38">
        <v>201</v>
      </c>
      <c r="B205" s="33" t="s">
        <v>55</v>
      </c>
      <c r="C205" s="19"/>
      <c r="D205" s="12"/>
      <c r="E205" s="19">
        <f>1.352</f>
        <v>1.3520000000000001</v>
      </c>
      <c r="F205" s="5"/>
      <c r="G205" s="15">
        <v>80</v>
      </c>
      <c r="H205" s="15">
        <f>E205*G205</f>
        <v>108.16000000000001</v>
      </c>
    </row>
    <row r="206" spans="1:8" ht="15.75" x14ac:dyDescent="0.25">
      <c r="A206" s="38">
        <v>202</v>
      </c>
      <c r="B206" s="33" t="s">
        <v>165</v>
      </c>
      <c r="C206" s="19"/>
      <c r="D206" s="12"/>
      <c r="E206" s="19"/>
      <c r="F206" s="5"/>
      <c r="G206" s="15"/>
      <c r="H206" s="15">
        <f>E206*G206</f>
        <v>0</v>
      </c>
    </row>
    <row r="207" spans="1:8" ht="15.75" x14ac:dyDescent="0.25">
      <c r="A207" s="38">
        <v>203</v>
      </c>
      <c r="B207" s="33" t="s">
        <v>248</v>
      </c>
      <c r="C207" s="16"/>
      <c r="D207" s="17"/>
      <c r="E207" s="19">
        <f>3.54-0.274</f>
        <v>3.266</v>
      </c>
      <c r="F207" s="5"/>
      <c r="G207" s="15">
        <v>130</v>
      </c>
      <c r="H207" s="15">
        <f>G207*F207</f>
        <v>0</v>
      </c>
    </row>
    <row r="208" spans="1:8" ht="15.75" x14ac:dyDescent="0.25">
      <c r="A208" s="38">
        <v>204</v>
      </c>
      <c r="B208" s="33" t="s">
        <v>366</v>
      </c>
      <c r="C208" s="14"/>
      <c r="D208" s="5"/>
      <c r="E208" s="19">
        <f>14.8+50</f>
        <v>64.8</v>
      </c>
      <c r="F208" s="5"/>
      <c r="G208" s="15">
        <v>120</v>
      </c>
      <c r="H208" s="15">
        <f t="shared" ref="H208:H216" si="8">E208*G208</f>
        <v>7776</v>
      </c>
    </row>
    <row r="209" spans="1:8" ht="15.75" x14ac:dyDescent="0.25">
      <c r="A209" s="38">
        <v>205</v>
      </c>
      <c r="B209" s="33" t="s">
        <v>483</v>
      </c>
      <c r="C209" s="14"/>
      <c r="D209" s="5"/>
      <c r="E209" s="19">
        <v>1</v>
      </c>
      <c r="F209" s="5"/>
      <c r="G209" s="15">
        <v>63</v>
      </c>
      <c r="H209" s="15">
        <f t="shared" si="8"/>
        <v>63</v>
      </c>
    </row>
    <row r="210" spans="1:8" ht="15.75" x14ac:dyDescent="0.25">
      <c r="A210" s="38">
        <v>206</v>
      </c>
      <c r="B210" s="33" t="s">
        <v>250</v>
      </c>
      <c r="C210" s="14"/>
      <c r="D210" s="5"/>
      <c r="E210" s="19">
        <f>20.98+1</f>
        <v>21.98</v>
      </c>
      <c r="F210" s="5"/>
      <c r="G210" s="15">
        <v>110</v>
      </c>
      <c r="H210" s="15">
        <f t="shared" si="8"/>
        <v>2417.8000000000002</v>
      </c>
    </row>
    <row r="211" spans="1:8" ht="15.75" x14ac:dyDescent="0.25">
      <c r="A211" s="38">
        <v>207</v>
      </c>
      <c r="B211" s="33" t="s">
        <v>185</v>
      </c>
      <c r="C211" s="14"/>
      <c r="D211" s="5"/>
      <c r="E211" s="19">
        <f>11.46+1</f>
        <v>12.46</v>
      </c>
      <c r="F211" s="5"/>
      <c r="G211" s="15">
        <v>148</v>
      </c>
      <c r="H211" s="15">
        <f t="shared" si="8"/>
        <v>1844.0800000000002</v>
      </c>
    </row>
    <row r="212" spans="1:8" ht="15.75" x14ac:dyDescent="0.25">
      <c r="A212" s="38">
        <v>208</v>
      </c>
      <c r="B212" s="33" t="s">
        <v>172</v>
      </c>
      <c r="C212" s="14"/>
      <c r="D212" s="5"/>
      <c r="E212" s="19">
        <f>54.5+27.12+12.84</f>
        <v>94.460000000000008</v>
      </c>
      <c r="F212" s="5"/>
      <c r="G212" s="15">
        <v>204</v>
      </c>
      <c r="H212" s="15">
        <f t="shared" si="8"/>
        <v>19269.84</v>
      </c>
    </row>
    <row r="213" spans="1:8" ht="15.75" x14ac:dyDescent="0.25">
      <c r="A213" s="38">
        <v>209</v>
      </c>
      <c r="B213" s="33" t="s">
        <v>182</v>
      </c>
      <c r="C213" s="14"/>
      <c r="D213" s="5"/>
      <c r="E213" s="19">
        <f>10.99+12.32+11.77+11.97+12.17+12.5+12.4+12.04+11.78+11.84+12.06+12.24+17.92+1.1</f>
        <v>163.1</v>
      </c>
      <c r="F213" s="5"/>
      <c r="G213" s="15">
        <v>107</v>
      </c>
      <c r="H213" s="15">
        <f t="shared" si="8"/>
        <v>17451.7</v>
      </c>
    </row>
    <row r="214" spans="1:8" ht="15.75" x14ac:dyDescent="0.25">
      <c r="A214" s="38">
        <v>210</v>
      </c>
      <c r="B214" s="33" t="s">
        <v>516</v>
      </c>
      <c r="C214" s="14"/>
      <c r="D214" s="5"/>
      <c r="E214" s="19">
        <f>3.74</f>
        <v>3.74</v>
      </c>
      <c r="F214" s="5"/>
      <c r="G214" s="15">
        <v>198</v>
      </c>
      <c r="H214" s="15">
        <f t="shared" si="8"/>
        <v>740.5200000000001</v>
      </c>
    </row>
    <row r="215" spans="1:8" ht="15.75" x14ac:dyDescent="0.25">
      <c r="A215" s="38">
        <v>211</v>
      </c>
      <c r="B215" s="33" t="s">
        <v>251</v>
      </c>
      <c r="C215" s="14"/>
      <c r="D215" s="5"/>
      <c r="E215" s="19">
        <f>43.44+2.82</f>
        <v>46.26</v>
      </c>
      <c r="F215" s="5"/>
      <c r="G215" s="15">
        <v>162</v>
      </c>
      <c r="H215" s="15">
        <f t="shared" si="8"/>
        <v>7494.12</v>
      </c>
    </row>
    <row r="216" spans="1:8" ht="15.75" x14ac:dyDescent="0.25">
      <c r="A216" s="38">
        <v>212</v>
      </c>
      <c r="B216" s="33" t="s">
        <v>252</v>
      </c>
      <c r="C216" s="14"/>
      <c r="D216" s="5"/>
      <c r="E216" s="19"/>
      <c r="F216" s="5"/>
      <c r="G216" s="15"/>
      <c r="H216" s="15">
        <f t="shared" si="8"/>
        <v>0</v>
      </c>
    </row>
    <row r="217" spans="1:8" ht="15.75" x14ac:dyDescent="0.25">
      <c r="A217" s="38">
        <v>213</v>
      </c>
      <c r="B217" s="33" t="s">
        <v>253</v>
      </c>
      <c r="C217" s="14"/>
      <c r="D217" s="5"/>
      <c r="E217" s="19"/>
      <c r="F217" s="5"/>
      <c r="G217" s="15"/>
      <c r="H217" s="15"/>
    </row>
    <row r="218" spans="1:8" ht="15.75" x14ac:dyDescent="0.25">
      <c r="A218" s="38">
        <v>214</v>
      </c>
      <c r="B218" s="33" t="s">
        <v>254</v>
      </c>
      <c r="C218" s="14"/>
      <c r="D218" s="5"/>
      <c r="E218" s="19">
        <f>192.6+8.76</f>
        <v>201.35999999999999</v>
      </c>
      <c r="F218" s="5"/>
      <c r="G218" s="15">
        <v>240</v>
      </c>
      <c r="H218" s="15">
        <f t="shared" ref="H218:H281" si="9">E218*G218</f>
        <v>48326.399999999994</v>
      </c>
    </row>
    <row r="219" spans="1:8" ht="15.75" x14ac:dyDescent="0.25">
      <c r="A219" s="38">
        <v>215</v>
      </c>
      <c r="B219" s="33" t="s">
        <v>214</v>
      </c>
      <c r="C219" s="14"/>
      <c r="D219" s="5"/>
      <c r="E219" s="19">
        <f>19.1+3.742</f>
        <v>22.842000000000002</v>
      </c>
      <c r="F219" s="5"/>
      <c r="G219" s="15">
        <v>94</v>
      </c>
      <c r="H219" s="15">
        <f t="shared" si="9"/>
        <v>2147.1480000000001</v>
      </c>
    </row>
    <row r="220" spans="1:8" ht="15.75" x14ac:dyDescent="0.25">
      <c r="A220" s="38">
        <v>216</v>
      </c>
      <c r="B220" s="33" t="s">
        <v>234</v>
      </c>
      <c r="C220" s="14"/>
      <c r="D220" s="5"/>
      <c r="E220" s="19"/>
      <c r="F220" s="5"/>
      <c r="G220" s="15"/>
      <c r="H220" s="15">
        <f t="shared" si="9"/>
        <v>0</v>
      </c>
    </row>
    <row r="221" spans="1:8" ht="15.75" x14ac:dyDescent="0.25">
      <c r="A221" s="38">
        <v>217</v>
      </c>
      <c r="B221" s="33" t="s">
        <v>255</v>
      </c>
      <c r="C221" s="14"/>
      <c r="D221" s="5"/>
      <c r="E221" s="19">
        <f>27.1+91.8+42.2</f>
        <v>161.10000000000002</v>
      </c>
      <c r="F221" s="5"/>
      <c r="G221" s="15">
        <v>110</v>
      </c>
      <c r="H221" s="15">
        <f t="shared" si="9"/>
        <v>17721.000000000004</v>
      </c>
    </row>
    <row r="222" spans="1:8" ht="15.75" x14ac:dyDescent="0.25">
      <c r="A222" s="38">
        <v>218</v>
      </c>
      <c r="B222" s="33" t="s">
        <v>256</v>
      </c>
      <c r="C222" s="14"/>
      <c r="D222" s="5"/>
      <c r="E222" s="19"/>
      <c r="F222" s="5"/>
      <c r="G222" s="15">
        <v>65</v>
      </c>
      <c r="H222" s="15">
        <f t="shared" si="9"/>
        <v>0</v>
      </c>
    </row>
    <row r="223" spans="1:8" ht="15.75" x14ac:dyDescent="0.25">
      <c r="A223" s="38">
        <v>219</v>
      </c>
      <c r="B223" s="33" t="s">
        <v>257</v>
      </c>
      <c r="C223" s="14"/>
      <c r="D223" s="5"/>
      <c r="E223" s="19">
        <f>65+7.58</f>
        <v>72.58</v>
      </c>
      <c r="F223" s="5"/>
      <c r="G223" s="15">
        <v>350</v>
      </c>
      <c r="H223" s="15">
        <f t="shared" si="9"/>
        <v>25403</v>
      </c>
    </row>
    <row r="224" spans="1:8" ht="15.75" x14ac:dyDescent="0.25">
      <c r="A224" s="38">
        <v>220</v>
      </c>
      <c r="B224" s="33" t="s">
        <v>258</v>
      </c>
      <c r="C224" s="14"/>
      <c r="D224" s="5"/>
      <c r="E224" s="19">
        <f>149.49+14.78</f>
        <v>164.27</v>
      </c>
      <c r="F224" s="5"/>
      <c r="G224" s="15">
        <v>75</v>
      </c>
      <c r="H224" s="15">
        <f t="shared" si="9"/>
        <v>12320.25</v>
      </c>
    </row>
    <row r="225" spans="1:8" ht="15.75" x14ac:dyDescent="0.25">
      <c r="A225" s="38">
        <v>221</v>
      </c>
      <c r="B225" s="33" t="s">
        <v>259</v>
      </c>
      <c r="C225" s="14"/>
      <c r="D225" s="5"/>
      <c r="E225" s="19">
        <f>39</f>
        <v>39</v>
      </c>
      <c r="F225" s="5"/>
      <c r="G225" s="15">
        <v>130</v>
      </c>
      <c r="H225" s="15">
        <f t="shared" si="9"/>
        <v>5070</v>
      </c>
    </row>
    <row r="226" spans="1:8" ht="15.75" x14ac:dyDescent="0.25">
      <c r="A226" s="38">
        <v>222</v>
      </c>
      <c r="B226" s="33" t="s">
        <v>218</v>
      </c>
      <c r="C226" s="14"/>
      <c r="D226" s="5"/>
      <c r="E226" s="19">
        <f>124.4+14.3+2.366+650</f>
        <v>791.06600000000003</v>
      </c>
      <c r="F226" s="5"/>
      <c r="G226" s="15">
        <v>78</v>
      </c>
      <c r="H226" s="15">
        <f t="shared" si="9"/>
        <v>61703.148000000001</v>
      </c>
    </row>
    <row r="227" spans="1:8" ht="15.75" x14ac:dyDescent="0.25">
      <c r="A227" s="38">
        <v>223</v>
      </c>
      <c r="B227" s="33" t="s">
        <v>249</v>
      </c>
      <c r="C227" s="14"/>
      <c r="D227" s="5"/>
      <c r="E227" s="19"/>
      <c r="F227" s="5"/>
      <c r="G227" s="15"/>
      <c r="H227" s="15">
        <f t="shared" si="9"/>
        <v>0</v>
      </c>
    </row>
    <row r="228" spans="1:8" ht="15.75" x14ac:dyDescent="0.25">
      <c r="A228" s="38">
        <v>224</v>
      </c>
      <c r="B228" s="33" t="s">
        <v>261</v>
      </c>
      <c r="C228" s="14"/>
      <c r="D228" s="5"/>
      <c r="E228" s="19"/>
      <c r="F228" s="5"/>
      <c r="G228" s="15"/>
      <c r="H228" s="15">
        <f t="shared" si="9"/>
        <v>0</v>
      </c>
    </row>
    <row r="229" spans="1:8" ht="15.75" x14ac:dyDescent="0.25">
      <c r="A229" s="38">
        <v>225</v>
      </c>
      <c r="B229" s="33" t="s">
        <v>251</v>
      </c>
      <c r="C229" s="14"/>
      <c r="D229" s="5"/>
      <c r="E229" s="19"/>
      <c r="F229" s="5"/>
      <c r="G229" s="15"/>
      <c r="H229" s="15">
        <f t="shared" si="9"/>
        <v>0</v>
      </c>
    </row>
    <row r="230" spans="1:8" ht="15.75" x14ac:dyDescent="0.25">
      <c r="A230" s="38">
        <v>226</v>
      </c>
      <c r="B230" s="33" t="s">
        <v>218</v>
      </c>
      <c r="C230" s="14"/>
      <c r="D230" s="5"/>
      <c r="E230" s="19"/>
      <c r="F230" s="5"/>
      <c r="G230" s="15"/>
      <c r="H230" s="15">
        <f t="shared" si="9"/>
        <v>0</v>
      </c>
    </row>
    <row r="231" spans="1:8" ht="15.75" x14ac:dyDescent="0.25">
      <c r="A231" s="38">
        <v>227</v>
      </c>
      <c r="B231" s="33" t="s">
        <v>487</v>
      </c>
      <c r="C231" s="14"/>
      <c r="D231" s="5"/>
      <c r="E231" s="19">
        <f>163.7+5.3</f>
        <v>169</v>
      </c>
      <c r="F231" s="5"/>
      <c r="G231" s="15">
        <v>65</v>
      </c>
      <c r="H231" s="15">
        <f t="shared" si="9"/>
        <v>10985</v>
      </c>
    </row>
    <row r="232" spans="1:8" ht="15.75" x14ac:dyDescent="0.25">
      <c r="A232" s="38">
        <v>228</v>
      </c>
      <c r="B232" s="33" t="s">
        <v>263</v>
      </c>
      <c r="C232" s="14"/>
      <c r="D232" s="5"/>
      <c r="E232" s="19">
        <f>121.7+19.9+6.8+2.112</f>
        <v>150.512</v>
      </c>
      <c r="F232" s="5"/>
      <c r="G232" s="15">
        <v>78</v>
      </c>
      <c r="H232" s="15">
        <f t="shared" si="9"/>
        <v>11739.936</v>
      </c>
    </row>
    <row r="233" spans="1:8" ht="15.75" x14ac:dyDescent="0.25">
      <c r="A233" s="38">
        <v>229</v>
      </c>
      <c r="B233" s="33" t="s">
        <v>264</v>
      </c>
      <c r="C233" s="14"/>
      <c r="D233" s="5"/>
      <c r="E233" s="19">
        <f>8</f>
        <v>8</v>
      </c>
      <c r="F233" s="5"/>
      <c r="G233" s="15">
        <v>112</v>
      </c>
      <c r="H233" s="15">
        <f t="shared" si="9"/>
        <v>896</v>
      </c>
    </row>
    <row r="234" spans="1:8" ht="15.75" x14ac:dyDescent="0.25">
      <c r="A234" s="38">
        <v>230</v>
      </c>
      <c r="B234" s="33" t="s">
        <v>203</v>
      </c>
      <c r="C234" s="14"/>
      <c r="D234" s="5"/>
      <c r="E234" s="19">
        <f>77.5+1.3+4.315+7.22</f>
        <v>90.334999999999994</v>
      </c>
      <c r="F234" s="5"/>
      <c r="G234" s="15">
        <v>76</v>
      </c>
      <c r="H234" s="15">
        <f t="shared" si="9"/>
        <v>6865.4599999999991</v>
      </c>
    </row>
    <row r="235" spans="1:8" ht="15.75" x14ac:dyDescent="0.25">
      <c r="A235" s="38">
        <v>231</v>
      </c>
      <c r="B235" s="33" t="s">
        <v>314</v>
      </c>
      <c r="C235" s="14"/>
      <c r="D235" s="5"/>
      <c r="E235" s="19">
        <f>297.5+32.9+29.4+15.3-2.8+3.14</f>
        <v>375.43999999999994</v>
      </c>
      <c r="F235" s="5"/>
      <c r="G235" s="15">
        <v>123</v>
      </c>
      <c r="H235" s="15">
        <f t="shared" si="9"/>
        <v>46179.119999999995</v>
      </c>
    </row>
    <row r="236" spans="1:8" ht="15.75" x14ac:dyDescent="0.25">
      <c r="A236" s="38">
        <v>232</v>
      </c>
      <c r="B236" s="33" t="s">
        <v>265</v>
      </c>
      <c r="C236" s="14"/>
      <c r="D236" s="5"/>
      <c r="E236" s="19"/>
      <c r="F236" s="5"/>
      <c r="G236" s="15"/>
      <c r="H236" s="15">
        <f t="shared" si="9"/>
        <v>0</v>
      </c>
    </row>
    <row r="237" spans="1:8" ht="15.75" x14ac:dyDescent="0.25">
      <c r="A237" s="38">
        <v>233</v>
      </c>
      <c r="B237" s="33" t="s">
        <v>266</v>
      </c>
      <c r="C237" s="14"/>
      <c r="D237" s="5"/>
      <c r="E237" s="19">
        <f>111.5+291.3+5.5+19.1+7.8</f>
        <v>435.20000000000005</v>
      </c>
      <c r="F237" s="5"/>
      <c r="G237" s="15">
        <v>204</v>
      </c>
      <c r="H237" s="15">
        <f t="shared" si="9"/>
        <v>88780.800000000003</v>
      </c>
    </row>
    <row r="238" spans="1:8" ht="15.75" x14ac:dyDescent="0.25">
      <c r="A238" s="38">
        <v>234</v>
      </c>
      <c r="B238" s="33" t="s">
        <v>495</v>
      </c>
      <c r="C238" s="14"/>
      <c r="D238" s="5"/>
      <c r="E238" s="19">
        <f>11.8+16.6</f>
        <v>28.400000000000002</v>
      </c>
      <c r="F238" s="5"/>
      <c r="G238" s="15">
        <v>14</v>
      </c>
      <c r="H238" s="15">
        <f t="shared" si="9"/>
        <v>397.6</v>
      </c>
    </row>
    <row r="239" spans="1:8" ht="15.75" x14ac:dyDescent="0.25">
      <c r="A239" s="38">
        <v>235</v>
      </c>
      <c r="B239" s="33" t="s">
        <v>267</v>
      </c>
      <c r="C239" s="14"/>
      <c r="D239" s="5"/>
      <c r="E239" s="19">
        <f>9.8+6.8+19.6+11.8+3.86+9.66</f>
        <v>61.519999999999996</v>
      </c>
      <c r="F239" s="5"/>
      <c r="G239" s="15">
        <v>50</v>
      </c>
      <c r="H239" s="15">
        <f t="shared" si="9"/>
        <v>3076</v>
      </c>
    </row>
    <row r="240" spans="1:8" ht="15.75" x14ac:dyDescent="0.25">
      <c r="A240" s="38">
        <v>236</v>
      </c>
      <c r="B240" s="33" t="s">
        <v>174</v>
      </c>
      <c r="C240" s="14"/>
      <c r="D240" s="5"/>
      <c r="E240" s="19">
        <f>3.8+1.974+5.706</f>
        <v>11.48</v>
      </c>
      <c r="F240" s="5"/>
      <c r="G240" s="15">
        <v>88</v>
      </c>
      <c r="H240" s="15">
        <f t="shared" si="9"/>
        <v>1010.24</v>
      </c>
    </row>
    <row r="241" spans="1:8" ht="15.75" x14ac:dyDescent="0.25">
      <c r="A241" s="38">
        <v>237</v>
      </c>
      <c r="B241" s="33" t="s">
        <v>229</v>
      </c>
      <c r="C241" s="14"/>
      <c r="D241" s="5"/>
      <c r="E241" s="19">
        <f>155.7+17.6+8.3+4.8+3.794+7.3</f>
        <v>197.49400000000003</v>
      </c>
      <c r="F241" s="5"/>
      <c r="G241" s="15">
        <v>98</v>
      </c>
      <c r="H241" s="15">
        <f t="shared" si="9"/>
        <v>19354.412000000004</v>
      </c>
    </row>
    <row r="242" spans="1:8" ht="15.75" x14ac:dyDescent="0.25">
      <c r="A242" s="38">
        <v>238</v>
      </c>
      <c r="B242" s="33" t="s">
        <v>263</v>
      </c>
      <c r="C242" s="14"/>
      <c r="D242" s="5"/>
      <c r="E242" s="19"/>
      <c r="F242" s="5"/>
      <c r="G242" s="15">
        <v>80</v>
      </c>
      <c r="H242" s="15">
        <f t="shared" si="9"/>
        <v>0</v>
      </c>
    </row>
    <row r="243" spans="1:8" ht="15.75" x14ac:dyDescent="0.25">
      <c r="A243" s="38">
        <v>239</v>
      </c>
      <c r="B243" s="33" t="s">
        <v>264</v>
      </c>
      <c r="C243" s="14"/>
      <c r="D243" s="5"/>
      <c r="E243" s="19"/>
      <c r="F243" s="5"/>
      <c r="G243" s="15"/>
      <c r="H243" s="15">
        <f t="shared" si="9"/>
        <v>0</v>
      </c>
    </row>
    <row r="244" spans="1:8" ht="15.75" x14ac:dyDescent="0.25">
      <c r="A244" s="38">
        <v>240</v>
      </c>
      <c r="B244" s="33" t="s">
        <v>491</v>
      </c>
      <c r="C244" s="14"/>
      <c r="D244" s="5"/>
      <c r="E244" s="19">
        <f>11.8</f>
        <v>11.8</v>
      </c>
      <c r="F244" s="5"/>
      <c r="G244" s="15">
        <v>435</v>
      </c>
      <c r="H244" s="15">
        <f t="shared" si="9"/>
        <v>5133</v>
      </c>
    </row>
    <row r="245" spans="1:8" ht="15.75" x14ac:dyDescent="0.25">
      <c r="A245" s="38">
        <v>241</v>
      </c>
      <c r="B245" s="33" t="s">
        <v>315</v>
      </c>
      <c r="C245" s="14"/>
      <c r="D245" s="5"/>
      <c r="E245" s="19"/>
      <c r="F245" s="5"/>
      <c r="G245" s="15"/>
      <c r="H245" s="15">
        <f t="shared" si="9"/>
        <v>0</v>
      </c>
    </row>
    <row r="246" spans="1:8" ht="15.75" x14ac:dyDescent="0.25">
      <c r="A246" s="38">
        <v>242</v>
      </c>
      <c r="B246" s="33" t="s">
        <v>268</v>
      </c>
      <c r="C246" s="14"/>
      <c r="D246" s="5"/>
      <c r="E246" s="19">
        <f>127.8+29.4+3.22+2.46</f>
        <v>162.88</v>
      </c>
      <c r="F246" s="5"/>
      <c r="G246" s="15">
        <v>48</v>
      </c>
      <c r="H246" s="15">
        <f t="shared" si="9"/>
        <v>7818.24</v>
      </c>
    </row>
    <row r="247" spans="1:8" ht="15.75" x14ac:dyDescent="0.25">
      <c r="A247" s="38">
        <v>243</v>
      </c>
      <c r="B247" s="33" t="s">
        <v>214</v>
      </c>
      <c r="C247" s="14"/>
      <c r="D247" s="5"/>
      <c r="E247" s="19"/>
      <c r="F247" s="5"/>
      <c r="G247" s="15"/>
      <c r="H247" s="15">
        <f t="shared" si="9"/>
        <v>0</v>
      </c>
    </row>
    <row r="248" spans="1:8" ht="15.75" x14ac:dyDescent="0.25">
      <c r="A248" s="38">
        <v>244</v>
      </c>
      <c r="B248" s="33" t="s">
        <v>395</v>
      </c>
      <c r="C248" s="14"/>
      <c r="D248" s="5"/>
      <c r="E248" s="19"/>
      <c r="F248" s="5"/>
      <c r="G248" s="15"/>
      <c r="H248" s="15">
        <f t="shared" si="9"/>
        <v>0</v>
      </c>
    </row>
    <row r="249" spans="1:8" ht="15.75" x14ac:dyDescent="0.25">
      <c r="A249" s="38">
        <v>245</v>
      </c>
      <c r="B249" s="33" t="s">
        <v>209</v>
      </c>
      <c r="C249" s="14"/>
      <c r="D249" s="5"/>
      <c r="E249" s="19">
        <f>1319+274+1047+1188.6+764.1+3.36</f>
        <v>4596.0599999999995</v>
      </c>
      <c r="F249" s="5"/>
      <c r="G249" s="15">
        <v>45</v>
      </c>
      <c r="H249" s="15">
        <f t="shared" si="9"/>
        <v>206822.69999999998</v>
      </c>
    </row>
    <row r="250" spans="1:8" ht="15.75" x14ac:dyDescent="0.25">
      <c r="A250" s="38">
        <v>246</v>
      </c>
      <c r="B250" s="33" t="s">
        <v>370</v>
      </c>
      <c r="C250" s="14"/>
      <c r="D250" s="5"/>
      <c r="E250" s="19">
        <f>62.3+1.78</f>
        <v>64.08</v>
      </c>
      <c r="F250" s="5"/>
      <c r="G250" s="15">
        <v>140</v>
      </c>
      <c r="H250" s="15">
        <f t="shared" si="9"/>
        <v>8971.1999999999989</v>
      </c>
    </row>
    <row r="251" spans="1:8" ht="15.75" x14ac:dyDescent="0.25">
      <c r="A251" s="38">
        <v>247</v>
      </c>
      <c r="B251" s="33" t="s">
        <v>270</v>
      </c>
      <c r="C251" s="14"/>
      <c r="D251" s="5"/>
      <c r="E251" s="19">
        <f>1.72</f>
        <v>1.72</v>
      </c>
      <c r="F251" s="5"/>
      <c r="G251" s="15">
        <v>145</v>
      </c>
      <c r="H251" s="15">
        <f t="shared" si="9"/>
        <v>249.4</v>
      </c>
    </row>
    <row r="252" spans="1:8" ht="15.75" x14ac:dyDescent="0.25">
      <c r="A252" s="38">
        <v>248</v>
      </c>
      <c r="B252" s="33" t="s">
        <v>271</v>
      </c>
      <c r="C252" s="14"/>
      <c r="D252" s="5"/>
      <c r="E252" s="19">
        <f>14.3+6.06</f>
        <v>20.36</v>
      </c>
      <c r="F252" s="5"/>
      <c r="G252" s="15">
        <v>100</v>
      </c>
      <c r="H252" s="15">
        <f t="shared" si="9"/>
        <v>2036</v>
      </c>
    </row>
    <row r="253" spans="1:8" ht="15.75" x14ac:dyDescent="0.25">
      <c r="A253" s="38">
        <v>249</v>
      </c>
      <c r="B253" s="33" t="s">
        <v>272</v>
      </c>
      <c r="C253" s="14"/>
      <c r="D253" s="5"/>
      <c r="E253" s="19">
        <f>4.3+3.26</f>
        <v>7.56</v>
      </c>
      <c r="F253" s="5"/>
      <c r="G253" s="15">
        <v>130</v>
      </c>
      <c r="H253" s="15">
        <f t="shared" si="9"/>
        <v>982.8</v>
      </c>
    </row>
    <row r="254" spans="1:8" ht="15.75" x14ac:dyDescent="0.25">
      <c r="A254" s="38">
        <v>250</v>
      </c>
      <c r="B254" s="33" t="s">
        <v>273</v>
      </c>
      <c r="C254" s="14"/>
      <c r="D254" s="5"/>
      <c r="E254" s="19"/>
      <c r="F254" s="5"/>
      <c r="G254" s="15">
        <v>120</v>
      </c>
      <c r="H254" s="15">
        <f t="shared" si="9"/>
        <v>0</v>
      </c>
    </row>
    <row r="255" spans="1:8" ht="15.75" x14ac:dyDescent="0.25">
      <c r="A255" s="38">
        <v>251</v>
      </c>
      <c r="B255" s="33" t="s">
        <v>274</v>
      </c>
      <c r="C255" s="14"/>
      <c r="D255" s="5"/>
      <c r="E255" s="19">
        <f>29.9+3.33</f>
        <v>33.229999999999997</v>
      </c>
      <c r="F255" s="5"/>
      <c r="G255" s="15">
        <v>105</v>
      </c>
      <c r="H255" s="15">
        <f>E255*G255</f>
        <v>3489.1499999999996</v>
      </c>
    </row>
    <row r="256" spans="1:8" ht="15.75" x14ac:dyDescent="0.25">
      <c r="A256" s="38">
        <v>252</v>
      </c>
      <c r="B256" s="33" t="s">
        <v>267</v>
      </c>
      <c r="C256" s="14"/>
      <c r="D256" s="5"/>
      <c r="E256" s="19"/>
      <c r="F256" s="5"/>
      <c r="G256" s="15"/>
      <c r="H256" s="15">
        <f t="shared" ref="H256:H265" si="10">E256*G256</f>
        <v>0</v>
      </c>
    </row>
    <row r="257" spans="1:8" ht="15.75" x14ac:dyDescent="0.25">
      <c r="A257" s="38">
        <v>253</v>
      </c>
      <c r="B257" s="33" t="s">
        <v>275</v>
      </c>
      <c r="C257" s="14"/>
      <c r="D257" s="5"/>
      <c r="E257" s="19"/>
      <c r="F257" s="5"/>
      <c r="G257" s="15"/>
      <c r="H257" s="15">
        <f t="shared" si="10"/>
        <v>0</v>
      </c>
    </row>
    <row r="258" spans="1:8" ht="15.75" x14ac:dyDescent="0.25">
      <c r="A258" s="38">
        <v>254</v>
      </c>
      <c r="B258" s="33" t="s">
        <v>208</v>
      </c>
      <c r="C258" s="14"/>
      <c r="D258" s="5"/>
      <c r="E258" s="19">
        <f>12.4+16.5+4.68</f>
        <v>33.58</v>
      </c>
      <c r="F258" s="5"/>
      <c r="G258" s="15">
        <v>125</v>
      </c>
      <c r="H258" s="15">
        <f t="shared" si="10"/>
        <v>4197.5</v>
      </c>
    </row>
    <row r="259" spans="1:8" ht="15.75" x14ac:dyDescent="0.25">
      <c r="A259" s="38">
        <v>255</v>
      </c>
      <c r="B259" s="33" t="s">
        <v>215</v>
      </c>
      <c r="C259" s="14"/>
      <c r="D259" s="5"/>
      <c r="E259" s="19"/>
      <c r="F259" s="5"/>
      <c r="G259" s="15"/>
      <c r="H259" s="15">
        <f t="shared" si="10"/>
        <v>0</v>
      </c>
    </row>
    <row r="260" spans="1:8" ht="15.75" x14ac:dyDescent="0.25">
      <c r="A260" s="38">
        <v>256</v>
      </c>
      <c r="B260" s="33" t="s">
        <v>277</v>
      </c>
      <c r="C260" s="14"/>
      <c r="D260" s="5"/>
      <c r="E260" s="19"/>
      <c r="F260" s="5"/>
      <c r="G260" s="15"/>
      <c r="H260" s="15">
        <f t="shared" si="10"/>
        <v>0</v>
      </c>
    </row>
    <row r="261" spans="1:8" ht="15.75" x14ac:dyDescent="0.25">
      <c r="A261" s="38">
        <v>257</v>
      </c>
      <c r="B261" s="33" t="s">
        <v>229</v>
      </c>
      <c r="C261" s="14"/>
      <c r="D261" s="5"/>
      <c r="E261" s="19"/>
      <c r="F261" s="5"/>
      <c r="G261" s="15"/>
      <c r="H261" s="15">
        <f t="shared" si="10"/>
        <v>0</v>
      </c>
    </row>
    <row r="262" spans="1:8" ht="15.75" x14ac:dyDescent="0.25">
      <c r="A262" s="38">
        <v>258</v>
      </c>
      <c r="B262" s="33" t="s">
        <v>203</v>
      </c>
      <c r="C262" s="14"/>
      <c r="D262" s="5"/>
      <c r="E262" s="19"/>
      <c r="F262" s="5"/>
      <c r="G262" s="15">
        <v>76</v>
      </c>
      <c r="H262" s="15">
        <f t="shared" si="10"/>
        <v>0</v>
      </c>
    </row>
    <row r="263" spans="1:8" ht="15.75" x14ac:dyDescent="0.25">
      <c r="A263" s="38">
        <v>259</v>
      </c>
      <c r="B263" s="33" t="s">
        <v>278</v>
      </c>
      <c r="C263" s="14"/>
      <c r="D263" s="5"/>
      <c r="E263" s="19">
        <f>10.3+0.97</f>
        <v>11.270000000000001</v>
      </c>
      <c r="F263" s="5"/>
      <c r="G263" s="15">
        <v>90</v>
      </c>
      <c r="H263" s="15">
        <f t="shared" si="10"/>
        <v>1014.3000000000001</v>
      </c>
    </row>
    <row r="264" spans="1:8" ht="15.75" x14ac:dyDescent="0.25">
      <c r="A264" s="38">
        <v>260</v>
      </c>
      <c r="B264" s="33" t="s">
        <v>174</v>
      </c>
      <c r="C264" s="14"/>
      <c r="D264" s="5"/>
      <c r="E264" s="19"/>
      <c r="F264" s="5"/>
      <c r="G264" s="15">
        <v>88</v>
      </c>
      <c r="H264" s="15">
        <f t="shared" si="10"/>
        <v>0</v>
      </c>
    </row>
    <row r="265" spans="1:8" ht="15.75" x14ac:dyDescent="0.25">
      <c r="A265" s="38">
        <v>261</v>
      </c>
      <c r="B265" s="33" t="s">
        <v>279</v>
      </c>
      <c r="C265" s="14"/>
      <c r="D265" s="5"/>
      <c r="E265" s="19"/>
      <c r="F265" s="5"/>
      <c r="G265" s="15"/>
      <c r="H265" s="15">
        <f t="shared" si="10"/>
        <v>0</v>
      </c>
    </row>
    <row r="266" spans="1:8" ht="15.75" x14ac:dyDescent="0.25">
      <c r="A266" s="38">
        <v>262</v>
      </c>
      <c r="B266" s="33" t="s">
        <v>276</v>
      </c>
      <c r="C266" s="14"/>
      <c r="D266" s="5"/>
      <c r="E266" s="19"/>
      <c r="F266" s="5"/>
      <c r="G266" s="15"/>
      <c r="H266" s="15">
        <f t="shared" si="9"/>
        <v>0</v>
      </c>
    </row>
    <row r="267" spans="1:8" ht="15.75" x14ac:dyDescent="0.25">
      <c r="A267" s="38">
        <v>263</v>
      </c>
      <c r="B267" s="33" t="s">
        <v>275</v>
      </c>
      <c r="C267" s="14"/>
      <c r="D267" s="5"/>
      <c r="E267" s="19">
        <f>10.8+2.732</f>
        <v>13.532</v>
      </c>
      <c r="F267" s="5"/>
      <c r="G267" s="15">
        <v>145</v>
      </c>
      <c r="H267" s="15">
        <f t="shared" si="9"/>
        <v>1962.14</v>
      </c>
    </row>
    <row r="268" spans="1:8" ht="15.75" x14ac:dyDescent="0.25">
      <c r="A268" s="38">
        <v>264</v>
      </c>
      <c r="B268" s="33" t="s">
        <v>269</v>
      </c>
      <c r="C268" s="14"/>
      <c r="D268" s="5"/>
      <c r="E268" s="19"/>
      <c r="F268" s="5"/>
      <c r="G268" s="15"/>
      <c r="H268" s="15">
        <f t="shared" si="9"/>
        <v>0</v>
      </c>
    </row>
    <row r="269" spans="1:8" ht="15.75" x14ac:dyDescent="0.25">
      <c r="A269" s="38">
        <v>265</v>
      </c>
      <c r="B269" s="33" t="s">
        <v>395</v>
      </c>
      <c r="C269" s="14"/>
      <c r="D269" s="5"/>
      <c r="E269" s="19">
        <f>20.3+4.512</f>
        <v>24.812000000000001</v>
      </c>
      <c r="F269" s="5"/>
      <c r="G269" s="15">
        <v>125</v>
      </c>
      <c r="H269" s="15">
        <f t="shared" si="9"/>
        <v>3101.5</v>
      </c>
    </row>
    <row r="270" spans="1:8" ht="15.75" x14ac:dyDescent="0.25">
      <c r="A270" s="38">
        <v>266</v>
      </c>
      <c r="B270" s="33" t="s">
        <v>280</v>
      </c>
      <c r="C270" s="14"/>
      <c r="D270" s="5"/>
      <c r="E270" s="19"/>
      <c r="F270" s="5"/>
      <c r="G270" s="15"/>
      <c r="H270" s="15">
        <f t="shared" si="9"/>
        <v>0</v>
      </c>
    </row>
    <row r="271" spans="1:8" ht="15.75" x14ac:dyDescent="0.25">
      <c r="A271" s="38">
        <v>267</v>
      </c>
      <c r="B271" s="33" t="s">
        <v>263</v>
      </c>
      <c r="C271" s="14"/>
      <c r="D271" s="5"/>
      <c r="E271" s="19"/>
      <c r="F271" s="5"/>
      <c r="G271" s="15"/>
      <c r="H271" s="15">
        <f t="shared" si="9"/>
        <v>0</v>
      </c>
    </row>
    <row r="272" spans="1:8" ht="15.75" x14ac:dyDescent="0.25">
      <c r="A272" s="38">
        <v>268</v>
      </c>
      <c r="B272" s="33" t="s">
        <v>494</v>
      </c>
      <c r="C272" s="14"/>
      <c r="D272" s="5"/>
      <c r="E272" s="19">
        <f>59.9</f>
        <v>59.9</v>
      </c>
      <c r="F272" s="5"/>
      <c r="G272" s="15">
        <v>140</v>
      </c>
      <c r="H272" s="15">
        <f t="shared" si="9"/>
        <v>8386</v>
      </c>
    </row>
    <row r="273" spans="1:8" ht="15.75" x14ac:dyDescent="0.25">
      <c r="A273" s="38">
        <v>269</v>
      </c>
      <c r="B273" s="33" t="s">
        <v>220</v>
      </c>
      <c r="C273" s="14"/>
      <c r="D273" s="5"/>
      <c r="E273" s="19">
        <f>2+5+1.018+5</f>
        <v>13.018000000000001</v>
      </c>
      <c r="F273" s="5"/>
      <c r="G273" s="15">
        <v>180</v>
      </c>
      <c r="H273" s="15">
        <f t="shared" si="9"/>
        <v>2343.2400000000002</v>
      </c>
    </row>
    <row r="274" spans="1:8" ht="15.75" x14ac:dyDescent="0.25">
      <c r="A274" s="38">
        <v>270</v>
      </c>
      <c r="B274" s="33" t="s">
        <v>5</v>
      </c>
      <c r="C274" s="14"/>
      <c r="D274" s="5"/>
      <c r="E274" s="19"/>
      <c r="F274" s="5"/>
      <c r="G274" s="15"/>
      <c r="H274" s="15">
        <f t="shared" si="9"/>
        <v>0</v>
      </c>
    </row>
    <row r="275" spans="1:8" ht="15.75" x14ac:dyDescent="0.25">
      <c r="A275" s="38">
        <v>271</v>
      </c>
      <c r="B275" s="33" t="s">
        <v>281</v>
      </c>
      <c r="C275" s="14"/>
      <c r="D275" s="5"/>
      <c r="E275" s="19"/>
      <c r="F275" s="5"/>
      <c r="G275" s="15"/>
      <c r="H275" s="15">
        <f t="shared" si="9"/>
        <v>0</v>
      </c>
    </row>
    <row r="276" spans="1:8" ht="15.75" x14ac:dyDescent="0.25">
      <c r="A276" s="38">
        <v>272</v>
      </c>
      <c r="B276" s="33" t="s">
        <v>422</v>
      </c>
      <c r="C276" s="14"/>
      <c r="D276" s="5"/>
      <c r="E276" s="19">
        <f>6.3+0.49</f>
        <v>6.79</v>
      </c>
      <c r="F276" s="5"/>
      <c r="G276" s="15">
        <v>220</v>
      </c>
      <c r="H276" s="15">
        <f t="shared" si="9"/>
        <v>1493.8</v>
      </c>
    </row>
    <row r="277" spans="1:8" ht="15.75" x14ac:dyDescent="0.25">
      <c r="A277" s="38">
        <v>273</v>
      </c>
      <c r="B277" s="33" t="s">
        <v>341</v>
      </c>
      <c r="C277" s="14"/>
      <c r="D277" s="5"/>
      <c r="E277" s="19">
        <f>30</f>
        <v>30</v>
      </c>
      <c r="F277" s="5"/>
      <c r="G277" s="15">
        <v>140</v>
      </c>
      <c r="H277" s="15">
        <f t="shared" si="9"/>
        <v>4200</v>
      </c>
    </row>
    <row r="278" spans="1:8" ht="15.75" x14ac:dyDescent="0.25">
      <c r="A278" s="38">
        <v>274</v>
      </c>
      <c r="B278" s="33" t="s">
        <v>507</v>
      </c>
      <c r="C278" s="14"/>
      <c r="D278" s="5"/>
      <c r="E278" s="19">
        <f>10.16</f>
        <v>10.16</v>
      </c>
      <c r="F278" s="5"/>
      <c r="G278" s="15">
        <v>160</v>
      </c>
      <c r="H278" s="15">
        <f t="shared" si="9"/>
        <v>1625.6</v>
      </c>
    </row>
    <row r="279" spans="1:8" ht="15.75" x14ac:dyDescent="0.25">
      <c r="A279" s="38">
        <v>275</v>
      </c>
      <c r="B279" s="33" t="s">
        <v>365</v>
      </c>
      <c r="C279" s="14"/>
      <c r="D279" s="5"/>
      <c r="E279" s="19">
        <f>18.58+1.394</f>
        <v>19.973999999999997</v>
      </c>
      <c r="F279" s="5"/>
      <c r="G279" s="15">
        <v>125</v>
      </c>
      <c r="H279" s="15">
        <f t="shared" si="9"/>
        <v>2496.7499999999995</v>
      </c>
    </row>
    <row r="280" spans="1:8" ht="15.75" x14ac:dyDescent="0.25">
      <c r="A280" s="38">
        <v>276</v>
      </c>
      <c r="B280" s="33" t="s">
        <v>282</v>
      </c>
      <c r="C280" s="14"/>
      <c r="D280" s="5"/>
      <c r="E280" s="19">
        <f>4.88+1.164</f>
        <v>6.0439999999999996</v>
      </c>
      <c r="F280" s="5"/>
      <c r="G280" s="15">
        <v>78</v>
      </c>
      <c r="H280" s="15">
        <f t="shared" si="9"/>
        <v>471.43199999999996</v>
      </c>
    </row>
    <row r="281" spans="1:8" ht="15.75" x14ac:dyDescent="0.25">
      <c r="A281" s="38">
        <v>277</v>
      </c>
      <c r="B281" s="33" t="s">
        <v>283</v>
      </c>
      <c r="C281" s="14"/>
      <c r="D281" s="5"/>
      <c r="E281" s="19">
        <f>42+8.5</f>
        <v>50.5</v>
      </c>
      <c r="F281" s="5"/>
      <c r="G281" s="15">
        <v>115</v>
      </c>
      <c r="H281" s="15">
        <f t="shared" si="9"/>
        <v>5807.5</v>
      </c>
    </row>
    <row r="282" spans="1:8" ht="15.75" x14ac:dyDescent="0.25">
      <c r="A282" s="38">
        <v>278</v>
      </c>
      <c r="B282" s="33" t="s">
        <v>284</v>
      </c>
      <c r="C282" s="14"/>
      <c r="D282" s="5"/>
      <c r="E282" s="19">
        <f>1</f>
        <v>1</v>
      </c>
      <c r="F282" s="5"/>
      <c r="G282" s="15">
        <v>65</v>
      </c>
      <c r="H282" s="15">
        <f t="shared" ref="H282:H345" si="11">E282*G282</f>
        <v>65</v>
      </c>
    </row>
    <row r="283" spans="1:8" ht="15.75" x14ac:dyDescent="0.25">
      <c r="A283" s="38">
        <v>279</v>
      </c>
      <c r="B283" s="33" t="s">
        <v>209</v>
      </c>
      <c r="C283" s="14"/>
      <c r="D283" s="5"/>
      <c r="E283" s="19"/>
      <c r="F283" s="5"/>
      <c r="G283" s="15"/>
      <c r="H283" s="15">
        <f t="shared" si="11"/>
        <v>0</v>
      </c>
    </row>
    <row r="284" spans="1:8" ht="15.75" x14ac:dyDescent="0.25">
      <c r="A284" s="38">
        <v>280</v>
      </c>
      <c r="B284" s="33" t="s">
        <v>364</v>
      </c>
      <c r="C284" s="14"/>
      <c r="D284" s="5"/>
      <c r="E284" s="19">
        <f>55.5+13.3+45.9</f>
        <v>114.69999999999999</v>
      </c>
      <c r="F284" s="5"/>
      <c r="G284" s="15">
        <v>110</v>
      </c>
      <c r="H284" s="15">
        <f t="shared" si="11"/>
        <v>12616.999999999998</v>
      </c>
    </row>
    <row r="285" spans="1:8" ht="15.75" x14ac:dyDescent="0.25">
      <c r="A285" s="38">
        <v>281</v>
      </c>
      <c r="B285" s="33" t="s">
        <v>219</v>
      </c>
      <c r="C285" s="14"/>
      <c r="D285" s="5"/>
      <c r="E285" s="19">
        <f>21.1+0.268+9.3+5.29+3.69</f>
        <v>39.648000000000003</v>
      </c>
      <c r="F285" s="5"/>
      <c r="G285" s="15">
        <v>62</v>
      </c>
      <c r="H285" s="15">
        <f t="shared" si="11"/>
        <v>2458.1760000000004</v>
      </c>
    </row>
    <row r="286" spans="1:8" ht="15.75" x14ac:dyDescent="0.25">
      <c r="A286" s="38">
        <v>282</v>
      </c>
      <c r="B286" s="33" t="s">
        <v>414</v>
      </c>
      <c r="C286" s="14"/>
      <c r="D286" s="5"/>
      <c r="E286" s="19">
        <f>11.8</f>
        <v>11.8</v>
      </c>
      <c r="F286" s="5"/>
      <c r="G286" s="15">
        <v>442</v>
      </c>
      <c r="H286" s="15">
        <f t="shared" si="11"/>
        <v>5215.6000000000004</v>
      </c>
    </row>
    <row r="287" spans="1:8" ht="15.75" x14ac:dyDescent="0.25">
      <c r="A287" s="38">
        <v>283</v>
      </c>
      <c r="B287" s="33" t="s">
        <v>178</v>
      </c>
      <c r="C287" s="14"/>
      <c r="D287" s="5"/>
      <c r="E287" s="19"/>
      <c r="F287" s="5"/>
      <c r="G287" s="15">
        <v>204</v>
      </c>
      <c r="H287" s="15">
        <f t="shared" si="11"/>
        <v>0</v>
      </c>
    </row>
    <row r="288" spans="1:8" ht="15.75" x14ac:dyDescent="0.25">
      <c r="A288" s="38">
        <v>284</v>
      </c>
      <c r="B288" s="33" t="s">
        <v>285</v>
      </c>
      <c r="C288" s="14"/>
      <c r="D288" s="5"/>
      <c r="E288" s="19">
        <f>9.92-2.2</f>
        <v>7.72</v>
      </c>
      <c r="F288" s="5"/>
      <c r="G288" s="15">
        <v>185</v>
      </c>
      <c r="H288" s="15">
        <f t="shared" si="11"/>
        <v>1428.2</v>
      </c>
    </row>
    <row r="289" spans="1:8" ht="15.75" x14ac:dyDescent="0.25">
      <c r="A289" s="38">
        <v>285</v>
      </c>
      <c r="B289" s="33" t="s">
        <v>286</v>
      </c>
      <c r="C289" s="14"/>
      <c r="D289" s="5"/>
      <c r="E289" s="19">
        <f>86+23.3+3.8+3.5+11.8+1.64</f>
        <v>130.04</v>
      </c>
      <c r="F289" s="5"/>
      <c r="G289" s="15">
        <v>138</v>
      </c>
      <c r="H289" s="15">
        <f t="shared" si="11"/>
        <v>17945.52</v>
      </c>
    </row>
    <row r="290" spans="1:8" ht="15.75" x14ac:dyDescent="0.25">
      <c r="A290" s="38">
        <v>286</v>
      </c>
      <c r="B290" s="33" t="s">
        <v>287</v>
      </c>
      <c r="C290" s="14"/>
      <c r="D290" s="5"/>
      <c r="E290" s="19">
        <f>205.46+0.82</f>
        <v>206.28</v>
      </c>
      <c r="F290" s="5"/>
      <c r="G290" s="15">
        <v>120</v>
      </c>
      <c r="H290" s="15">
        <f t="shared" si="11"/>
        <v>24753.599999999999</v>
      </c>
    </row>
    <row r="291" spans="1:8" ht="15.75" x14ac:dyDescent="0.25">
      <c r="A291" s="38">
        <v>287</v>
      </c>
      <c r="B291" s="33" t="s">
        <v>228</v>
      </c>
      <c r="C291" s="14"/>
      <c r="D291" s="5"/>
      <c r="E291" s="19">
        <f>47.5+18.6+190.54+3.104+5.554</f>
        <v>265.29799999999994</v>
      </c>
      <c r="F291" s="5"/>
      <c r="G291" s="15">
        <v>106</v>
      </c>
      <c r="H291" s="15">
        <f t="shared" si="11"/>
        <v>28121.587999999992</v>
      </c>
    </row>
    <row r="292" spans="1:8" ht="15.75" x14ac:dyDescent="0.25">
      <c r="A292" s="38">
        <v>288</v>
      </c>
      <c r="B292" s="33" t="s">
        <v>267</v>
      </c>
      <c r="C292" s="14"/>
      <c r="D292" s="5"/>
      <c r="E292" s="19"/>
      <c r="F292" s="5"/>
      <c r="G292" s="15"/>
      <c r="H292" s="15">
        <f t="shared" si="11"/>
        <v>0</v>
      </c>
    </row>
    <row r="293" spans="1:8" ht="15.75" x14ac:dyDescent="0.25">
      <c r="A293" s="38">
        <v>289</v>
      </c>
      <c r="B293" s="33" t="s">
        <v>237</v>
      </c>
      <c r="C293" s="14"/>
      <c r="D293" s="5"/>
      <c r="E293" s="19">
        <f>10.1+12.6+12.64</f>
        <v>35.340000000000003</v>
      </c>
      <c r="F293" s="5"/>
      <c r="G293" s="15">
        <v>86</v>
      </c>
      <c r="H293" s="15">
        <f t="shared" si="11"/>
        <v>3039.2400000000002</v>
      </c>
    </row>
    <row r="294" spans="1:8" ht="15.75" x14ac:dyDescent="0.25">
      <c r="A294" s="38">
        <v>290</v>
      </c>
      <c r="B294" s="33" t="s">
        <v>288</v>
      </c>
      <c r="C294" s="14"/>
      <c r="D294" s="5"/>
      <c r="E294" s="19"/>
      <c r="F294" s="5"/>
      <c r="G294" s="15"/>
      <c r="H294" s="15">
        <f t="shared" si="11"/>
        <v>0</v>
      </c>
    </row>
    <row r="295" spans="1:8" ht="15.75" x14ac:dyDescent="0.25">
      <c r="A295" s="38">
        <v>291</v>
      </c>
      <c r="B295" s="33" t="s">
        <v>235</v>
      </c>
      <c r="C295" s="14"/>
      <c r="D295" s="5"/>
      <c r="E295" s="19">
        <f>6.92-3.9</f>
        <v>3.02</v>
      </c>
      <c r="F295" s="5"/>
      <c r="G295" s="15">
        <v>173</v>
      </c>
      <c r="H295" s="15">
        <f t="shared" si="11"/>
        <v>522.46</v>
      </c>
    </row>
    <row r="296" spans="1:8" ht="15.75" x14ac:dyDescent="0.25">
      <c r="A296" s="38">
        <v>292</v>
      </c>
      <c r="B296" s="33" t="s">
        <v>289</v>
      </c>
      <c r="C296" s="14"/>
      <c r="D296" s="5"/>
      <c r="E296" s="19">
        <f>20.5+6.06</f>
        <v>26.56</v>
      </c>
      <c r="F296" s="5"/>
      <c r="G296" s="15">
        <v>86</v>
      </c>
      <c r="H296" s="15">
        <f t="shared" si="11"/>
        <v>2284.16</v>
      </c>
    </row>
    <row r="297" spans="1:8" ht="15.75" x14ac:dyDescent="0.25">
      <c r="A297" s="38">
        <v>293</v>
      </c>
      <c r="B297" s="33" t="s">
        <v>234</v>
      </c>
      <c r="C297" s="14"/>
      <c r="D297" s="5"/>
      <c r="E297" s="19">
        <f>14.8+43.1+14.5+8.02-3.9</f>
        <v>76.52</v>
      </c>
      <c r="F297" s="5"/>
      <c r="G297" s="15">
        <v>173</v>
      </c>
      <c r="H297" s="15">
        <f t="shared" si="11"/>
        <v>13237.96</v>
      </c>
    </row>
    <row r="298" spans="1:8" ht="15.75" x14ac:dyDescent="0.25">
      <c r="A298" s="38">
        <v>294</v>
      </c>
      <c r="B298" s="33" t="s">
        <v>255</v>
      </c>
      <c r="C298" s="14"/>
      <c r="D298" s="5"/>
      <c r="E298" s="19"/>
      <c r="F298" s="5"/>
      <c r="G298" s="15"/>
      <c r="H298" s="15">
        <f t="shared" si="11"/>
        <v>0</v>
      </c>
    </row>
    <row r="299" spans="1:8" ht="15.75" x14ac:dyDescent="0.25">
      <c r="A299" s="38">
        <v>295</v>
      </c>
      <c r="B299" s="33" t="s">
        <v>363</v>
      </c>
      <c r="C299" s="14"/>
      <c r="D299" s="5"/>
      <c r="E299" s="19">
        <f>53.8+14</f>
        <v>67.8</v>
      </c>
      <c r="F299" s="5"/>
      <c r="G299" s="15">
        <v>86</v>
      </c>
      <c r="H299" s="15">
        <f t="shared" si="11"/>
        <v>5830.8</v>
      </c>
    </row>
    <row r="300" spans="1:8" ht="15.75" x14ac:dyDescent="0.25">
      <c r="A300" s="38">
        <v>296</v>
      </c>
      <c r="B300" s="33" t="s">
        <v>288</v>
      </c>
      <c r="C300" s="14"/>
      <c r="D300" s="5"/>
      <c r="E300" s="19">
        <f>14.8+7+10.66</f>
        <v>32.46</v>
      </c>
      <c r="F300" s="5"/>
      <c r="G300" s="15">
        <v>86</v>
      </c>
      <c r="H300" s="15">
        <f t="shared" si="11"/>
        <v>2791.56</v>
      </c>
    </row>
    <row r="301" spans="1:8" ht="15.75" x14ac:dyDescent="0.25">
      <c r="A301" s="38">
        <v>297</v>
      </c>
      <c r="B301" s="33" t="s">
        <v>228</v>
      </c>
      <c r="C301" s="14"/>
      <c r="D301" s="5"/>
      <c r="E301" s="19"/>
      <c r="F301" s="5"/>
      <c r="G301" s="15"/>
      <c r="H301" s="15">
        <f t="shared" si="11"/>
        <v>0</v>
      </c>
    </row>
    <row r="302" spans="1:8" ht="15.75" x14ac:dyDescent="0.25">
      <c r="A302" s="38">
        <v>298</v>
      </c>
      <c r="B302" s="33" t="s">
        <v>180</v>
      </c>
      <c r="C302" s="14"/>
      <c r="D302" s="5"/>
      <c r="E302" s="19">
        <f>4.8</f>
        <v>4.8</v>
      </c>
      <c r="F302" s="5"/>
      <c r="G302" s="15">
        <v>350</v>
      </c>
      <c r="H302" s="15">
        <f t="shared" si="11"/>
        <v>1680</v>
      </c>
    </row>
    <row r="303" spans="1:8" ht="15.75" x14ac:dyDescent="0.25">
      <c r="A303" s="38">
        <v>299</v>
      </c>
      <c r="B303" s="33" t="s">
        <v>376</v>
      </c>
      <c r="C303" s="14"/>
      <c r="D303" s="5"/>
      <c r="E303" s="19"/>
      <c r="F303" s="5"/>
      <c r="G303" s="15">
        <v>435</v>
      </c>
      <c r="H303" s="15">
        <f t="shared" si="11"/>
        <v>0</v>
      </c>
    </row>
    <row r="304" spans="1:8" ht="15.75" x14ac:dyDescent="0.25">
      <c r="A304" s="38">
        <v>300</v>
      </c>
      <c r="B304" s="33" t="s">
        <v>172</v>
      </c>
      <c r="C304" s="14"/>
      <c r="D304" s="5"/>
      <c r="E304" s="19"/>
      <c r="F304" s="5"/>
      <c r="G304" s="15">
        <v>204</v>
      </c>
      <c r="H304" s="15">
        <f t="shared" si="11"/>
        <v>0</v>
      </c>
    </row>
    <row r="305" spans="1:8" ht="15.75" x14ac:dyDescent="0.25">
      <c r="A305" s="38">
        <v>301</v>
      </c>
      <c r="B305" s="33" t="s">
        <v>290</v>
      </c>
      <c r="C305" s="14"/>
      <c r="D305" s="5"/>
      <c r="E305" s="19"/>
      <c r="F305" s="5"/>
      <c r="G305" s="15">
        <v>442</v>
      </c>
      <c r="H305" s="15">
        <f t="shared" si="11"/>
        <v>0</v>
      </c>
    </row>
    <row r="306" spans="1:8" ht="15.75" x14ac:dyDescent="0.25">
      <c r="A306" s="38">
        <v>302</v>
      </c>
      <c r="B306" s="33" t="s">
        <v>291</v>
      </c>
      <c r="C306" s="14"/>
      <c r="D306" s="5"/>
      <c r="E306" s="19"/>
      <c r="F306" s="5"/>
      <c r="G306" s="15"/>
      <c r="H306" s="15">
        <f t="shared" si="11"/>
        <v>0</v>
      </c>
    </row>
    <row r="307" spans="1:8" ht="15.75" x14ac:dyDescent="0.25">
      <c r="A307" s="38">
        <v>303</v>
      </c>
      <c r="B307" s="33" t="s">
        <v>292</v>
      </c>
      <c r="C307" s="14"/>
      <c r="D307" s="5"/>
      <c r="E307" s="19"/>
      <c r="F307" s="5"/>
      <c r="G307" s="15"/>
      <c r="H307" s="15">
        <f t="shared" si="11"/>
        <v>0</v>
      </c>
    </row>
    <row r="308" spans="1:8" ht="15.75" x14ac:dyDescent="0.25">
      <c r="A308" s="38">
        <v>304</v>
      </c>
      <c r="B308" s="33" t="s">
        <v>293</v>
      </c>
      <c r="C308" s="14"/>
      <c r="D308" s="5"/>
      <c r="E308" s="19">
        <f>15.08-2.2</f>
        <v>12.879999999999999</v>
      </c>
      <c r="F308" s="5"/>
      <c r="G308" s="15">
        <v>198</v>
      </c>
      <c r="H308" s="15">
        <f t="shared" si="11"/>
        <v>2550.2399999999998</v>
      </c>
    </row>
    <row r="309" spans="1:8" ht="15.75" x14ac:dyDescent="0.25">
      <c r="A309" s="38">
        <v>305</v>
      </c>
      <c r="B309" s="33" t="s">
        <v>294</v>
      </c>
      <c r="C309" s="14"/>
      <c r="D309" s="5"/>
      <c r="E309" s="19">
        <f>400.81+36+91.3+16.8+1.5+19.3</f>
        <v>565.70999999999992</v>
      </c>
      <c r="F309" s="5"/>
      <c r="G309" s="15">
        <v>135</v>
      </c>
      <c r="H309" s="15">
        <f t="shared" si="11"/>
        <v>76370.849999999991</v>
      </c>
    </row>
    <row r="310" spans="1:8" ht="15.75" x14ac:dyDescent="0.25">
      <c r="A310" s="38">
        <v>306</v>
      </c>
      <c r="B310" s="33" t="s">
        <v>295</v>
      </c>
      <c r="C310" s="14"/>
      <c r="D310" s="5"/>
      <c r="E310" s="19"/>
      <c r="F310" s="5"/>
      <c r="G310" s="15">
        <v>184</v>
      </c>
      <c r="H310" s="15">
        <f t="shared" si="11"/>
        <v>0</v>
      </c>
    </row>
    <row r="311" spans="1:8" ht="15.75" x14ac:dyDescent="0.25">
      <c r="A311" s="38">
        <v>307</v>
      </c>
      <c r="B311" s="33" t="s">
        <v>296</v>
      </c>
      <c r="C311" s="14"/>
      <c r="D311" s="5"/>
      <c r="E311" s="19">
        <f>677.3+157.6+152.1+162.5+75.2</f>
        <v>1224.7</v>
      </c>
      <c r="F311" s="5"/>
      <c r="G311" s="15">
        <v>350</v>
      </c>
      <c r="H311" s="15">
        <f t="shared" si="11"/>
        <v>428645</v>
      </c>
    </row>
    <row r="312" spans="1:8" ht="15.75" x14ac:dyDescent="0.25">
      <c r="A312" s="38">
        <v>308</v>
      </c>
      <c r="B312" s="33" t="s">
        <v>277</v>
      </c>
      <c r="C312" s="14"/>
      <c r="D312" s="5"/>
      <c r="E312" s="19">
        <f>109.3+2.06</f>
        <v>111.36</v>
      </c>
      <c r="F312" s="5"/>
      <c r="G312" s="15">
        <v>135</v>
      </c>
      <c r="H312" s="15">
        <f t="shared" si="11"/>
        <v>15033.6</v>
      </c>
    </row>
    <row r="313" spans="1:8" ht="15.75" x14ac:dyDescent="0.25">
      <c r="A313" s="38">
        <v>309</v>
      </c>
      <c r="B313" s="33" t="s">
        <v>297</v>
      </c>
      <c r="C313" s="14"/>
      <c r="D313" s="5"/>
      <c r="E313" s="19">
        <f>1.12</f>
        <v>1.1200000000000001</v>
      </c>
      <c r="F313" s="5"/>
      <c r="G313" s="15">
        <v>156</v>
      </c>
      <c r="H313" s="15">
        <f t="shared" si="11"/>
        <v>174.72000000000003</v>
      </c>
    </row>
    <row r="314" spans="1:8" ht="15.75" x14ac:dyDescent="0.25">
      <c r="A314" s="38">
        <v>310</v>
      </c>
      <c r="B314" s="33" t="s">
        <v>180</v>
      </c>
      <c r="C314" s="14"/>
      <c r="D314" s="5"/>
      <c r="E314" s="19"/>
      <c r="F314" s="5"/>
      <c r="G314" s="15"/>
      <c r="H314" s="15">
        <f t="shared" si="11"/>
        <v>0</v>
      </c>
    </row>
    <row r="315" spans="1:8" ht="15.75" x14ac:dyDescent="0.25">
      <c r="A315" s="38">
        <v>311</v>
      </c>
      <c r="B315" s="33" t="s">
        <v>375</v>
      </c>
      <c r="C315" s="14"/>
      <c r="D315" s="5"/>
      <c r="E315" s="19">
        <f>139.4+227.5</f>
        <v>366.9</v>
      </c>
      <c r="F315" s="5"/>
      <c r="G315" s="15">
        <v>204</v>
      </c>
      <c r="H315" s="15">
        <f t="shared" si="11"/>
        <v>74847.599999999991</v>
      </c>
    </row>
    <row r="316" spans="1:8" ht="15.75" x14ac:dyDescent="0.25">
      <c r="A316" s="38">
        <v>312</v>
      </c>
      <c r="B316" s="33" t="s">
        <v>298</v>
      </c>
      <c r="C316" s="14"/>
      <c r="D316" s="5"/>
      <c r="E316" s="19"/>
      <c r="F316" s="5"/>
      <c r="G316" s="15"/>
      <c r="H316" s="15">
        <f t="shared" si="11"/>
        <v>0</v>
      </c>
    </row>
    <row r="317" spans="1:8" ht="15.75" x14ac:dyDescent="0.25">
      <c r="A317" s="38">
        <v>313</v>
      </c>
      <c r="B317" s="33" t="s">
        <v>425</v>
      </c>
      <c r="C317" s="14"/>
      <c r="D317" s="5"/>
      <c r="E317" s="19"/>
      <c r="F317" s="5"/>
      <c r="G317" s="15">
        <v>580</v>
      </c>
      <c r="H317" s="15">
        <f t="shared" si="11"/>
        <v>0</v>
      </c>
    </row>
    <row r="318" spans="1:8" ht="15.75" x14ac:dyDescent="0.25">
      <c r="A318" s="38">
        <v>314</v>
      </c>
      <c r="B318" s="33" t="s">
        <v>489</v>
      </c>
      <c r="C318" s="14"/>
      <c r="D318" s="5"/>
      <c r="E318" s="19">
        <f>300.4+233.1+10.8+110.5</f>
        <v>654.79999999999995</v>
      </c>
      <c r="F318" s="5"/>
      <c r="G318" s="15">
        <v>204</v>
      </c>
      <c r="H318" s="15">
        <f t="shared" si="11"/>
        <v>133579.19999999998</v>
      </c>
    </row>
    <row r="319" spans="1:8" ht="15.75" x14ac:dyDescent="0.25">
      <c r="A319" s="38">
        <v>315</v>
      </c>
      <c r="B319" s="33" t="s">
        <v>423</v>
      </c>
      <c r="C319" s="14"/>
      <c r="D319" s="5"/>
      <c r="E319" s="19"/>
      <c r="F319" s="5"/>
      <c r="G319" s="15">
        <v>900</v>
      </c>
      <c r="H319" s="15">
        <f t="shared" si="11"/>
        <v>0</v>
      </c>
    </row>
    <row r="320" spans="1:8" ht="15.75" x14ac:dyDescent="0.25">
      <c r="A320" s="38">
        <v>316</v>
      </c>
      <c r="B320" s="33" t="s">
        <v>300</v>
      </c>
      <c r="C320" s="14"/>
      <c r="D320" s="5"/>
      <c r="E320" s="19"/>
      <c r="F320" s="5"/>
      <c r="G320" s="15">
        <v>204</v>
      </c>
      <c r="H320" s="15">
        <f t="shared" si="11"/>
        <v>0</v>
      </c>
    </row>
    <row r="321" spans="1:8" ht="15.75" x14ac:dyDescent="0.25">
      <c r="A321" s="38">
        <v>317</v>
      </c>
      <c r="B321" s="33" t="s">
        <v>290</v>
      </c>
      <c r="C321" s="14"/>
      <c r="D321" s="5"/>
      <c r="E321" s="19"/>
      <c r="F321" s="5"/>
      <c r="G321" s="15"/>
      <c r="H321" s="15">
        <f t="shared" si="11"/>
        <v>0</v>
      </c>
    </row>
    <row r="322" spans="1:8" ht="15.75" x14ac:dyDescent="0.25">
      <c r="A322" s="38">
        <v>318</v>
      </c>
      <c r="B322" s="33" t="s">
        <v>301</v>
      </c>
      <c r="C322" s="14"/>
      <c r="D322" s="5"/>
      <c r="E322" s="19">
        <f>231.7+39.1-2.3</f>
        <v>268.5</v>
      </c>
      <c r="F322" s="5"/>
      <c r="G322" s="15">
        <v>204</v>
      </c>
      <c r="H322" s="15">
        <f t="shared" si="11"/>
        <v>54774</v>
      </c>
    </row>
    <row r="323" spans="1:8" ht="15.75" x14ac:dyDescent="0.25">
      <c r="A323" s="38">
        <v>319</v>
      </c>
      <c r="B323" s="33" t="s">
        <v>466</v>
      </c>
      <c r="C323" s="14"/>
      <c r="D323" s="5"/>
      <c r="E323" s="19">
        <f>3.62+5+26.6</f>
        <v>35.22</v>
      </c>
      <c r="F323" s="5"/>
      <c r="G323" s="15">
        <v>660</v>
      </c>
      <c r="H323" s="15">
        <f t="shared" si="11"/>
        <v>23245.200000000001</v>
      </c>
    </row>
    <row r="324" spans="1:8" ht="15.75" x14ac:dyDescent="0.25">
      <c r="A324" s="38">
        <v>320</v>
      </c>
      <c r="B324" s="33" t="s">
        <v>303</v>
      </c>
      <c r="C324" s="14"/>
      <c r="D324" s="5"/>
      <c r="E324" s="19"/>
      <c r="F324" s="5"/>
      <c r="G324" s="15"/>
      <c r="H324" s="15">
        <f t="shared" si="11"/>
        <v>0</v>
      </c>
    </row>
    <row r="325" spans="1:8" ht="15.75" x14ac:dyDescent="0.25">
      <c r="A325" s="38">
        <v>321</v>
      </c>
      <c r="B325" s="33" t="s">
        <v>304</v>
      </c>
      <c r="C325" s="14"/>
      <c r="D325" s="5"/>
      <c r="E325" s="19"/>
      <c r="F325" s="5"/>
      <c r="G325" s="15"/>
      <c r="H325" s="15">
        <f t="shared" si="11"/>
        <v>0</v>
      </c>
    </row>
    <row r="326" spans="1:8" ht="15.75" x14ac:dyDescent="0.25">
      <c r="A326" s="38">
        <v>322</v>
      </c>
      <c r="B326" s="33" t="s">
        <v>468</v>
      </c>
      <c r="C326" s="14"/>
      <c r="D326" s="5"/>
      <c r="E326" s="19"/>
      <c r="F326" s="5"/>
      <c r="G326" s="15"/>
      <c r="H326" s="15">
        <f t="shared" si="11"/>
        <v>0</v>
      </c>
    </row>
    <row r="327" spans="1:8" ht="15.75" x14ac:dyDescent="0.25">
      <c r="A327" s="38">
        <v>323</v>
      </c>
      <c r="B327" s="33" t="s">
        <v>306</v>
      </c>
      <c r="C327" s="14"/>
      <c r="D327" s="5"/>
      <c r="E327" s="19">
        <f>1.74</f>
        <v>1.74</v>
      </c>
      <c r="F327" s="5"/>
      <c r="G327" s="15">
        <v>980</v>
      </c>
      <c r="H327" s="15">
        <f t="shared" si="11"/>
        <v>1705.2</v>
      </c>
    </row>
    <row r="328" spans="1:8" ht="15.75" x14ac:dyDescent="0.25">
      <c r="A328" s="38">
        <v>324</v>
      </c>
      <c r="B328" s="33" t="s">
        <v>493</v>
      </c>
      <c r="C328" s="14"/>
      <c r="D328" s="5"/>
      <c r="E328" s="19">
        <f>3.565+2.4</f>
        <v>5.9649999999999999</v>
      </c>
      <c r="F328" s="5"/>
      <c r="G328" s="15">
        <v>850</v>
      </c>
      <c r="H328" s="15">
        <f t="shared" si="11"/>
        <v>5070.25</v>
      </c>
    </row>
    <row r="329" spans="1:8" ht="15.75" x14ac:dyDescent="0.25">
      <c r="A329" s="38">
        <v>325</v>
      </c>
      <c r="B329" s="33" t="s">
        <v>488</v>
      </c>
      <c r="C329" s="14"/>
      <c r="D329" s="5"/>
      <c r="E329" s="19">
        <f>38.9+21.8</f>
        <v>60.7</v>
      </c>
      <c r="F329" s="5"/>
      <c r="G329" s="15">
        <v>204</v>
      </c>
      <c r="H329" s="15">
        <f t="shared" si="11"/>
        <v>12382.800000000001</v>
      </c>
    </row>
    <row r="330" spans="1:8" ht="15.75" x14ac:dyDescent="0.25">
      <c r="A330" s="38">
        <v>326</v>
      </c>
      <c r="B330" s="33" t="s">
        <v>504</v>
      </c>
      <c r="C330" s="14"/>
      <c r="D330" s="5"/>
      <c r="E330" s="19">
        <f>5.3+67.7+27.08-2.2</f>
        <v>97.88</v>
      </c>
      <c r="F330" s="5"/>
      <c r="G330" s="15">
        <v>204</v>
      </c>
      <c r="H330" s="15">
        <f t="shared" si="11"/>
        <v>19967.52</v>
      </c>
    </row>
    <row r="331" spans="1:8" ht="15.75" x14ac:dyDescent="0.25">
      <c r="A331" s="38">
        <v>327</v>
      </c>
      <c r="B331" s="33" t="s">
        <v>308</v>
      </c>
      <c r="C331" s="14"/>
      <c r="D331" s="5"/>
      <c r="E331" s="19">
        <f>3.6</f>
        <v>3.6</v>
      </c>
      <c r="F331" s="5"/>
      <c r="G331" s="15">
        <v>430</v>
      </c>
      <c r="H331" s="15">
        <f t="shared" si="11"/>
        <v>1548</v>
      </c>
    </row>
    <row r="332" spans="1:8" ht="15.75" x14ac:dyDescent="0.25">
      <c r="A332" s="38">
        <v>328</v>
      </c>
      <c r="B332" s="33" t="s">
        <v>492</v>
      </c>
      <c r="C332" s="14"/>
      <c r="D332" s="5"/>
      <c r="E332" s="19">
        <f>18.1</f>
        <v>18.100000000000001</v>
      </c>
      <c r="F332" s="5"/>
      <c r="G332" s="15">
        <v>175</v>
      </c>
      <c r="H332" s="15">
        <f t="shared" si="11"/>
        <v>3167.5000000000005</v>
      </c>
    </row>
    <row r="333" spans="1:8" ht="15.75" x14ac:dyDescent="0.25">
      <c r="A333" s="38">
        <v>329</v>
      </c>
      <c r="B333" s="33" t="s">
        <v>309</v>
      </c>
      <c r="C333" s="14"/>
      <c r="D333" s="5"/>
      <c r="E333" s="19"/>
      <c r="F333" s="5"/>
      <c r="G333" s="15"/>
      <c r="H333" s="15">
        <f t="shared" si="11"/>
        <v>0</v>
      </c>
    </row>
    <row r="334" spans="1:8" ht="15.75" x14ac:dyDescent="0.25">
      <c r="A334" s="38">
        <v>330</v>
      </c>
      <c r="B334" s="33" t="s">
        <v>187</v>
      </c>
      <c r="C334" s="14"/>
      <c r="D334" s="5"/>
      <c r="E334" s="19"/>
      <c r="F334" s="5"/>
      <c r="G334" s="15"/>
      <c r="H334" s="15">
        <f t="shared" si="11"/>
        <v>0</v>
      </c>
    </row>
    <row r="335" spans="1:8" ht="15.75" x14ac:dyDescent="0.25">
      <c r="A335" s="38">
        <v>331</v>
      </c>
      <c r="B335" s="33" t="s">
        <v>310</v>
      </c>
      <c r="C335" s="14"/>
      <c r="D335" s="5"/>
      <c r="E335" s="19"/>
      <c r="F335" s="5"/>
      <c r="G335" s="15"/>
      <c r="H335" s="15">
        <f t="shared" si="11"/>
        <v>0</v>
      </c>
    </row>
    <row r="336" spans="1:8" ht="15.75" x14ac:dyDescent="0.25">
      <c r="A336" s="38">
        <v>332</v>
      </c>
      <c r="B336" s="33" t="s">
        <v>316</v>
      </c>
      <c r="C336" s="14"/>
      <c r="D336" s="5"/>
      <c r="E336" s="19">
        <f>13+1</f>
        <v>14</v>
      </c>
      <c r="F336" s="5"/>
      <c r="G336" s="15">
        <v>30</v>
      </c>
      <c r="H336" s="15">
        <f t="shared" si="11"/>
        <v>420</v>
      </c>
    </row>
    <row r="337" spans="1:8" ht="15.75" x14ac:dyDescent="0.25">
      <c r="A337" s="38">
        <v>333</v>
      </c>
      <c r="B337" s="33" t="s">
        <v>317</v>
      </c>
      <c r="C337" s="14"/>
      <c r="D337" s="5"/>
      <c r="E337" s="19">
        <f>8+6</f>
        <v>14</v>
      </c>
      <c r="F337" s="5"/>
      <c r="G337" s="15">
        <v>23</v>
      </c>
      <c r="H337" s="15">
        <f t="shared" si="11"/>
        <v>322</v>
      </c>
    </row>
    <row r="338" spans="1:8" ht="15.75" x14ac:dyDescent="0.25">
      <c r="A338" s="38">
        <v>334</v>
      </c>
      <c r="B338" s="33" t="s">
        <v>318</v>
      </c>
      <c r="C338" s="14"/>
      <c r="D338" s="5"/>
      <c r="E338" s="19">
        <f>20</f>
        <v>20</v>
      </c>
      <c r="F338" s="5"/>
      <c r="G338" s="15">
        <v>18</v>
      </c>
      <c r="H338" s="15">
        <f t="shared" si="11"/>
        <v>360</v>
      </c>
    </row>
    <row r="339" spans="1:8" ht="15.75" x14ac:dyDescent="0.25">
      <c r="A339" s="38">
        <v>335</v>
      </c>
      <c r="B339" s="33" t="s">
        <v>186</v>
      </c>
      <c r="C339" s="14"/>
      <c r="D339" s="5"/>
      <c r="E339" s="19"/>
      <c r="F339" s="5"/>
      <c r="G339" s="15"/>
      <c r="H339" s="15">
        <f t="shared" si="11"/>
        <v>0</v>
      </c>
    </row>
    <row r="340" spans="1:8" ht="15.75" x14ac:dyDescent="0.25">
      <c r="A340" s="38">
        <v>336</v>
      </c>
      <c r="B340" s="33" t="s">
        <v>319</v>
      </c>
      <c r="C340" s="14"/>
      <c r="D340" s="5"/>
      <c r="E340" s="19"/>
      <c r="F340" s="5"/>
      <c r="G340" s="15"/>
      <c r="H340" s="15">
        <f t="shared" si="11"/>
        <v>0</v>
      </c>
    </row>
    <row r="341" spans="1:8" ht="15.75" x14ac:dyDescent="0.25">
      <c r="A341" s="38">
        <v>337</v>
      </c>
      <c r="B341" s="33" t="s">
        <v>320</v>
      </c>
      <c r="C341" s="14"/>
      <c r="D341" s="5"/>
      <c r="E341" s="19"/>
      <c r="F341" s="5"/>
      <c r="G341" s="15"/>
      <c r="H341" s="15">
        <f t="shared" si="11"/>
        <v>0</v>
      </c>
    </row>
    <row r="342" spans="1:8" ht="15.75" x14ac:dyDescent="0.25">
      <c r="A342" s="38">
        <v>338</v>
      </c>
      <c r="B342" s="33" t="s">
        <v>321</v>
      </c>
      <c r="C342" s="14"/>
      <c r="D342" s="5"/>
      <c r="E342" s="19"/>
      <c r="F342" s="5"/>
      <c r="G342" s="15"/>
      <c r="H342" s="15">
        <f t="shared" si="11"/>
        <v>0</v>
      </c>
    </row>
    <row r="343" spans="1:8" ht="15.75" x14ac:dyDescent="0.25">
      <c r="A343" s="38">
        <v>339</v>
      </c>
      <c r="B343" s="33" t="s">
        <v>322</v>
      </c>
      <c r="C343" s="14"/>
      <c r="D343" s="5"/>
      <c r="E343" s="19"/>
      <c r="F343" s="5"/>
      <c r="G343" s="15"/>
      <c r="H343" s="15">
        <f t="shared" si="11"/>
        <v>0</v>
      </c>
    </row>
    <row r="344" spans="1:8" ht="15.75" x14ac:dyDescent="0.25">
      <c r="A344" s="38">
        <v>340</v>
      </c>
      <c r="B344" s="33" t="s">
        <v>505</v>
      </c>
      <c r="C344" s="14"/>
      <c r="D344" s="5"/>
      <c r="E344" s="19">
        <f>3+1</f>
        <v>4</v>
      </c>
      <c r="F344" s="5"/>
      <c r="G344" s="15">
        <v>77</v>
      </c>
      <c r="H344" s="15">
        <f t="shared" si="11"/>
        <v>308</v>
      </c>
    </row>
    <row r="345" spans="1:8" ht="15.75" x14ac:dyDescent="0.25">
      <c r="A345" s="38">
        <v>341</v>
      </c>
      <c r="B345" s="33" t="s">
        <v>324</v>
      </c>
      <c r="C345" s="14"/>
      <c r="D345" s="5"/>
      <c r="E345" s="19">
        <v>36</v>
      </c>
      <c r="F345" s="5"/>
      <c r="G345" s="15"/>
      <c r="H345" s="15">
        <f t="shared" si="11"/>
        <v>0</v>
      </c>
    </row>
    <row r="346" spans="1:8" ht="15.75" x14ac:dyDescent="0.25">
      <c r="A346" s="38">
        <v>342</v>
      </c>
      <c r="B346" s="33" t="s">
        <v>325</v>
      </c>
      <c r="C346" s="14"/>
      <c r="D346" s="5"/>
      <c r="E346" s="19">
        <f>107+4</f>
        <v>111</v>
      </c>
      <c r="F346" s="5"/>
      <c r="G346" s="15">
        <v>28</v>
      </c>
      <c r="H346" s="15">
        <f t="shared" ref="H346:H409" si="12">E346*G346</f>
        <v>3108</v>
      </c>
    </row>
    <row r="347" spans="1:8" ht="15.75" x14ac:dyDescent="0.25">
      <c r="A347" s="38">
        <v>343</v>
      </c>
      <c r="B347" s="33" t="s">
        <v>326</v>
      </c>
      <c r="C347" s="14"/>
      <c r="D347" s="5"/>
      <c r="E347" s="19"/>
      <c r="F347" s="5"/>
      <c r="G347" s="15"/>
      <c r="H347" s="15">
        <f t="shared" si="12"/>
        <v>0</v>
      </c>
    </row>
    <row r="348" spans="1:8" ht="15.75" x14ac:dyDescent="0.25">
      <c r="A348" s="38">
        <v>344</v>
      </c>
      <c r="B348" s="33" t="s">
        <v>404</v>
      </c>
      <c r="C348" s="14"/>
      <c r="D348" s="5"/>
      <c r="E348" s="19"/>
      <c r="F348" s="5"/>
      <c r="G348" s="15">
        <v>88</v>
      </c>
      <c r="H348" s="15">
        <f t="shared" si="12"/>
        <v>0</v>
      </c>
    </row>
    <row r="349" spans="1:8" ht="15.75" x14ac:dyDescent="0.25">
      <c r="A349" s="38">
        <v>345</v>
      </c>
      <c r="B349" s="33" t="s">
        <v>372</v>
      </c>
      <c r="C349" s="14"/>
      <c r="D349" s="5"/>
      <c r="E349" s="19">
        <v>1</v>
      </c>
      <c r="F349" s="5"/>
      <c r="G349" s="15">
        <v>98</v>
      </c>
      <c r="H349" s="15">
        <f t="shared" si="12"/>
        <v>98</v>
      </c>
    </row>
    <row r="350" spans="1:8" ht="15.75" x14ac:dyDescent="0.25">
      <c r="A350" s="38">
        <v>346</v>
      </c>
      <c r="B350" s="33" t="s">
        <v>373</v>
      </c>
      <c r="C350" s="14"/>
      <c r="D350" s="5"/>
      <c r="E350" s="19"/>
      <c r="F350" s="5"/>
      <c r="G350" s="15">
        <v>98</v>
      </c>
      <c r="H350" s="15">
        <f t="shared" si="12"/>
        <v>0</v>
      </c>
    </row>
    <row r="351" spans="1:8" ht="15.75" x14ac:dyDescent="0.25">
      <c r="A351" s="38">
        <v>347</v>
      </c>
      <c r="B351" s="33" t="s">
        <v>409</v>
      </c>
      <c r="C351" s="14"/>
      <c r="D351" s="5"/>
      <c r="E351" s="19">
        <v>1</v>
      </c>
      <c r="F351" s="5"/>
      <c r="G351" s="15">
        <v>95</v>
      </c>
      <c r="H351" s="15">
        <f t="shared" si="12"/>
        <v>95</v>
      </c>
    </row>
    <row r="352" spans="1:8" ht="15.75" x14ac:dyDescent="0.25">
      <c r="A352" s="38">
        <v>348</v>
      </c>
      <c r="B352" s="33" t="s">
        <v>406</v>
      </c>
      <c r="C352" s="14"/>
      <c r="D352" s="5"/>
      <c r="E352" s="19">
        <v>1</v>
      </c>
      <c r="F352" s="5"/>
      <c r="G352" s="15">
        <v>60</v>
      </c>
      <c r="H352" s="15">
        <f t="shared" si="12"/>
        <v>60</v>
      </c>
    </row>
    <row r="353" spans="1:8" ht="15.75" x14ac:dyDescent="0.25">
      <c r="A353" s="38">
        <v>349</v>
      </c>
      <c r="B353" s="33" t="s">
        <v>361</v>
      </c>
      <c r="C353" s="14"/>
      <c r="D353" s="5"/>
      <c r="E353" s="19"/>
      <c r="F353" s="5"/>
      <c r="G353" s="15"/>
      <c r="H353" s="15">
        <f t="shared" si="12"/>
        <v>0</v>
      </c>
    </row>
    <row r="354" spans="1:8" ht="15.75" x14ac:dyDescent="0.25">
      <c r="A354" s="38">
        <v>350</v>
      </c>
      <c r="B354" s="33" t="s">
        <v>403</v>
      </c>
      <c r="C354" s="14"/>
      <c r="D354" s="5"/>
      <c r="E354" s="19"/>
      <c r="F354" s="5"/>
      <c r="G354" s="15">
        <v>98</v>
      </c>
      <c r="H354" s="15">
        <f t="shared" si="12"/>
        <v>0</v>
      </c>
    </row>
    <row r="355" spans="1:8" ht="15.75" x14ac:dyDescent="0.25">
      <c r="A355" s="38">
        <v>351</v>
      </c>
      <c r="B355" s="33" t="s">
        <v>327</v>
      </c>
      <c r="C355" s="14"/>
      <c r="D355" s="5"/>
      <c r="E355" s="19"/>
      <c r="F355" s="5"/>
      <c r="G355" s="15"/>
      <c r="H355" s="15">
        <f t="shared" si="12"/>
        <v>0</v>
      </c>
    </row>
    <row r="356" spans="1:8" ht="15.75" x14ac:dyDescent="0.25">
      <c r="A356" s="38">
        <v>352</v>
      </c>
      <c r="B356" s="33" t="s">
        <v>515</v>
      </c>
      <c r="C356" s="14"/>
      <c r="D356" s="5"/>
      <c r="E356" s="19">
        <v>1</v>
      </c>
      <c r="F356" s="5"/>
      <c r="G356" s="15">
        <v>90</v>
      </c>
      <c r="H356" s="15">
        <f t="shared" si="12"/>
        <v>90</v>
      </c>
    </row>
    <row r="357" spans="1:8" ht="15.75" x14ac:dyDescent="0.25">
      <c r="A357" s="38">
        <v>353</v>
      </c>
      <c r="B357" s="33" t="s">
        <v>329</v>
      </c>
      <c r="C357" s="14"/>
      <c r="D357" s="5"/>
      <c r="E357" s="19"/>
      <c r="F357" s="5"/>
      <c r="G357" s="15">
        <v>60</v>
      </c>
      <c r="H357" s="15">
        <f t="shared" si="12"/>
        <v>0</v>
      </c>
    </row>
    <row r="358" spans="1:8" ht="15.75" x14ac:dyDescent="0.25">
      <c r="A358" s="38">
        <v>354</v>
      </c>
      <c r="B358" s="33" t="s">
        <v>330</v>
      </c>
      <c r="C358" s="14"/>
      <c r="D358" s="5"/>
      <c r="E358" s="19"/>
      <c r="F358" s="5"/>
      <c r="G358" s="15"/>
      <c r="H358" s="15">
        <f t="shared" si="12"/>
        <v>0</v>
      </c>
    </row>
    <row r="359" spans="1:8" ht="15.75" x14ac:dyDescent="0.25">
      <c r="A359" s="38">
        <v>355</v>
      </c>
      <c r="B359" s="33" t="s">
        <v>331</v>
      </c>
      <c r="C359" s="14"/>
      <c r="D359" s="5"/>
      <c r="E359" s="19"/>
      <c r="F359" s="5"/>
      <c r="G359" s="15"/>
      <c r="H359" s="15">
        <f t="shared" si="12"/>
        <v>0</v>
      </c>
    </row>
    <row r="360" spans="1:8" ht="15.75" x14ac:dyDescent="0.25">
      <c r="A360" s="38">
        <v>356</v>
      </c>
      <c r="B360" s="33" t="s">
        <v>410</v>
      </c>
      <c r="C360" s="14"/>
      <c r="D360" s="5"/>
      <c r="E360" s="19"/>
      <c r="F360" s="5"/>
      <c r="G360" s="15">
        <v>60</v>
      </c>
      <c r="H360" s="15">
        <f t="shared" si="12"/>
        <v>0</v>
      </c>
    </row>
    <row r="361" spans="1:8" ht="15.75" x14ac:dyDescent="0.25">
      <c r="A361" s="38">
        <v>357</v>
      </c>
      <c r="B361" s="33" t="s">
        <v>332</v>
      </c>
      <c r="C361" s="14"/>
      <c r="D361" s="5"/>
      <c r="E361" s="19">
        <v>1</v>
      </c>
      <c r="F361" s="5"/>
      <c r="G361" s="15">
        <v>78</v>
      </c>
      <c r="H361" s="15">
        <f t="shared" si="12"/>
        <v>78</v>
      </c>
    </row>
    <row r="362" spans="1:8" ht="15.75" x14ac:dyDescent="0.25">
      <c r="A362" s="38">
        <v>358</v>
      </c>
      <c r="B362" s="33" t="s">
        <v>374</v>
      </c>
      <c r="C362" s="14"/>
      <c r="D362" s="5"/>
      <c r="E362" s="19"/>
      <c r="F362" s="5"/>
      <c r="G362" s="15">
        <v>98</v>
      </c>
      <c r="H362" s="15">
        <f t="shared" si="12"/>
        <v>0</v>
      </c>
    </row>
    <row r="363" spans="1:8" ht="15.75" x14ac:dyDescent="0.25">
      <c r="A363" s="38">
        <v>359</v>
      </c>
      <c r="B363" s="33" t="s">
        <v>497</v>
      </c>
      <c r="C363" s="14"/>
      <c r="D363" s="5"/>
      <c r="E363" s="19">
        <f>25.3</f>
        <v>25.3</v>
      </c>
      <c r="F363" s="5"/>
      <c r="G363" s="15">
        <v>720</v>
      </c>
      <c r="H363" s="15">
        <f t="shared" si="12"/>
        <v>18216</v>
      </c>
    </row>
    <row r="364" spans="1:8" ht="15.75" x14ac:dyDescent="0.25">
      <c r="A364" s="38">
        <v>360</v>
      </c>
      <c r="B364" s="33" t="s">
        <v>333</v>
      </c>
      <c r="C364" s="14"/>
      <c r="D364" s="5"/>
      <c r="E364" s="19">
        <f>26</f>
        <v>26</v>
      </c>
      <c r="F364" s="5"/>
      <c r="G364" s="15">
        <v>145</v>
      </c>
      <c r="H364" s="15">
        <f t="shared" si="12"/>
        <v>3770</v>
      </c>
    </row>
    <row r="365" spans="1:8" ht="15.75" x14ac:dyDescent="0.25">
      <c r="A365" s="38">
        <v>361</v>
      </c>
      <c r="B365" s="33" t="s">
        <v>182</v>
      </c>
      <c r="C365" s="14"/>
      <c r="D365" s="5"/>
      <c r="E365" s="19"/>
      <c r="F365" s="5"/>
      <c r="G365" s="15"/>
      <c r="H365" s="15">
        <f t="shared" si="12"/>
        <v>0</v>
      </c>
    </row>
    <row r="366" spans="1:8" ht="15.75" x14ac:dyDescent="0.25">
      <c r="A366" s="38">
        <v>362</v>
      </c>
      <c r="B366" s="33" t="s">
        <v>257</v>
      </c>
      <c r="C366" s="14"/>
      <c r="D366" s="5"/>
      <c r="E366" s="19"/>
      <c r="F366" s="5"/>
      <c r="G366" s="15"/>
      <c r="H366" s="15">
        <f t="shared" si="12"/>
        <v>0</v>
      </c>
    </row>
    <row r="367" spans="1:8" ht="15.75" x14ac:dyDescent="0.25">
      <c r="A367" s="38">
        <v>363</v>
      </c>
      <c r="B367" s="33" t="s">
        <v>335</v>
      </c>
      <c r="C367" s="14"/>
      <c r="D367" s="5"/>
      <c r="E367" s="19"/>
      <c r="F367" s="5"/>
      <c r="G367" s="15"/>
      <c r="H367" s="15">
        <f t="shared" si="12"/>
        <v>0</v>
      </c>
    </row>
    <row r="368" spans="1:8" ht="15.75" x14ac:dyDescent="0.25">
      <c r="A368" s="38">
        <v>364</v>
      </c>
      <c r="B368" s="33" t="s">
        <v>215</v>
      </c>
      <c r="C368" s="14"/>
      <c r="D368" s="5"/>
      <c r="E368" s="19">
        <f>59.2+19.3+2.452+2.768</f>
        <v>83.72</v>
      </c>
      <c r="F368" s="5"/>
      <c r="G368" s="15">
        <v>120</v>
      </c>
      <c r="H368" s="15">
        <f t="shared" si="12"/>
        <v>10046.4</v>
      </c>
    </row>
    <row r="369" spans="1:8" ht="15.75" x14ac:dyDescent="0.25">
      <c r="A369" s="38">
        <v>365</v>
      </c>
      <c r="B369" s="33" t="s">
        <v>336</v>
      </c>
      <c r="C369" s="14"/>
      <c r="D369" s="5"/>
      <c r="E369" s="19"/>
      <c r="F369" s="5"/>
      <c r="G369" s="15"/>
      <c r="H369" s="15">
        <f t="shared" si="12"/>
        <v>0</v>
      </c>
    </row>
    <row r="370" spans="1:8" ht="15.75" x14ac:dyDescent="0.25">
      <c r="A370" s="38">
        <v>366</v>
      </c>
      <c r="B370" s="33" t="s">
        <v>367</v>
      </c>
      <c r="C370" s="14"/>
      <c r="D370" s="5"/>
      <c r="E370" s="19"/>
      <c r="F370" s="5"/>
      <c r="G370" s="15">
        <v>350</v>
      </c>
      <c r="H370" s="15">
        <f t="shared" si="12"/>
        <v>0</v>
      </c>
    </row>
    <row r="371" spans="1:8" ht="15.75" x14ac:dyDescent="0.25">
      <c r="A371" s="38">
        <v>367</v>
      </c>
      <c r="B371" s="33" t="s">
        <v>337</v>
      </c>
      <c r="C371" s="14"/>
      <c r="D371" s="5"/>
      <c r="E371" s="19"/>
      <c r="F371" s="5"/>
      <c r="G371" s="15"/>
      <c r="H371" s="15">
        <f t="shared" si="12"/>
        <v>0</v>
      </c>
    </row>
    <row r="372" spans="1:8" ht="15.75" x14ac:dyDescent="0.25">
      <c r="A372" s="38">
        <v>368</v>
      </c>
      <c r="B372" s="33" t="s">
        <v>338</v>
      </c>
      <c r="C372" s="14"/>
      <c r="D372" s="5"/>
      <c r="E372" s="19">
        <f>27.2+1.9</f>
        <v>29.099999999999998</v>
      </c>
      <c r="F372" s="5"/>
      <c r="G372" s="15">
        <v>185</v>
      </c>
      <c r="H372" s="15">
        <f t="shared" si="12"/>
        <v>5383.5</v>
      </c>
    </row>
    <row r="373" spans="1:8" ht="15.75" x14ac:dyDescent="0.25">
      <c r="A373" s="38">
        <v>369</v>
      </c>
      <c r="B373" s="33" t="s">
        <v>253</v>
      </c>
      <c r="C373" s="14"/>
      <c r="D373" s="5"/>
      <c r="E373" s="19">
        <f>18+4.95</f>
        <v>22.95</v>
      </c>
      <c r="F373" s="5"/>
      <c r="G373" s="15">
        <v>125</v>
      </c>
      <c r="H373" s="15">
        <f t="shared" si="12"/>
        <v>2868.75</v>
      </c>
    </row>
    <row r="374" spans="1:8" ht="15.75" x14ac:dyDescent="0.25">
      <c r="A374" s="38">
        <v>370</v>
      </c>
      <c r="B374" s="33" t="s">
        <v>339</v>
      </c>
      <c r="C374" s="14"/>
      <c r="D374" s="5"/>
      <c r="E374" s="19">
        <f>54.4+5</f>
        <v>59.4</v>
      </c>
      <c r="F374" s="5"/>
      <c r="G374" s="15">
        <v>93</v>
      </c>
      <c r="H374" s="15">
        <f t="shared" si="12"/>
        <v>5524.2</v>
      </c>
    </row>
    <row r="375" spans="1:8" ht="15.75" x14ac:dyDescent="0.25">
      <c r="A375" s="38">
        <v>371</v>
      </c>
      <c r="B375" s="33" t="s">
        <v>283</v>
      </c>
      <c r="C375" s="14"/>
      <c r="D375" s="5"/>
      <c r="E375" s="19"/>
      <c r="F375" s="5"/>
      <c r="G375" s="15"/>
      <c r="H375" s="15">
        <f t="shared" si="12"/>
        <v>0</v>
      </c>
    </row>
    <row r="376" spans="1:8" ht="15.75" x14ac:dyDescent="0.25">
      <c r="A376" s="38">
        <v>372</v>
      </c>
      <c r="B376" s="33" t="s">
        <v>340</v>
      </c>
      <c r="C376" s="14"/>
      <c r="D376" s="5"/>
      <c r="E376" s="19">
        <f>443.86+25.8+17.8+85</f>
        <v>572.46</v>
      </c>
      <c r="F376" s="5"/>
      <c r="G376" s="15">
        <v>140</v>
      </c>
      <c r="H376" s="15">
        <f t="shared" si="12"/>
        <v>80144.400000000009</v>
      </c>
    </row>
    <row r="377" spans="1:8" ht="15.75" x14ac:dyDescent="0.25">
      <c r="A377" s="38">
        <v>373</v>
      </c>
      <c r="B377" s="33" t="s">
        <v>267</v>
      </c>
      <c r="C377" s="14"/>
      <c r="D377" s="5"/>
      <c r="E377" s="19"/>
      <c r="F377" s="5"/>
      <c r="G377" s="15"/>
      <c r="H377" s="15">
        <f t="shared" si="12"/>
        <v>0</v>
      </c>
    </row>
    <row r="378" spans="1:8" ht="15.75" x14ac:dyDescent="0.25">
      <c r="A378" s="38">
        <v>374</v>
      </c>
      <c r="B378" s="33" t="s">
        <v>254</v>
      </c>
      <c r="C378" s="14"/>
      <c r="D378" s="5"/>
      <c r="E378" s="19"/>
      <c r="F378" s="5"/>
      <c r="G378" s="15"/>
      <c r="H378" s="15">
        <f t="shared" si="12"/>
        <v>0</v>
      </c>
    </row>
    <row r="379" spans="1:8" ht="15.75" x14ac:dyDescent="0.25">
      <c r="A379" s="38">
        <v>375</v>
      </c>
      <c r="B379" s="33" t="s">
        <v>341</v>
      </c>
      <c r="C379" s="14"/>
      <c r="D379" s="5"/>
      <c r="E379" s="19"/>
      <c r="F379" s="5"/>
      <c r="G379" s="15"/>
      <c r="H379" s="15">
        <f t="shared" si="12"/>
        <v>0</v>
      </c>
    </row>
    <row r="380" spans="1:8" ht="15.75" x14ac:dyDescent="0.25">
      <c r="A380" s="38">
        <v>376</v>
      </c>
      <c r="B380" s="33" t="s">
        <v>342</v>
      </c>
      <c r="C380" s="14"/>
      <c r="D380" s="5"/>
      <c r="E380" s="19">
        <f>92+17+15</f>
        <v>124</v>
      </c>
      <c r="F380" s="5"/>
      <c r="G380" s="15">
        <v>130</v>
      </c>
      <c r="H380" s="15">
        <f t="shared" si="12"/>
        <v>16120</v>
      </c>
    </row>
    <row r="381" spans="1:8" ht="15.75" x14ac:dyDescent="0.25">
      <c r="A381" s="38">
        <v>377</v>
      </c>
      <c r="B381" s="33" t="s">
        <v>343</v>
      </c>
      <c r="C381" s="14"/>
      <c r="D381" s="5"/>
      <c r="E381" s="19">
        <f>181.46+3.06</f>
        <v>184.52</v>
      </c>
      <c r="F381" s="5"/>
      <c r="G381" s="15">
        <v>83</v>
      </c>
      <c r="H381" s="15">
        <f t="shared" si="12"/>
        <v>15315.160000000002</v>
      </c>
    </row>
    <row r="382" spans="1:8" ht="15.75" x14ac:dyDescent="0.25">
      <c r="A382" s="38">
        <v>378</v>
      </c>
      <c r="B382" s="33" t="s">
        <v>344</v>
      </c>
      <c r="C382" s="14"/>
      <c r="D382" s="5"/>
      <c r="E382" s="19">
        <f>5.065</f>
        <v>5.0650000000000004</v>
      </c>
      <c r="F382" s="5"/>
      <c r="G382" s="15">
        <v>580</v>
      </c>
      <c r="H382" s="15">
        <f t="shared" si="12"/>
        <v>2937.7000000000003</v>
      </c>
    </row>
    <row r="383" spans="1:8" ht="15.75" x14ac:dyDescent="0.25">
      <c r="A383" s="38">
        <v>379</v>
      </c>
      <c r="B383" s="33" t="s">
        <v>345</v>
      </c>
      <c r="C383" s="14"/>
      <c r="D383" s="5"/>
      <c r="E383" s="19">
        <v>3.66</v>
      </c>
      <c r="F383" s="5"/>
      <c r="G383" s="15">
        <v>685</v>
      </c>
      <c r="H383" s="15">
        <f t="shared" si="12"/>
        <v>2507.1</v>
      </c>
    </row>
    <row r="384" spans="1:8" ht="15.75" x14ac:dyDescent="0.25">
      <c r="A384" s="38">
        <v>380</v>
      </c>
      <c r="B384" s="33" t="s">
        <v>368</v>
      </c>
      <c r="C384" s="14"/>
      <c r="D384" s="5"/>
      <c r="E384" s="19"/>
      <c r="F384" s="5"/>
      <c r="G384" s="15">
        <v>720</v>
      </c>
      <c r="H384" s="15">
        <f t="shared" si="12"/>
        <v>0</v>
      </c>
    </row>
    <row r="385" spans="1:8" ht="15.75" x14ac:dyDescent="0.25">
      <c r="A385" s="38">
        <v>381</v>
      </c>
      <c r="B385" s="33" t="s">
        <v>346</v>
      </c>
      <c r="C385" s="14"/>
      <c r="D385" s="5"/>
      <c r="E385" s="19"/>
      <c r="F385" s="5"/>
      <c r="G385" s="15">
        <v>660</v>
      </c>
      <c r="H385" s="15">
        <f t="shared" si="12"/>
        <v>0</v>
      </c>
    </row>
    <row r="386" spans="1:8" ht="15.75" x14ac:dyDescent="0.25">
      <c r="A386" s="38">
        <v>382</v>
      </c>
      <c r="B386" s="33" t="s">
        <v>347</v>
      </c>
      <c r="C386" s="14"/>
      <c r="D386" s="5"/>
      <c r="E386" s="19">
        <f>2.18+4.985</f>
        <v>7.1650000000000009</v>
      </c>
      <c r="F386" s="5"/>
      <c r="G386" s="15">
        <v>741</v>
      </c>
      <c r="H386" s="15">
        <f t="shared" si="12"/>
        <v>5309.2650000000003</v>
      </c>
    </row>
    <row r="387" spans="1:8" ht="15.75" x14ac:dyDescent="0.25">
      <c r="A387" s="38">
        <v>383</v>
      </c>
      <c r="B387" s="33" t="s">
        <v>348</v>
      </c>
      <c r="C387" s="14"/>
      <c r="D387" s="5"/>
      <c r="E387" s="19">
        <f>2.38</f>
        <v>2.38</v>
      </c>
      <c r="F387" s="5"/>
      <c r="G387" s="15">
        <v>555</v>
      </c>
      <c r="H387" s="15">
        <f t="shared" si="12"/>
        <v>1320.8999999999999</v>
      </c>
    </row>
    <row r="388" spans="1:8" ht="15.75" x14ac:dyDescent="0.25">
      <c r="A388" s="38">
        <v>384</v>
      </c>
      <c r="B388" s="33" t="s">
        <v>349</v>
      </c>
      <c r="C388" s="14"/>
      <c r="D388" s="5"/>
      <c r="E388" s="19">
        <f>4.94+2.865</f>
        <v>7.8050000000000006</v>
      </c>
      <c r="F388" s="5"/>
      <c r="G388" s="15">
        <v>345</v>
      </c>
      <c r="H388" s="15">
        <f t="shared" si="12"/>
        <v>2692.7250000000004</v>
      </c>
    </row>
    <row r="389" spans="1:8" ht="15.75" x14ac:dyDescent="0.25">
      <c r="A389" s="38">
        <v>385</v>
      </c>
      <c r="B389" s="33" t="s">
        <v>181</v>
      </c>
      <c r="C389" s="14"/>
      <c r="D389" s="5"/>
      <c r="E389" s="19">
        <f>12.47+12.19+12.36+12.2+12.8+12.48+12.46+12.47+12.26+12.63+12.86+12.92+12.87+12.6+23.8</f>
        <v>199.37</v>
      </c>
      <c r="F389" s="5"/>
      <c r="G389" s="15">
        <v>112</v>
      </c>
      <c r="H389" s="15">
        <f t="shared" si="12"/>
        <v>22329.440000000002</v>
      </c>
    </row>
    <row r="390" spans="1:8" ht="15.75" x14ac:dyDescent="0.25">
      <c r="A390" s="38">
        <v>386</v>
      </c>
      <c r="B390" s="33" t="s">
        <v>350</v>
      </c>
      <c r="C390" s="14"/>
      <c r="D390" s="5"/>
      <c r="E390" s="19">
        <v>33</v>
      </c>
      <c r="F390" s="5"/>
      <c r="G390" s="15">
        <v>565</v>
      </c>
      <c r="H390" s="15">
        <f t="shared" si="12"/>
        <v>18645</v>
      </c>
    </row>
    <row r="391" spans="1:8" ht="15.75" x14ac:dyDescent="0.25">
      <c r="A391" s="38">
        <v>387</v>
      </c>
      <c r="B391" s="33" t="s">
        <v>351</v>
      </c>
      <c r="C391" s="14"/>
      <c r="D391" s="5"/>
      <c r="E391" s="19"/>
      <c r="F391" s="5"/>
      <c r="G391" s="15"/>
      <c r="H391" s="15">
        <f t="shared" si="12"/>
        <v>0</v>
      </c>
    </row>
    <row r="392" spans="1:8" ht="15.75" x14ac:dyDescent="0.25">
      <c r="A392" s="38">
        <v>388</v>
      </c>
      <c r="B392" s="33" t="s">
        <v>352</v>
      </c>
      <c r="C392" s="14"/>
      <c r="D392" s="5"/>
      <c r="E392" s="19">
        <v>27.5</v>
      </c>
      <c r="F392" s="5"/>
      <c r="G392" s="15">
        <v>460</v>
      </c>
      <c r="H392" s="15">
        <f t="shared" si="12"/>
        <v>12650</v>
      </c>
    </row>
    <row r="393" spans="1:8" ht="15.75" x14ac:dyDescent="0.25">
      <c r="A393" s="38">
        <v>389</v>
      </c>
      <c r="B393" s="33" t="s">
        <v>353</v>
      </c>
      <c r="C393" s="14"/>
      <c r="D393" s="5"/>
      <c r="E393" s="19">
        <v>2.75</v>
      </c>
      <c r="F393" s="5"/>
      <c r="G393" s="15">
        <v>490</v>
      </c>
      <c r="H393" s="15">
        <f t="shared" si="12"/>
        <v>1347.5</v>
      </c>
    </row>
    <row r="394" spans="1:8" ht="15.75" x14ac:dyDescent="0.25">
      <c r="A394" s="38">
        <v>390</v>
      </c>
      <c r="B394" s="33" t="s">
        <v>354</v>
      </c>
      <c r="C394" s="14"/>
      <c r="D394" s="5"/>
      <c r="E394" s="19">
        <f>2.75</f>
        <v>2.75</v>
      </c>
      <c r="F394" s="5"/>
      <c r="G394" s="15">
        <v>530</v>
      </c>
      <c r="H394" s="15">
        <f t="shared" si="12"/>
        <v>1457.5</v>
      </c>
    </row>
    <row r="395" spans="1:8" ht="15.75" x14ac:dyDescent="0.25">
      <c r="A395" s="38">
        <v>391</v>
      </c>
      <c r="B395" s="33" t="s">
        <v>306</v>
      </c>
      <c r="C395" s="14"/>
      <c r="D395" s="5"/>
      <c r="E395" s="19">
        <f>13.5</f>
        <v>13.5</v>
      </c>
      <c r="F395" s="5"/>
      <c r="G395" s="15">
        <v>400</v>
      </c>
      <c r="H395" s="15">
        <f t="shared" si="12"/>
        <v>5400</v>
      </c>
    </row>
    <row r="396" spans="1:8" ht="15.75" x14ac:dyDescent="0.25">
      <c r="A396" s="38">
        <v>392</v>
      </c>
      <c r="B396" s="33" t="s">
        <v>260</v>
      </c>
      <c r="C396" s="14"/>
      <c r="D396" s="5"/>
      <c r="E396" s="19">
        <f>20.02+22.77+19.7+21.44+17.84+7</f>
        <v>108.77</v>
      </c>
      <c r="F396" s="5"/>
      <c r="G396" s="15">
        <v>170</v>
      </c>
      <c r="H396" s="15">
        <f t="shared" si="12"/>
        <v>18490.899999999998</v>
      </c>
    </row>
    <row r="397" spans="1:8" ht="15.75" x14ac:dyDescent="0.25">
      <c r="A397" s="38">
        <v>393</v>
      </c>
      <c r="B397" s="33" t="s">
        <v>355</v>
      </c>
      <c r="C397" s="14"/>
      <c r="D397" s="5"/>
      <c r="E397" s="19"/>
      <c r="F397" s="5"/>
      <c r="G397" s="15"/>
      <c r="H397" s="15">
        <f t="shared" si="12"/>
        <v>0</v>
      </c>
    </row>
    <row r="398" spans="1:8" ht="15.75" x14ac:dyDescent="0.25">
      <c r="A398" s="38">
        <v>394</v>
      </c>
      <c r="B398" s="33" t="s">
        <v>356</v>
      </c>
      <c r="C398" s="14"/>
      <c r="D398" s="5"/>
      <c r="E398" s="19"/>
      <c r="F398" s="5"/>
      <c r="G398" s="15"/>
      <c r="H398" s="15">
        <f t="shared" si="12"/>
        <v>0</v>
      </c>
    </row>
    <row r="399" spans="1:8" ht="15.75" x14ac:dyDescent="0.25">
      <c r="A399" s="38">
        <v>395</v>
      </c>
      <c r="B399" s="33" t="s">
        <v>262</v>
      </c>
      <c r="C399" s="14"/>
      <c r="D399" s="5"/>
      <c r="E399" s="19">
        <f>388+14.3+5.3</f>
        <v>407.6</v>
      </c>
      <c r="F399" s="5"/>
      <c r="G399" s="15">
        <v>10</v>
      </c>
      <c r="H399" s="15">
        <f t="shared" si="12"/>
        <v>4076</v>
      </c>
    </row>
    <row r="400" spans="1:8" ht="15.75" x14ac:dyDescent="0.25">
      <c r="A400" s="38">
        <v>396</v>
      </c>
      <c r="B400" s="33" t="s">
        <v>273</v>
      </c>
      <c r="C400" s="14"/>
      <c r="D400" s="5"/>
      <c r="E400" s="19">
        <f>105.6+24.77+26.4+24.71+1.158+1.05</f>
        <v>183.68800000000002</v>
      </c>
      <c r="F400" s="5"/>
      <c r="G400" s="15">
        <v>120</v>
      </c>
      <c r="H400" s="15">
        <f t="shared" si="12"/>
        <v>22042.560000000001</v>
      </c>
    </row>
    <row r="401" spans="1:8" ht="15.75" x14ac:dyDescent="0.25">
      <c r="A401" s="38">
        <v>397</v>
      </c>
      <c r="B401" s="33" t="s">
        <v>369</v>
      </c>
      <c r="C401" s="14"/>
      <c r="D401" s="5"/>
      <c r="E401" s="19">
        <f>308.6+622.7+32.6</f>
        <v>963.90000000000009</v>
      </c>
      <c r="F401" s="5"/>
      <c r="G401" s="15">
        <v>198</v>
      </c>
      <c r="H401" s="15">
        <f t="shared" si="12"/>
        <v>190852.2</v>
      </c>
    </row>
    <row r="402" spans="1:8" ht="15.75" x14ac:dyDescent="0.25">
      <c r="A402" s="38">
        <v>398</v>
      </c>
      <c r="B402" s="33" t="s">
        <v>501</v>
      </c>
      <c r="C402" s="14"/>
      <c r="D402" s="5"/>
      <c r="E402" s="19">
        <f>530.8+564</f>
        <v>1094.8</v>
      </c>
      <c r="F402" s="5"/>
      <c r="G402" s="15">
        <v>204</v>
      </c>
      <c r="H402" s="15">
        <f t="shared" si="12"/>
        <v>223339.19999999998</v>
      </c>
    </row>
    <row r="403" spans="1:8" ht="15.75" x14ac:dyDescent="0.25">
      <c r="A403" s="38">
        <v>399</v>
      </c>
      <c r="B403" s="33" t="s">
        <v>319</v>
      </c>
      <c r="C403" s="14"/>
      <c r="D403" s="5"/>
      <c r="E403" s="19"/>
      <c r="F403" s="5"/>
      <c r="G403" s="15"/>
      <c r="H403" s="15">
        <f t="shared" si="12"/>
        <v>0</v>
      </c>
    </row>
    <row r="404" spans="1:8" ht="15.75" x14ac:dyDescent="0.25">
      <c r="A404" s="38">
        <v>400</v>
      </c>
      <c r="B404" s="33" t="s">
        <v>358</v>
      </c>
      <c r="C404" s="14"/>
      <c r="D404" s="5"/>
      <c r="E404" s="19"/>
      <c r="F404" s="5"/>
      <c r="G404" s="15"/>
      <c r="H404" s="15">
        <f t="shared" si="12"/>
        <v>0</v>
      </c>
    </row>
    <row r="405" spans="1:8" ht="15.75" x14ac:dyDescent="0.25">
      <c r="A405" s="38">
        <v>401</v>
      </c>
      <c r="B405" s="33" t="s">
        <v>320</v>
      </c>
      <c r="C405" s="14"/>
      <c r="D405" s="5"/>
      <c r="E405" s="12"/>
      <c r="F405" s="5"/>
      <c r="G405" s="15"/>
      <c r="H405" s="15">
        <f t="shared" si="12"/>
        <v>0</v>
      </c>
    </row>
    <row r="406" spans="1:8" ht="15.75" x14ac:dyDescent="0.25">
      <c r="A406" s="38">
        <v>402</v>
      </c>
      <c r="B406" s="33" t="s">
        <v>371</v>
      </c>
      <c r="C406" s="14"/>
      <c r="D406" s="5"/>
      <c r="E406" s="12">
        <f>20+21</f>
        <v>41</v>
      </c>
      <c r="F406" s="5"/>
      <c r="G406" s="15">
        <v>30</v>
      </c>
      <c r="H406" s="15">
        <f t="shared" si="12"/>
        <v>1230</v>
      </c>
    </row>
    <row r="407" spans="1:8" ht="15.75" x14ac:dyDescent="0.25">
      <c r="A407" s="38">
        <v>403</v>
      </c>
      <c r="B407" s="33" t="s">
        <v>359</v>
      </c>
      <c r="C407" s="14"/>
      <c r="D407" s="5"/>
      <c r="E407" s="12">
        <f>20+18</f>
        <v>38</v>
      </c>
      <c r="F407" s="5"/>
      <c r="G407" s="15">
        <v>30</v>
      </c>
      <c r="H407" s="15">
        <f t="shared" si="12"/>
        <v>1140</v>
      </c>
    </row>
    <row r="408" spans="1:8" ht="15.75" x14ac:dyDescent="0.25">
      <c r="A408" s="38">
        <v>404</v>
      </c>
      <c r="B408" s="33" t="s">
        <v>333</v>
      </c>
      <c r="C408" s="14"/>
      <c r="D408" s="5"/>
      <c r="E408" s="12"/>
      <c r="F408" s="5"/>
      <c r="G408" s="15"/>
      <c r="H408" s="15">
        <f t="shared" si="12"/>
        <v>0</v>
      </c>
    </row>
    <row r="409" spans="1:8" ht="15.75" x14ac:dyDescent="0.25">
      <c r="A409" s="38">
        <v>405</v>
      </c>
      <c r="B409" s="33" t="s">
        <v>317</v>
      </c>
      <c r="C409" s="14"/>
      <c r="D409" s="5"/>
      <c r="E409" s="12"/>
      <c r="F409" s="5"/>
      <c r="G409" s="15"/>
      <c r="H409" s="15">
        <f t="shared" si="12"/>
        <v>0</v>
      </c>
    </row>
    <row r="410" spans="1:8" ht="15.75" x14ac:dyDescent="0.25">
      <c r="A410" s="38">
        <v>406</v>
      </c>
      <c r="B410" s="33" t="s">
        <v>318</v>
      </c>
      <c r="C410" s="14"/>
      <c r="D410" s="5"/>
      <c r="E410" s="12"/>
      <c r="F410" s="5"/>
      <c r="G410" s="15"/>
      <c r="H410" s="15">
        <f t="shared" ref="H410:H473" si="13">E410*G410</f>
        <v>0</v>
      </c>
    </row>
    <row r="411" spans="1:8" ht="15.75" x14ac:dyDescent="0.25">
      <c r="A411" s="38">
        <v>407</v>
      </c>
      <c r="B411" s="33" t="s">
        <v>56</v>
      </c>
      <c r="C411" s="14"/>
      <c r="D411" s="5"/>
      <c r="E411" s="12">
        <f>39.226+23.3+608.5+118.4+18.4+9.095+683.4</f>
        <v>1500.3209999999999</v>
      </c>
      <c r="F411" s="5">
        <f>46+25</f>
        <v>71</v>
      </c>
      <c r="G411" s="15">
        <v>160</v>
      </c>
      <c r="H411" s="15">
        <f t="shared" si="13"/>
        <v>240051.36</v>
      </c>
    </row>
    <row r="412" spans="1:8" ht="15.75" x14ac:dyDescent="0.25">
      <c r="A412" s="38">
        <v>408</v>
      </c>
      <c r="B412" s="33" t="s">
        <v>377</v>
      </c>
      <c r="C412" s="14"/>
      <c r="D412" s="5"/>
      <c r="E412" s="12">
        <f>225.4+115.9+16.3+6.34</f>
        <v>363.94</v>
      </c>
      <c r="F412" s="5"/>
      <c r="G412" s="15">
        <v>130</v>
      </c>
      <c r="H412" s="15">
        <f t="shared" si="13"/>
        <v>47312.2</v>
      </c>
    </row>
    <row r="413" spans="1:8" ht="15.75" x14ac:dyDescent="0.25">
      <c r="A413" s="38">
        <v>409</v>
      </c>
      <c r="B413" s="33" t="s">
        <v>378</v>
      </c>
      <c r="C413" s="14"/>
      <c r="D413" s="5"/>
      <c r="E413" s="12"/>
      <c r="F413" s="5"/>
      <c r="G413" s="15">
        <v>140</v>
      </c>
      <c r="H413" s="15">
        <f t="shared" si="13"/>
        <v>0</v>
      </c>
    </row>
    <row r="414" spans="1:8" ht="15.75" x14ac:dyDescent="0.25">
      <c r="A414" s="38">
        <v>410</v>
      </c>
      <c r="B414" s="33" t="s">
        <v>379</v>
      </c>
      <c r="C414" s="14"/>
      <c r="D414" s="5"/>
      <c r="E414" s="12">
        <f>40.4</f>
        <v>40.4</v>
      </c>
      <c r="F414" s="5"/>
      <c r="G414" s="15">
        <v>78</v>
      </c>
      <c r="H414" s="15">
        <f t="shared" si="13"/>
        <v>3151.2</v>
      </c>
    </row>
    <row r="415" spans="1:8" ht="15.75" x14ac:dyDescent="0.25">
      <c r="A415" s="38">
        <v>411</v>
      </c>
      <c r="B415" s="33" t="s">
        <v>380</v>
      </c>
      <c r="C415" s="14"/>
      <c r="D415" s="5"/>
      <c r="E415" s="12">
        <f>66.7+76.3</f>
        <v>143</v>
      </c>
      <c r="F415" s="5"/>
      <c r="G415" s="15">
        <v>70</v>
      </c>
      <c r="H415" s="15">
        <f t="shared" si="13"/>
        <v>10010</v>
      </c>
    </row>
    <row r="416" spans="1:8" ht="15.75" x14ac:dyDescent="0.25">
      <c r="A416" s="38">
        <v>412</v>
      </c>
      <c r="B416" s="33" t="s">
        <v>381</v>
      </c>
      <c r="C416" s="14"/>
      <c r="D416" s="5"/>
      <c r="E416" s="12">
        <f>6.3</f>
        <v>6.3</v>
      </c>
      <c r="F416" s="5"/>
      <c r="G416" s="15">
        <v>204</v>
      </c>
      <c r="H416" s="15">
        <f t="shared" si="13"/>
        <v>1285.2</v>
      </c>
    </row>
    <row r="417" spans="1:8" ht="15.75" x14ac:dyDescent="0.25">
      <c r="A417" s="38">
        <v>413</v>
      </c>
      <c r="B417" s="33" t="s">
        <v>382</v>
      </c>
      <c r="C417" s="14"/>
      <c r="D417" s="5"/>
      <c r="E417" s="12">
        <f>67.2</f>
        <v>67.2</v>
      </c>
      <c r="F417" s="5"/>
      <c r="G417" s="15">
        <v>102</v>
      </c>
      <c r="H417" s="15">
        <f t="shared" si="13"/>
        <v>6854.4000000000005</v>
      </c>
    </row>
    <row r="418" spans="1:8" ht="15.75" x14ac:dyDescent="0.25">
      <c r="A418" s="38">
        <v>414</v>
      </c>
      <c r="B418" s="33" t="s">
        <v>383</v>
      </c>
      <c r="C418" s="14"/>
      <c r="D418" s="5"/>
      <c r="E418" s="12">
        <f>7.8</f>
        <v>7.8</v>
      </c>
      <c r="F418" s="5"/>
      <c r="G418" s="15">
        <v>140</v>
      </c>
      <c r="H418" s="15">
        <f t="shared" si="13"/>
        <v>1092</v>
      </c>
    </row>
    <row r="419" spans="1:8" ht="15.75" x14ac:dyDescent="0.25">
      <c r="A419" s="38">
        <v>415</v>
      </c>
      <c r="B419" s="33" t="s">
        <v>384</v>
      </c>
      <c r="C419" s="14"/>
      <c r="D419" s="5"/>
      <c r="E419" s="12"/>
      <c r="F419" s="5"/>
      <c r="G419" s="15">
        <v>76</v>
      </c>
      <c r="H419" s="15">
        <f t="shared" si="13"/>
        <v>0</v>
      </c>
    </row>
    <row r="420" spans="1:8" ht="15.75" x14ac:dyDescent="0.25">
      <c r="A420" s="38">
        <v>416</v>
      </c>
      <c r="B420" s="33" t="s">
        <v>385</v>
      </c>
      <c r="C420" s="14"/>
      <c r="D420" s="5"/>
      <c r="E420" s="12"/>
      <c r="F420" s="5"/>
      <c r="G420" s="15">
        <v>47</v>
      </c>
      <c r="H420" s="15">
        <f t="shared" si="13"/>
        <v>0</v>
      </c>
    </row>
    <row r="421" spans="1:8" ht="15.75" x14ac:dyDescent="0.25">
      <c r="A421" s="38">
        <v>417</v>
      </c>
      <c r="B421" s="33" t="s">
        <v>496</v>
      </c>
      <c r="C421" s="14"/>
      <c r="D421" s="5"/>
      <c r="E421" s="12">
        <f>695.7+424.2+146.5</f>
        <v>1266.4000000000001</v>
      </c>
      <c r="F421" s="5"/>
      <c r="G421" s="15">
        <v>177</v>
      </c>
      <c r="H421" s="15">
        <f t="shared" si="13"/>
        <v>224152.80000000002</v>
      </c>
    </row>
    <row r="422" spans="1:8" ht="15.75" x14ac:dyDescent="0.25">
      <c r="A422" s="38">
        <v>418</v>
      </c>
      <c r="B422" s="33" t="s">
        <v>387</v>
      </c>
      <c r="C422" s="14"/>
      <c r="D422" s="5"/>
      <c r="E422" s="12"/>
      <c r="F422" s="5"/>
      <c r="G422" s="15">
        <v>48</v>
      </c>
      <c r="H422" s="15">
        <f t="shared" si="13"/>
        <v>0</v>
      </c>
    </row>
    <row r="423" spans="1:8" ht="15.75" x14ac:dyDescent="0.25">
      <c r="A423" s="38">
        <v>419</v>
      </c>
      <c r="B423" s="33" t="s">
        <v>388</v>
      </c>
      <c r="C423" s="14"/>
      <c r="D423" s="5"/>
      <c r="E423" s="12">
        <f>231.5+162.9+19-9</f>
        <v>404.4</v>
      </c>
      <c r="F423" s="5"/>
      <c r="G423" s="15">
        <v>88</v>
      </c>
      <c r="H423" s="15">
        <f t="shared" si="13"/>
        <v>35587.199999999997</v>
      </c>
    </row>
    <row r="424" spans="1:8" ht="15.75" x14ac:dyDescent="0.25">
      <c r="A424" s="38">
        <v>420</v>
      </c>
      <c r="B424" s="33" t="s">
        <v>389</v>
      </c>
      <c r="C424" s="14"/>
      <c r="D424" s="5"/>
      <c r="E424" s="12">
        <f>41.4</f>
        <v>41.4</v>
      </c>
      <c r="F424" s="5"/>
      <c r="G424" s="15">
        <v>63</v>
      </c>
      <c r="H424" s="15">
        <f t="shared" si="13"/>
        <v>2608.1999999999998</v>
      </c>
    </row>
    <row r="425" spans="1:8" ht="15.75" x14ac:dyDescent="0.25">
      <c r="A425" s="38">
        <v>421</v>
      </c>
      <c r="B425" s="33" t="s">
        <v>390</v>
      </c>
      <c r="C425" s="14"/>
      <c r="D425" s="5"/>
      <c r="E425" s="12">
        <f>24.8</f>
        <v>24.8</v>
      </c>
      <c r="F425" s="5"/>
      <c r="G425" s="15">
        <v>15</v>
      </c>
      <c r="H425" s="15">
        <f t="shared" si="13"/>
        <v>372</v>
      </c>
    </row>
    <row r="426" spans="1:8" ht="15.75" x14ac:dyDescent="0.25">
      <c r="A426" s="38">
        <v>422</v>
      </c>
      <c r="B426" s="33" t="s">
        <v>391</v>
      </c>
      <c r="C426" s="14"/>
      <c r="D426" s="5"/>
      <c r="E426" s="12">
        <f>348.697+83</f>
        <v>431.697</v>
      </c>
      <c r="F426" s="5"/>
      <c r="G426" s="15">
        <v>125</v>
      </c>
      <c r="H426" s="15">
        <f t="shared" si="13"/>
        <v>53962.125</v>
      </c>
    </row>
    <row r="427" spans="1:8" ht="15.75" x14ac:dyDescent="0.25">
      <c r="A427" s="38">
        <v>423</v>
      </c>
      <c r="B427" s="33" t="s">
        <v>392</v>
      </c>
      <c r="C427" s="14"/>
      <c r="D427" s="5"/>
      <c r="E427" s="12">
        <f>64.2</f>
        <v>64.2</v>
      </c>
      <c r="F427" s="5"/>
      <c r="G427" s="15">
        <v>85</v>
      </c>
      <c r="H427" s="15">
        <f t="shared" si="13"/>
        <v>5457</v>
      </c>
    </row>
    <row r="428" spans="1:8" ht="15.75" x14ac:dyDescent="0.25">
      <c r="A428" s="38">
        <v>424</v>
      </c>
      <c r="B428" s="33" t="s">
        <v>393</v>
      </c>
      <c r="C428" s="14"/>
      <c r="D428" s="5"/>
      <c r="E428" s="12">
        <f>54.2+34.1</f>
        <v>88.300000000000011</v>
      </c>
      <c r="F428" s="5"/>
      <c r="G428" s="15">
        <v>204</v>
      </c>
      <c r="H428" s="15">
        <f t="shared" si="13"/>
        <v>18013.2</v>
      </c>
    </row>
    <row r="429" spans="1:8" ht="15.75" x14ac:dyDescent="0.25">
      <c r="A429" s="38">
        <v>425</v>
      </c>
      <c r="B429" s="33" t="s">
        <v>394</v>
      </c>
      <c r="C429" s="14"/>
      <c r="D429" s="5"/>
      <c r="E429" s="12"/>
      <c r="F429" s="5"/>
      <c r="G429" s="15">
        <v>135</v>
      </c>
      <c r="H429" s="15">
        <f t="shared" si="13"/>
        <v>0</v>
      </c>
    </row>
    <row r="430" spans="1:8" ht="15.75" x14ac:dyDescent="0.25">
      <c r="A430" s="38">
        <v>426</v>
      </c>
      <c r="B430" s="33" t="s">
        <v>396</v>
      </c>
      <c r="C430" s="14"/>
      <c r="D430" s="5"/>
      <c r="E430" s="12"/>
      <c r="F430" s="5"/>
      <c r="G430" s="15">
        <v>140</v>
      </c>
      <c r="H430" s="15">
        <f t="shared" si="13"/>
        <v>0</v>
      </c>
    </row>
    <row r="431" spans="1:8" ht="15.75" x14ac:dyDescent="0.25">
      <c r="A431" s="38">
        <v>427</v>
      </c>
      <c r="B431" s="33" t="s">
        <v>511</v>
      </c>
      <c r="C431" s="14"/>
      <c r="D431" s="5"/>
      <c r="E431" s="12">
        <v>1</v>
      </c>
      <c r="F431" s="5"/>
      <c r="G431" s="15">
        <v>73</v>
      </c>
      <c r="H431" s="15">
        <f t="shared" si="13"/>
        <v>73</v>
      </c>
    </row>
    <row r="432" spans="1:8" ht="15.75" x14ac:dyDescent="0.25">
      <c r="A432" s="38">
        <v>428</v>
      </c>
      <c r="B432" s="33" t="s">
        <v>398</v>
      </c>
      <c r="C432" s="14"/>
      <c r="D432" s="5"/>
      <c r="E432" s="12">
        <f>5+1+1</f>
        <v>7</v>
      </c>
      <c r="F432" s="5"/>
      <c r="G432" s="15">
        <v>90</v>
      </c>
      <c r="H432" s="15">
        <f t="shared" si="13"/>
        <v>630</v>
      </c>
    </row>
    <row r="433" spans="1:8" ht="15.75" x14ac:dyDescent="0.25">
      <c r="A433" s="38">
        <v>429</v>
      </c>
      <c r="B433" s="33" t="s">
        <v>407</v>
      </c>
      <c r="C433" s="14"/>
      <c r="D433" s="5"/>
      <c r="E433" s="12"/>
      <c r="F433" s="5"/>
      <c r="G433" s="15">
        <v>90</v>
      </c>
      <c r="H433" s="15">
        <f t="shared" si="13"/>
        <v>0</v>
      </c>
    </row>
    <row r="434" spans="1:8" ht="15.75" x14ac:dyDescent="0.25">
      <c r="A434" s="38">
        <v>430</v>
      </c>
      <c r="B434" s="33" t="s">
        <v>399</v>
      </c>
      <c r="C434" s="14"/>
      <c r="D434" s="5"/>
      <c r="E434" s="12">
        <f>2+1</f>
        <v>3</v>
      </c>
      <c r="F434" s="5"/>
      <c r="G434" s="15">
        <v>88</v>
      </c>
      <c r="H434" s="15">
        <f t="shared" si="13"/>
        <v>264</v>
      </c>
    </row>
    <row r="435" spans="1:8" ht="15.75" x14ac:dyDescent="0.25">
      <c r="A435" s="38">
        <v>431</v>
      </c>
      <c r="B435" s="33" t="s">
        <v>400</v>
      </c>
      <c r="C435" s="14"/>
      <c r="D435" s="5"/>
      <c r="E435" s="12">
        <f>1+3</f>
        <v>4</v>
      </c>
      <c r="F435" s="5"/>
      <c r="G435" s="15">
        <v>98</v>
      </c>
      <c r="H435" s="15">
        <f t="shared" si="13"/>
        <v>392</v>
      </c>
    </row>
    <row r="436" spans="1:8" ht="15.75" x14ac:dyDescent="0.25">
      <c r="A436" s="38">
        <v>432</v>
      </c>
      <c r="B436" s="33" t="s">
        <v>401</v>
      </c>
      <c r="C436" s="14"/>
      <c r="D436" s="5"/>
      <c r="E436" s="12">
        <v>1</v>
      </c>
      <c r="F436" s="5"/>
      <c r="G436" s="15">
        <v>98</v>
      </c>
      <c r="H436" s="15">
        <f t="shared" si="13"/>
        <v>98</v>
      </c>
    </row>
    <row r="437" spans="1:8" ht="15.75" x14ac:dyDescent="0.25">
      <c r="A437" s="38">
        <v>433</v>
      </c>
      <c r="B437" s="33" t="s">
        <v>402</v>
      </c>
      <c r="C437" s="14"/>
      <c r="D437" s="5"/>
      <c r="E437" s="12"/>
      <c r="F437" s="5"/>
      <c r="G437" s="15">
        <v>90</v>
      </c>
      <c r="H437" s="15">
        <f t="shared" si="13"/>
        <v>0</v>
      </c>
    </row>
    <row r="438" spans="1:8" ht="15.75" x14ac:dyDescent="0.25">
      <c r="A438" s="38">
        <v>434</v>
      </c>
      <c r="B438" s="33" t="s">
        <v>405</v>
      </c>
      <c r="C438" s="14"/>
      <c r="D438" s="5"/>
      <c r="E438" s="12">
        <v>4</v>
      </c>
      <c r="F438" s="5"/>
      <c r="G438" s="15">
        <v>95</v>
      </c>
      <c r="H438" s="15">
        <f t="shared" si="13"/>
        <v>380</v>
      </c>
    </row>
    <row r="439" spans="1:8" ht="15.75" x14ac:dyDescent="0.25">
      <c r="A439" s="38">
        <v>435</v>
      </c>
      <c r="B439" s="33" t="s">
        <v>408</v>
      </c>
      <c r="C439" s="14"/>
      <c r="D439" s="5"/>
      <c r="E439" s="12"/>
      <c r="F439" s="5"/>
      <c r="G439" s="15">
        <v>78</v>
      </c>
      <c r="H439" s="15">
        <f t="shared" si="13"/>
        <v>0</v>
      </c>
    </row>
    <row r="440" spans="1:8" ht="15.75" x14ac:dyDescent="0.25">
      <c r="A440" s="38">
        <v>436</v>
      </c>
      <c r="B440" s="33" t="s">
        <v>411</v>
      </c>
      <c r="C440" s="14"/>
      <c r="D440" s="5"/>
      <c r="E440" s="12"/>
      <c r="F440" s="5"/>
      <c r="G440" s="15">
        <v>134</v>
      </c>
      <c r="H440" s="15">
        <f t="shared" si="13"/>
        <v>0</v>
      </c>
    </row>
    <row r="441" spans="1:8" ht="15.75" x14ac:dyDescent="0.25">
      <c r="A441" s="38">
        <v>437</v>
      </c>
      <c r="B441" s="33" t="s">
        <v>412</v>
      </c>
      <c r="C441" s="14"/>
      <c r="D441" s="5"/>
      <c r="E441" s="12">
        <f>36.9-0.66</f>
        <v>36.24</v>
      </c>
      <c r="F441" s="5"/>
      <c r="G441" s="15">
        <v>34</v>
      </c>
      <c r="H441" s="15">
        <f t="shared" si="13"/>
        <v>1232.1600000000001</v>
      </c>
    </row>
    <row r="442" spans="1:8" ht="15.75" x14ac:dyDescent="0.25">
      <c r="A442" s="38">
        <v>438</v>
      </c>
      <c r="B442" s="33" t="s">
        <v>413</v>
      </c>
      <c r="C442" s="14"/>
      <c r="D442" s="5"/>
      <c r="E442" s="12">
        <f>67.5</f>
        <v>67.5</v>
      </c>
      <c r="F442" s="5"/>
      <c r="G442" s="15">
        <v>145</v>
      </c>
      <c r="H442" s="15">
        <f t="shared" si="13"/>
        <v>9787.5</v>
      </c>
    </row>
    <row r="443" spans="1:8" ht="15.75" x14ac:dyDescent="0.25">
      <c r="A443" s="38">
        <v>439</v>
      </c>
      <c r="B443" s="33" t="s">
        <v>415</v>
      </c>
      <c r="C443" s="14"/>
      <c r="D443" s="5"/>
      <c r="E443" s="12">
        <f>88.3</f>
        <v>88.3</v>
      </c>
      <c r="F443" s="5"/>
      <c r="G443" s="15">
        <v>159</v>
      </c>
      <c r="H443" s="15">
        <f t="shared" si="13"/>
        <v>14039.699999999999</v>
      </c>
    </row>
    <row r="444" spans="1:8" ht="15.75" x14ac:dyDescent="0.25">
      <c r="A444" s="38">
        <v>440</v>
      </c>
      <c r="B444" s="33" t="s">
        <v>416</v>
      </c>
      <c r="C444" s="14"/>
      <c r="D444" s="5"/>
      <c r="E444" s="12">
        <f>42.9</f>
        <v>42.9</v>
      </c>
      <c r="F444" s="5"/>
      <c r="G444" s="15">
        <v>128</v>
      </c>
      <c r="H444" s="15">
        <f t="shared" si="13"/>
        <v>5491.2</v>
      </c>
    </row>
    <row r="445" spans="1:8" ht="15.75" x14ac:dyDescent="0.25">
      <c r="A445" s="38">
        <v>441</v>
      </c>
      <c r="B445" s="33" t="s">
        <v>417</v>
      </c>
      <c r="C445" s="14"/>
      <c r="D445" s="5"/>
      <c r="E445" s="12">
        <f>27.1</f>
        <v>27.1</v>
      </c>
      <c r="F445" s="5"/>
      <c r="G445" s="15">
        <v>150</v>
      </c>
      <c r="H445" s="15">
        <f t="shared" si="13"/>
        <v>4065</v>
      </c>
    </row>
    <row r="446" spans="1:8" ht="15.75" x14ac:dyDescent="0.25">
      <c r="A446" s="38">
        <v>442</v>
      </c>
      <c r="B446" s="33" t="s">
        <v>418</v>
      </c>
      <c r="C446" s="14"/>
      <c r="D446" s="5"/>
      <c r="E446" s="12">
        <f>1.745+4.7+136.5</f>
        <v>142.94499999999999</v>
      </c>
      <c r="F446" s="5"/>
      <c r="G446" s="15">
        <v>92</v>
      </c>
      <c r="H446" s="15">
        <f t="shared" si="13"/>
        <v>13150.939999999999</v>
      </c>
    </row>
    <row r="447" spans="1:8" ht="15.75" x14ac:dyDescent="0.25">
      <c r="A447" s="38">
        <v>443</v>
      </c>
      <c r="B447" s="33" t="s">
        <v>419</v>
      </c>
      <c r="C447" s="14"/>
      <c r="D447" s="5"/>
      <c r="E447" s="12">
        <f>96.7</f>
        <v>96.7</v>
      </c>
      <c r="F447" s="5"/>
      <c r="G447" s="15">
        <v>110</v>
      </c>
      <c r="H447" s="15">
        <f t="shared" si="13"/>
        <v>10637</v>
      </c>
    </row>
    <row r="448" spans="1:8" ht="15.75" x14ac:dyDescent="0.25">
      <c r="A448" s="38">
        <v>444</v>
      </c>
      <c r="B448" s="33" t="s">
        <v>420</v>
      </c>
      <c r="C448" s="14"/>
      <c r="D448" s="5"/>
      <c r="E448" s="12">
        <f>104.3+25.8</f>
        <v>130.1</v>
      </c>
      <c r="F448" s="5"/>
      <c r="G448" s="15">
        <v>204</v>
      </c>
      <c r="H448" s="15">
        <f t="shared" si="13"/>
        <v>26540.399999999998</v>
      </c>
    </row>
    <row r="449" spans="1:8" ht="15.75" x14ac:dyDescent="0.25">
      <c r="A449" s="38">
        <v>445</v>
      </c>
      <c r="B449" s="33" t="s">
        <v>421</v>
      </c>
      <c r="C449" s="14"/>
      <c r="D449" s="5"/>
      <c r="E449" s="12">
        <f>17.8</f>
        <v>17.8</v>
      </c>
      <c r="F449" s="5"/>
      <c r="G449" s="15">
        <v>18</v>
      </c>
      <c r="H449" s="15">
        <f t="shared" si="13"/>
        <v>320.40000000000003</v>
      </c>
    </row>
    <row r="450" spans="1:8" ht="15.75" x14ac:dyDescent="0.25">
      <c r="A450" s="38">
        <v>446</v>
      </c>
      <c r="B450" s="33" t="s">
        <v>424</v>
      </c>
      <c r="C450" s="14"/>
      <c r="D450" s="5"/>
      <c r="E450" s="12">
        <v>1.1200000000000001</v>
      </c>
      <c r="F450" s="5"/>
      <c r="G450" s="15">
        <v>810</v>
      </c>
      <c r="H450" s="15">
        <f t="shared" si="13"/>
        <v>907.2</v>
      </c>
    </row>
    <row r="451" spans="1:8" ht="15.75" x14ac:dyDescent="0.25">
      <c r="A451" s="38">
        <v>447</v>
      </c>
      <c r="B451" s="33" t="s">
        <v>426</v>
      </c>
      <c r="C451" s="14"/>
      <c r="D451" s="5"/>
      <c r="E451" s="12">
        <f>4.4+11.06+34+19.979</f>
        <v>69.438999999999993</v>
      </c>
      <c r="F451" s="5"/>
      <c r="G451" s="15">
        <v>450</v>
      </c>
      <c r="H451" s="15">
        <f t="shared" si="13"/>
        <v>31247.549999999996</v>
      </c>
    </row>
    <row r="452" spans="1:8" ht="15.75" x14ac:dyDescent="0.25">
      <c r="A452" s="38">
        <v>448</v>
      </c>
      <c r="B452" s="33" t="s">
        <v>428</v>
      </c>
      <c r="C452" s="14"/>
      <c r="D452" s="5"/>
      <c r="E452" s="12">
        <f>1.375+2.63+1.81+20.6+1.972+1.976+2.074+2.268</f>
        <v>34.704999999999998</v>
      </c>
      <c r="F452" s="5"/>
      <c r="G452" s="15">
        <v>760</v>
      </c>
      <c r="H452" s="15">
        <f t="shared" si="13"/>
        <v>26375.8</v>
      </c>
    </row>
    <row r="453" spans="1:8" ht="15.75" x14ac:dyDescent="0.25">
      <c r="A453" s="38">
        <v>449</v>
      </c>
      <c r="B453" s="33" t="s">
        <v>429</v>
      </c>
      <c r="C453" s="14"/>
      <c r="D453" s="5"/>
      <c r="E453" s="12"/>
      <c r="F453" s="5"/>
      <c r="G453" s="15">
        <v>75</v>
      </c>
      <c r="H453" s="15">
        <f t="shared" si="13"/>
        <v>0</v>
      </c>
    </row>
    <row r="454" spans="1:8" ht="15.75" x14ac:dyDescent="0.25">
      <c r="A454" s="38">
        <v>450</v>
      </c>
      <c r="B454" s="33" t="s">
        <v>430</v>
      </c>
      <c r="C454" s="14"/>
      <c r="D454" s="5"/>
      <c r="E454" s="12">
        <f>10+3</f>
        <v>13</v>
      </c>
      <c r="F454" s="5"/>
      <c r="G454" s="15">
        <v>85</v>
      </c>
      <c r="H454" s="15">
        <f t="shared" si="13"/>
        <v>1105</v>
      </c>
    </row>
    <row r="455" spans="1:8" ht="15.75" x14ac:dyDescent="0.25">
      <c r="A455" s="38">
        <v>451</v>
      </c>
      <c r="B455" s="33" t="s">
        <v>435</v>
      </c>
      <c r="C455" s="14"/>
      <c r="D455" s="5"/>
      <c r="E455" s="12"/>
      <c r="F455" s="5"/>
      <c r="G455" s="15">
        <v>225</v>
      </c>
      <c r="H455" s="15">
        <f t="shared" si="13"/>
        <v>0</v>
      </c>
    </row>
    <row r="456" spans="1:8" ht="15.75" x14ac:dyDescent="0.25">
      <c r="A456" s="38">
        <v>452</v>
      </c>
      <c r="B456" s="33" t="s">
        <v>436</v>
      </c>
      <c r="C456" s="14"/>
      <c r="D456" s="5"/>
      <c r="E456" s="12"/>
      <c r="F456" s="5"/>
      <c r="G456" s="15">
        <v>78</v>
      </c>
      <c r="H456" s="15">
        <f t="shared" si="13"/>
        <v>0</v>
      </c>
    </row>
    <row r="457" spans="1:8" ht="15.75" x14ac:dyDescent="0.25">
      <c r="A457" s="38">
        <v>453</v>
      </c>
      <c r="B457" s="33" t="s">
        <v>437</v>
      </c>
      <c r="C457" s="14"/>
      <c r="D457" s="5"/>
      <c r="E457" s="12">
        <f>3</f>
        <v>3</v>
      </c>
      <c r="F457" s="5"/>
      <c r="G457" s="15">
        <v>86</v>
      </c>
      <c r="H457" s="15">
        <f t="shared" si="13"/>
        <v>258</v>
      </c>
    </row>
    <row r="458" spans="1:8" ht="15.75" x14ac:dyDescent="0.25">
      <c r="A458" s="38">
        <v>454</v>
      </c>
      <c r="B458" s="33" t="s">
        <v>438</v>
      </c>
      <c r="C458" s="14"/>
      <c r="D458" s="5"/>
      <c r="E458" s="12">
        <v>7</v>
      </c>
      <c r="F458" s="5"/>
      <c r="G458" s="15">
        <v>75</v>
      </c>
      <c r="H458" s="15">
        <f t="shared" si="13"/>
        <v>525</v>
      </c>
    </row>
    <row r="459" spans="1:8" ht="15.75" x14ac:dyDescent="0.25">
      <c r="A459" s="38">
        <v>455</v>
      </c>
      <c r="B459" s="33" t="s">
        <v>439</v>
      </c>
      <c r="C459" s="14"/>
      <c r="D459" s="5"/>
      <c r="E459" s="12">
        <f>15.09+15.11+20.06+15.01+14.465+14.96+14.965+1.2+22.3+2.53</f>
        <v>135.69</v>
      </c>
      <c r="F459" s="5"/>
      <c r="G459" s="15">
        <v>168</v>
      </c>
      <c r="H459" s="15">
        <f t="shared" si="13"/>
        <v>22795.919999999998</v>
      </c>
    </row>
    <row r="460" spans="1:8" ht="15.75" x14ac:dyDescent="0.25">
      <c r="A460" s="38">
        <v>456</v>
      </c>
      <c r="B460" s="33" t="s">
        <v>446</v>
      </c>
      <c r="C460" s="14"/>
      <c r="D460" s="5"/>
      <c r="E460" s="12">
        <f>8.52</f>
        <v>8.52</v>
      </c>
      <c r="F460" s="5"/>
      <c r="G460" s="15">
        <v>80</v>
      </c>
      <c r="H460" s="15">
        <f t="shared" si="13"/>
        <v>681.59999999999991</v>
      </c>
    </row>
    <row r="461" spans="1:8" ht="15.75" x14ac:dyDescent="0.25">
      <c r="A461" s="38">
        <v>457</v>
      </c>
      <c r="B461" s="33" t="s">
        <v>448</v>
      </c>
      <c r="C461" s="14"/>
      <c r="D461" s="5"/>
      <c r="E461" s="12">
        <f>3.9</f>
        <v>3.9</v>
      </c>
      <c r="F461" s="5"/>
      <c r="G461" s="15">
        <v>225</v>
      </c>
      <c r="H461" s="15">
        <f t="shared" si="13"/>
        <v>877.5</v>
      </c>
    </row>
    <row r="462" spans="1:8" ht="15.75" x14ac:dyDescent="0.25">
      <c r="A462" s="38">
        <v>458</v>
      </c>
      <c r="B462" s="33" t="s">
        <v>449</v>
      </c>
      <c r="C462" s="14"/>
      <c r="D462" s="5"/>
      <c r="E462" s="12"/>
      <c r="F462" s="5"/>
      <c r="G462" s="15">
        <v>225</v>
      </c>
      <c r="H462" s="15">
        <f t="shared" si="13"/>
        <v>0</v>
      </c>
    </row>
    <row r="463" spans="1:8" ht="15.75" x14ac:dyDescent="0.25">
      <c r="A463" s="38">
        <v>459</v>
      </c>
      <c r="B463" s="33" t="s">
        <v>450</v>
      </c>
      <c r="C463" s="14"/>
      <c r="D463" s="5"/>
      <c r="E463" s="12">
        <v>2</v>
      </c>
      <c r="F463" s="5"/>
      <c r="G463" s="15">
        <v>205</v>
      </c>
      <c r="H463" s="15">
        <f t="shared" si="13"/>
        <v>410</v>
      </c>
    </row>
    <row r="464" spans="1:8" ht="15.75" x14ac:dyDescent="0.25">
      <c r="A464" s="38">
        <v>460</v>
      </c>
      <c r="B464" s="33" t="s">
        <v>451</v>
      </c>
      <c r="C464" s="14"/>
      <c r="D464" s="5"/>
      <c r="E464" s="12"/>
      <c r="F464" s="5"/>
      <c r="G464" s="15">
        <v>225</v>
      </c>
      <c r="H464" s="15">
        <f t="shared" si="13"/>
        <v>0</v>
      </c>
    </row>
    <row r="465" spans="1:8" ht="15.75" x14ac:dyDescent="0.25">
      <c r="A465" s="38">
        <v>461</v>
      </c>
      <c r="B465" s="33" t="s">
        <v>452</v>
      </c>
      <c r="C465" s="14"/>
      <c r="D465" s="5"/>
      <c r="E465" s="12"/>
      <c r="F465" s="5"/>
      <c r="G465" s="15">
        <v>225</v>
      </c>
      <c r="H465" s="15">
        <f t="shared" si="13"/>
        <v>0</v>
      </c>
    </row>
    <row r="466" spans="1:8" ht="15.75" x14ac:dyDescent="0.25">
      <c r="A466" s="38">
        <v>462</v>
      </c>
      <c r="B466" s="33" t="s">
        <v>453</v>
      </c>
      <c r="C466" s="14"/>
      <c r="D466" s="31"/>
      <c r="E466" s="12"/>
      <c r="F466" s="5"/>
      <c r="G466" s="15">
        <v>225</v>
      </c>
      <c r="H466" s="15">
        <f t="shared" si="13"/>
        <v>0</v>
      </c>
    </row>
    <row r="467" spans="1:8" ht="15.75" x14ac:dyDescent="0.25">
      <c r="A467" s="38">
        <v>463</v>
      </c>
      <c r="B467" s="33" t="s">
        <v>450</v>
      </c>
      <c r="C467" s="14"/>
      <c r="D467" s="5"/>
      <c r="E467" s="12"/>
      <c r="F467" s="5"/>
      <c r="G467" s="15">
        <v>225</v>
      </c>
      <c r="H467" s="15">
        <f t="shared" si="13"/>
        <v>0</v>
      </c>
    </row>
    <row r="468" spans="1:8" ht="15.75" x14ac:dyDescent="0.25">
      <c r="A468" s="38">
        <v>464</v>
      </c>
      <c r="B468" s="33" t="s">
        <v>455</v>
      </c>
      <c r="C468" s="14"/>
      <c r="D468" s="5"/>
      <c r="E468" s="12">
        <f>15</f>
        <v>15</v>
      </c>
      <c r="F468" s="5"/>
      <c r="G468" s="15">
        <v>28</v>
      </c>
      <c r="H468" s="15">
        <f t="shared" si="13"/>
        <v>420</v>
      </c>
    </row>
    <row r="469" spans="1:8" ht="15.75" x14ac:dyDescent="0.25">
      <c r="A469" s="38">
        <v>465</v>
      </c>
      <c r="B469" s="33" t="s">
        <v>465</v>
      </c>
      <c r="C469" s="14"/>
      <c r="D469" s="5"/>
      <c r="E469" s="5">
        <f>31.29-1.5</f>
        <v>29.79</v>
      </c>
      <c r="F469" s="5"/>
      <c r="G469" s="15">
        <v>114</v>
      </c>
      <c r="H469" s="15">
        <f t="shared" si="13"/>
        <v>3396.06</v>
      </c>
    </row>
    <row r="470" spans="1:8" ht="15.75" x14ac:dyDescent="0.25">
      <c r="A470" s="38">
        <v>466</v>
      </c>
      <c r="B470" s="48" t="s">
        <v>467</v>
      </c>
      <c r="C470" s="14"/>
      <c r="D470" s="5"/>
      <c r="E470" s="5">
        <v>5</v>
      </c>
      <c r="F470" s="5"/>
      <c r="G470" s="15">
        <v>80</v>
      </c>
      <c r="H470" s="15">
        <f t="shared" si="13"/>
        <v>400</v>
      </c>
    </row>
    <row r="471" spans="1:8" ht="15.75" x14ac:dyDescent="0.25">
      <c r="A471" s="38">
        <v>467</v>
      </c>
      <c r="B471" s="48" t="s">
        <v>469</v>
      </c>
      <c r="C471" s="14"/>
      <c r="D471" s="5"/>
      <c r="E471" s="5">
        <v>4</v>
      </c>
      <c r="F471" s="5"/>
      <c r="G471" s="15">
        <v>40</v>
      </c>
      <c r="H471" s="15">
        <f t="shared" si="13"/>
        <v>160</v>
      </c>
    </row>
    <row r="472" spans="1:8" ht="15.75" x14ac:dyDescent="0.25">
      <c r="A472" s="38">
        <v>468</v>
      </c>
      <c r="B472" s="48" t="s">
        <v>470</v>
      </c>
      <c r="C472" s="14"/>
      <c r="D472" s="5"/>
      <c r="E472" s="5">
        <v>3</v>
      </c>
      <c r="F472" s="5"/>
      <c r="G472" s="15">
        <v>90</v>
      </c>
      <c r="H472" s="15">
        <f t="shared" si="13"/>
        <v>270</v>
      </c>
    </row>
    <row r="473" spans="1:8" ht="15.75" x14ac:dyDescent="0.25">
      <c r="A473" s="38">
        <v>469</v>
      </c>
      <c r="B473" s="48" t="s">
        <v>471</v>
      </c>
      <c r="C473" s="14"/>
      <c r="D473" s="5"/>
      <c r="E473" s="5">
        <v>2</v>
      </c>
      <c r="F473" s="5"/>
      <c r="G473" s="15">
        <v>92</v>
      </c>
      <c r="H473" s="15">
        <f t="shared" si="13"/>
        <v>184</v>
      </c>
    </row>
    <row r="474" spans="1:8" ht="15.75" x14ac:dyDescent="0.25">
      <c r="A474" s="38">
        <v>470</v>
      </c>
      <c r="B474" s="48" t="s">
        <v>472</v>
      </c>
      <c r="C474" s="14"/>
      <c r="D474" s="5"/>
      <c r="E474" s="5">
        <f>2</f>
        <v>2</v>
      </c>
      <c r="F474" s="5"/>
      <c r="G474" s="15">
        <v>82</v>
      </c>
      <c r="H474" s="15">
        <f t="shared" ref="H474:H500" si="14">E474*G474</f>
        <v>164</v>
      </c>
    </row>
    <row r="475" spans="1:8" ht="15.75" x14ac:dyDescent="0.25">
      <c r="A475" s="38">
        <v>468</v>
      </c>
      <c r="B475" s="48" t="s">
        <v>473</v>
      </c>
      <c r="C475" s="14"/>
      <c r="D475" s="5"/>
      <c r="E475" s="5">
        <v>2</v>
      </c>
      <c r="F475" s="5"/>
      <c r="G475" s="15">
        <v>110</v>
      </c>
      <c r="H475" s="15">
        <f t="shared" si="14"/>
        <v>220</v>
      </c>
    </row>
    <row r="476" spans="1:8" ht="15.75" x14ac:dyDescent="0.25">
      <c r="A476" s="38">
        <v>469</v>
      </c>
      <c r="B476" s="48" t="s">
        <v>475</v>
      </c>
      <c r="C476" s="14"/>
      <c r="D476" s="5"/>
      <c r="E476" s="5">
        <v>2</v>
      </c>
      <c r="F476" s="5"/>
      <c r="G476" s="15">
        <v>92</v>
      </c>
      <c r="H476" s="15">
        <f t="shared" si="14"/>
        <v>184</v>
      </c>
    </row>
    <row r="477" spans="1:8" ht="15.75" x14ac:dyDescent="0.25">
      <c r="A477" s="38">
        <v>470</v>
      </c>
      <c r="B477" s="48" t="s">
        <v>476</v>
      </c>
      <c r="C477" s="14"/>
      <c r="D477" s="5"/>
      <c r="E477" s="5">
        <f>8.9</f>
        <v>8.9</v>
      </c>
      <c r="F477" s="5"/>
      <c r="G477" s="15">
        <v>160</v>
      </c>
      <c r="H477" s="15">
        <f t="shared" si="14"/>
        <v>1424</v>
      </c>
    </row>
    <row r="478" spans="1:8" ht="15.75" x14ac:dyDescent="0.25">
      <c r="A478" s="39">
        <v>471</v>
      </c>
      <c r="B478" s="48" t="s">
        <v>521</v>
      </c>
      <c r="C478" s="14"/>
      <c r="D478" s="5"/>
      <c r="E478" s="5">
        <v>3</v>
      </c>
      <c r="F478" s="5"/>
      <c r="G478" s="15">
        <v>190</v>
      </c>
      <c r="H478" s="15">
        <f t="shared" si="14"/>
        <v>570</v>
      </c>
    </row>
    <row r="479" spans="1:8" ht="15.75" x14ac:dyDescent="0.25">
      <c r="A479" s="38">
        <v>472</v>
      </c>
      <c r="B479" s="48" t="s">
        <v>477</v>
      </c>
      <c r="C479" s="14"/>
      <c r="D479" s="5"/>
      <c r="E479" s="5">
        <v>1</v>
      </c>
      <c r="F479" s="5"/>
      <c r="G479" s="15">
        <v>277</v>
      </c>
      <c r="H479" s="15">
        <f t="shared" si="14"/>
        <v>277</v>
      </c>
    </row>
    <row r="480" spans="1:8" ht="15.75" x14ac:dyDescent="0.25">
      <c r="A480" s="38">
        <v>473</v>
      </c>
      <c r="B480" s="48" t="s">
        <v>478</v>
      </c>
      <c r="C480" s="14"/>
      <c r="D480" s="5"/>
      <c r="E480" s="5">
        <v>2</v>
      </c>
      <c r="F480" s="5"/>
      <c r="G480" s="15">
        <v>298</v>
      </c>
      <c r="H480" s="15">
        <f t="shared" si="14"/>
        <v>596</v>
      </c>
    </row>
    <row r="481" spans="1:8" ht="15.75" x14ac:dyDescent="0.25">
      <c r="A481" s="38"/>
      <c r="B481" s="48" t="s">
        <v>479</v>
      </c>
      <c r="C481" s="14"/>
      <c r="D481" s="5"/>
      <c r="E481" s="5">
        <v>0.72</v>
      </c>
      <c r="F481" s="5"/>
      <c r="G481" s="15">
        <v>470</v>
      </c>
      <c r="H481" s="15">
        <f t="shared" si="14"/>
        <v>338.4</v>
      </c>
    </row>
    <row r="482" spans="1:8" ht="15.75" x14ac:dyDescent="0.25">
      <c r="A482" s="38"/>
      <c r="B482" s="48" t="s">
        <v>480</v>
      </c>
      <c r="C482" s="14"/>
      <c r="D482" s="5"/>
      <c r="E482" s="5">
        <v>3</v>
      </c>
      <c r="F482" s="5"/>
      <c r="G482" s="15">
        <v>175</v>
      </c>
      <c r="H482" s="15">
        <f t="shared" si="14"/>
        <v>525</v>
      </c>
    </row>
    <row r="483" spans="1:8" ht="15.75" x14ac:dyDescent="0.25">
      <c r="A483" s="38"/>
      <c r="B483" s="48" t="s">
        <v>482</v>
      </c>
      <c r="C483" s="14"/>
      <c r="D483" s="5"/>
      <c r="E483" s="5">
        <v>1</v>
      </c>
      <c r="F483" s="5"/>
      <c r="G483" s="15">
        <v>35</v>
      </c>
      <c r="H483" s="15">
        <f t="shared" si="14"/>
        <v>35</v>
      </c>
    </row>
    <row r="484" spans="1:8" ht="15.75" x14ac:dyDescent="0.25">
      <c r="A484" s="38"/>
      <c r="B484" s="48" t="s">
        <v>486</v>
      </c>
      <c r="C484" s="14"/>
      <c r="D484" s="5"/>
      <c r="E484" s="5">
        <f>192.1</f>
        <v>192.1</v>
      </c>
      <c r="F484" s="5"/>
      <c r="G484" s="15">
        <v>120</v>
      </c>
      <c r="H484" s="15">
        <f t="shared" si="14"/>
        <v>23052</v>
      </c>
    </row>
    <row r="485" spans="1:8" ht="15.75" x14ac:dyDescent="0.25">
      <c r="A485" s="38"/>
      <c r="B485" s="48" t="s">
        <v>490</v>
      </c>
      <c r="C485" s="14"/>
      <c r="D485" s="5"/>
      <c r="E485" s="5">
        <f>34.6</f>
        <v>34.6</v>
      </c>
      <c r="F485" s="5"/>
      <c r="G485" s="15">
        <v>204</v>
      </c>
      <c r="H485" s="15">
        <f t="shared" si="14"/>
        <v>7058.4000000000005</v>
      </c>
    </row>
    <row r="486" spans="1:8" ht="15.75" x14ac:dyDescent="0.25">
      <c r="A486" s="38"/>
      <c r="B486" s="48" t="s">
        <v>498</v>
      </c>
      <c r="C486" s="14"/>
      <c r="D486" s="5"/>
      <c r="E486" s="5">
        <f>3.5</f>
        <v>3.5</v>
      </c>
      <c r="F486" s="5"/>
      <c r="G486" s="15">
        <v>204</v>
      </c>
      <c r="H486" s="15">
        <f t="shared" si="14"/>
        <v>714</v>
      </c>
    </row>
    <row r="487" spans="1:8" ht="15.75" x14ac:dyDescent="0.25">
      <c r="A487" s="38"/>
      <c r="B487" s="48" t="s">
        <v>499</v>
      </c>
      <c r="C487" s="14"/>
      <c r="D487" s="5"/>
      <c r="E487" s="5">
        <f>78.7</f>
        <v>78.7</v>
      </c>
      <c r="F487" s="5"/>
      <c r="G487" s="15">
        <v>198</v>
      </c>
      <c r="H487" s="15">
        <f t="shared" si="14"/>
        <v>15582.6</v>
      </c>
    </row>
    <row r="488" spans="1:8" ht="15.75" x14ac:dyDescent="0.25">
      <c r="A488" s="38"/>
      <c r="B488" s="48" t="s">
        <v>500</v>
      </c>
      <c r="C488" s="14"/>
      <c r="D488" s="5"/>
      <c r="E488" s="5">
        <f>427.7</f>
        <v>427.7</v>
      </c>
      <c r="F488" s="5"/>
      <c r="G488" s="15">
        <v>140</v>
      </c>
      <c r="H488" s="15">
        <f t="shared" si="14"/>
        <v>59878</v>
      </c>
    </row>
    <row r="489" spans="1:8" ht="15.75" x14ac:dyDescent="0.25">
      <c r="A489" s="38"/>
      <c r="B489" s="48" t="s">
        <v>502</v>
      </c>
      <c r="C489" s="14"/>
      <c r="D489" s="5"/>
      <c r="E489" s="5">
        <f>622.5+309+112.5</f>
        <v>1044</v>
      </c>
      <c r="F489" s="5"/>
      <c r="G489" s="15">
        <v>60</v>
      </c>
      <c r="H489" s="15">
        <f t="shared" si="14"/>
        <v>62640</v>
      </c>
    </row>
    <row r="490" spans="1:8" ht="15.75" x14ac:dyDescent="0.25">
      <c r="A490" s="38"/>
      <c r="B490" s="48" t="s">
        <v>503</v>
      </c>
      <c r="C490" s="14"/>
      <c r="D490" s="5"/>
      <c r="E490" s="5">
        <f>34.9+22.4+26.3</f>
        <v>83.6</v>
      </c>
      <c r="F490" s="5"/>
      <c r="G490" s="15">
        <v>190</v>
      </c>
      <c r="H490" s="15">
        <f t="shared" si="14"/>
        <v>15883.999999999998</v>
      </c>
    </row>
    <row r="491" spans="1:8" ht="15.75" x14ac:dyDescent="0.25">
      <c r="A491" s="38"/>
      <c r="B491" s="48" t="s">
        <v>506</v>
      </c>
      <c r="C491" s="14"/>
      <c r="D491" s="5"/>
      <c r="E491" s="5">
        <f>3+1</f>
        <v>4</v>
      </c>
      <c r="F491" s="5"/>
      <c r="G491" s="15">
        <v>98</v>
      </c>
      <c r="H491" s="15">
        <f t="shared" si="14"/>
        <v>392</v>
      </c>
    </row>
    <row r="492" spans="1:8" ht="15.75" x14ac:dyDescent="0.25">
      <c r="A492" s="38"/>
      <c r="B492" s="48" t="s">
        <v>508</v>
      </c>
      <c r="C492" s="14"/>
      <c r="D492" s="5"/>
      <c r="E492" s="5">
        <v>1</v>
      </c>
      <c r="F492" s="5"/>
      <c r="G492" s="15">
        <v>77</v>
      </c>
      <c r="H492" s="15">
        <f t="shared" si="14"/>
        <v>77</v>
      </c>
    </row>
    <row r="493" spans="1:8" ht="15.75" x14ac:dyDescent="0.25">
      <c r="A493" s="38"/>
      <c r="B493" s="48" t="s">
        <v>509</v>
      </c>
      <c r="C493" s="14"/>
      <c r="D493" s="5"/>
      <c r="E493" s="5">
        <v>2</v>
      </c>
      <c r="F493" s="5"/>
      <c r="G493" s="15">
        <v>60</v>
      </c>
      <c r="H493" s="15">
        <f t="shared" si="14"/>
        <v>120</v>
      </c>
    </row>
    <row r="494" spans="1:8" ht="15.75" x14ac:dyDescent="0.25">
      <c r="A494" s="38"/>
      <c r="B494" s="48" t="s">
        <v>510</v>
      </c>
      <c r="C494" s="14"/>
      <c r="D494" s="5"/>
      <c r="E494" s="5">
        <v>2</v>
      </c>
      <c r="F494" s="5"/>
      <c r="G494" s="15">
        <v>45</v>
      </c>
      <c r="H494" s="15">
        <f t="shared" si="14"/>
        <v>90</v>
      </c>
    </row>
    <row r="495" spans="1:8" ht="15.75" x14ac:dyDescent="0.25">
      <c r="A495" s="38"/>
      <c r="B495" s="48" t="s">
        <v>512</v>
      </c>
      <c r="C495" s="14"/>
      <c r="D495" s="5"/>
      <c r="E495" s="5">
        <v>4</v>
      </c>
      <c r="F495" s="5"/>
      <c r="G495" s="15">
        <v>90</v>
      </c>
      <c r="H495" s="15">
        <f t="shared" si="14"/>
        <v>360</v>
      </c>
    </row>
    <row r="496" spans="1:8" ht="15.75" x14ac:dyDescent="0.25">
      <c r="A496" s="38"/>
      <c r="B496" s="48" t="s">
        <v>513</v>
      </c>
      <c r="C496" s="14"/>
      <c r="D496" s="5"/>
      <c r="E496" s="5">
        <v>6</v>
      </c>
      <c r="F496" s="5"/>
      <c r="G496" s="15">
        <v>98</v>
      </c>
      <c r="H496" s="15">
        <f t="shared" si="14"/>
        <v>588</v>
      </c>
    </row>
    <row r="497" spans="1:8" ht="15.75" x14ac:dyDescent="0.25">
      <c r="A497" s="38"/>
      <c r="B497" s="48" t="s">
        <v>514</v>
      </c>
      <c r="C497" s="14"/>
      <c r="D497" s="5"/>
      <c r="E497" s="5">
        <v>2</v>
      </c>
      <c r="F497" s="5"/>
      <c r="G497" s="15">
        <v>65</v>
      </c>
      <c r="H497" s="15">
        <f t="shared" si="14"/>
        <v>130</v>
      </c>
    </row>
    <row r="498" spans="1:8" ht="15.75" x14ac:dyDescent="0.25">
      <c r="A498" s="38"/>
      <c r="B498" s="48" t="s">
        <v>410</v>
      </c>
      <c r="C498" s="14"/>
      <c r="D498" s="5"/>
      <c r="E498" s="5">
        <v>4</v>
      </c>
      <c r="F498" s="5"/>
      <c r="G498" s="15">
        <v>60</v>
      </c>
      <c r="H498" s="15">
        <f t="shared" si="14"/>
        <v>240</v>
      </c>
    </row>
    <row r="499" spans="1:8" ht="15.75" x14ac:dyDescent="0.25">
      <c r="A499" s="38"/>
      <c r="B499" s="48" t="s">
        <v>485</v>
      </c>
      <c r="C499" s="14"/>
      <c r="D499" s="5"/>
      <c r="E499" s="5">
        <v>2292.5300000000002</v>
      </c>
      <c r="F499" s="5"/>
      <c r="G499" s="15">
        <v>38</v>
      </c>
      <c r="H499" s="15">
        <f t="shared" si="14"/>
        <v>87116.140000000014</v>
      </c>
    </row>
    <row r="500" spans="1:8" ht="15.75" x14ac:dyDescent="0.25">
      <c r="A500" s="40"/>
      <c r="B500" s="36"/>
      <c r="H500" s="15">
        <f t="shared" si="14"/>
        <v>0</v>
      </c>
    </row>
    <row r="501" spans="1:8" ht="31.5" x14ac:dyDescent="0.5">
      <c r="A501" s="40"/>
      <c r="B501" s="32" t="s">
        <v>11</v>
      </c>
      <c r="C501" s="25"/>
      <c r="D501" s="25"/>
      <c r="E501" s="26">
        <f>SUM(E5:E499)</f>
        <v>29486.535999999993</v>
      </c>
      <c r="F501" s="26">
        <f>SUM(F5:F222)</f>
        <v>3</v>
      </c>
      <c r="G501" s="25"/>
      <c r="H501" s="68">
        <f>SUM(H5:H500)</f>
        <v>3667627.7480000011</v>
      </c>
    </row>
    <row r="502" spans="1:8" ht="15.75" x14ac:dyDescent="0.25">
      <c r="A502" s="40"/>
      <c r="B502" s="36"/>
    </row>
    <row r="503" spans="1:8" ht="18.75" x14ac:dyDescent="0.3">
      <c r="A503" s="40"/>
      <c r="B503" s="65" t="s">
        <v>13</v>
      </c>
      <c r="E503" s="42" t="s">
        <v>14</v>
      </c>
      <c r="F503" s="43" t="s">
        <v>10</v>
      </c>
      <c r="G503" s="44" t="s">
        <v>360</v>
      </c>
    </row>
    <row r="504" spans="1:8" x14ac:dyDescent="0.25">
      <c r="A504" s="40"/>
      <c r="B504" s="66"/>
      <c r="E504" s="62">
        <v>748</v>
      </c>
      <c r="F504" s="62">
        <v>145</v>
      </c>
      <c r="G504" s="64">
        <f>E504+F504</f>
        <v>893</v>
      </c>
    </row>
    <row r="505" spans="1:8" x14ac:dyDescent="0.25">
      <c r="A505" s="40"/>
      <c r="B505" s="67"/>
      <c r="E505" s="63"/>
      <c r="F505" s="63"/>
      <c r="G505" s="64"/>
    </row>
  </sheetData>
  <protectedRanges>
    <protectedRange algorithmName="SHA-512" hashValue="U597kkUQHT7TQolN/9CZogveJ5wz1CN2QHYRZizopIWrLXDCfOGDN6VokmodtcCsYIWq9+An5uQDn2r1oP/i4g==" saltValue="SnA6tyDqU/dOuFXJK2H2AQ==" spinCount="100000" sqref="F5:G7" name="Rango1"/>
  </protectedRanges>
  <mergeCells count="7">
    <mergeCell ref="A1:H1"/>
    <mergeCell ref="A2:H2"/>
    <mergeCell ref="A3:H3"/>
    <mergeCell ref="B503:B505"/>
    <mergeCell ref="E504:E505"/>
    <mergeCell ref="F504:F505"/>
    <mergeCell ref="G504:G505"/>
  </mergeCells>
  <pageMargins left="0.23622047244094491" right="0.23622047244094491" top="0.15748031496062992" bottom="0.15748031496062992" header="0.31496062992125984" footer="0.31496062992125984"/>
  <pageSetup scale="8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1" workbookViewId="0">
      <selection activeCell="A101" sqref="A101:XFD111"/>
    </sheetView>
  </sheetViews>
  <sheetFormatPr baseColWidth="10" defaultRowHeight="15" x14ac:dyDescent="0.25"/>
  <cols>
    <col min="2" max="2" width="31.85546875" bestFit="1" customWidth="1"/>
  </cols>
  <sheetData>
    <row r="1" spans="1:8" x14ac:dyDescent="0.25">
      <c r="A1" s="6">
        <v>209</v>
      </c>
      <c r="B1" t="s">
        <v>166</v>
      </c>
      <c r="C1" s="19"/>
      <c r="D1" s="12"/>
      <c r="E1" s="19">
        <f t="shared" ref="E1:E32" si="0">C1-(2.2*D1)</f>
        <v>0</v>
      </c>
      <c r="F1" s="5"/>
      <c r="G1" s="15"/>
      <c r="H1" s="15">
        <f>E1*G1</f>
        <v>0</v>
      </c>
    </row>
    <row r="2" spans="1:8" x14ac:dyDescent="0.25">
      <c r="A2" s="6">
        <v>210</v>
      </c>
      <c r="B2" t="s">
        <v>167</v>
      </c>
      <c r="C2" s="19"/>
      <c r="D2" s="12"/>
      <c r="E2" s="19">
        <f t="shared" si="0"/>
        <v>0</v>
      </c>
      <c r="F2" s="5"/>
      <c r="G2" s="15"/>
      <c r="H2" s="15">
        <f>E2*G2</f>
        <v>0</v>
      </c>
    </row>
    <row r="3" spans="1:8" x14ac:dyDescent="0.25">
      <c r="A3" s="6">
        <v>211</v>
      </c>
      <c r="B3" t="s">
        <v>168</v>
      </c>
      <c r="C3" s="19"/>
      <c r="D3" s="12"/>
      <c r="E3" s="19">
        <f t="shared" si="0"/>
        <v>0</v>
      </c>
      <c r="F3" s="5"/>
      <c r="G3" s="15"/>
      <c r="H3" s="15">
        <f>E3*G3</f>
        <v>0</v>
      </c>
    </row>
    <row r="4" spans="1:8" x14ac:dyDescent="0.25">
      <c r="A4" s="6">
        <v>212</v>
      </c>
      <c r="B4" t="s">
        <v>169</v>
      </c>
      <c r="C4" s="19"/>
      <c r="D4" s="12"/>
      <c r="E4" s="19">
        <f t="shared" si="0"/>
        <v>0</v>
      </c>
      <c r="F4" s="5"/>
      <c r="G4" s="15"/>
      <c r="H4" s="15">
        <f>F4*G4</f>
        <v>0</v>
      </c>
    </row>
    <row r="5" spans="1:8" x14ac:dyDescent="0.25">
      <c r="A5" s="4">
        <v>213</v>
      </c>
      <c r="B5" t="s">
        <v>170</v>
      </c>
      <c r="C5" s="19"/>
      <c r="D5" s="12"/>
      <c r="E5" s="19">
        <f t="shared" si="0"/>
        <v>0</v>
      </c>
      <c r="F5" s="5"/>
      <c r="G5" s="15"/>
      <c r="H5" s="15">
        <f>E5*G5</f>
        <v>0</v>
      </c>
    </row>
    <row r="6" spans="1:8" x14ac:dyDescent="0.25">
      <c r="A6" s="6">
        <v>214</v>
      </c>
      <c r="B6" t="s">
        <v>136</v>
      </c>
      <c r="C6" s="13"/>
      <c r="D6" s="13"/>
      <c r="E6" s="19">
        <f t="shared" si="0"/>
        <v>0</v>
      </c>
      <c r="F6" s="13"/>
      <c r="G6" s="22"/>
      <c r="H6" s="15">
        <f>F6*G6</f>
        <v>0</v>
      </c>
    </row>
    <row r="7" spans="1:8" x14ac:dyDescent="0.25">
      <c r="A7" s="6">
        <v>215</v>
      </c>
      <c r="B7" t="s">
        <v>171</v>
      </c>
      <c r="C7" s="13"/>
      <c r="D7" s="13"/>
      <c r="E7" s="19">
        <f t="shared" si="0"/>
        <v>0</v>
      </c>
      <c r="F7" s="13"/>
      <c r="G7" s="22"/>
      <c r="H7" s="15">
        <f t="shared" ref="H7:H45" si="1">E7*G7</f>
        <v>0</v>
      </c>
    </row>
    <row r="8" spans="1:8" x14ac:dyDescent="0.25">
      <c r="A8" s="6">
        <v>216</v>
      </c>
      <c r="B8" t="s">
        <v>172</v>
      </c>
      <c r="C8" s="14"/>
      <c r="D8" s="5"/>
      <c r="E8" s="19">
        <f t="shared" si="0"/>
        <v>0</v>
      </c>
      <c r="F8" s="5"/>
      <c r="G8" s="15"/>
      <c r="H8" s="15">
        <f t="shared" si="1"/>
        <v>0</v>
      </c>
    </row>
    <row r="9" spans="1:8" x14ac:dyDescent="0.25">
      <c r="A9" s="6">
        <v>217</v>
      </c>
      <c r="B9" t="s">
        <v>173</v>
      </c>
      <c r="C9" s="14"/>
      <c r="D9" s="5"/>
      <c r="E9" s="19">
        <f t="shared" si="0"/>
        <v>0</v>
      </c>
      <c r="F9" s="5"/>
      <c r="G9" s="15"/>
      <c r="H9" s="15">
        <f t="shared" si="1"/>
        <v>0</v>
      </c>
    </row>
    <row r="10" spans="1:8" x14ac:dyDescent="0.25">
      <c r="A10" s="4">
        <v>218</v>
      </c>
      <c r="B10" t="s">
        <v>174</v>
      </c>
      <c r="C10" s="14"/>
      <c r="D10" s="5"/>
      <c r="E10" s="19">
        <f t="shared" si="0"/>
        <v>0</v>
      </c>
      <c r="F10" s="5"/>
      <c r="G10" s="15"/>
      <c r="H10" s="15">
        <f t="shared" si="1"/>
        <v>0</v>
      </c>
    </row>
    <row r="11" spans="1:8" x14ac:dyDescent="0.25">
      <c r="A11" s="6">
        <v>219</v>
      </c>
      <c r="B11" t="s">
        <v>171</v>
      </c>
      <c r="C11" s="14"/>
      <c r="D11" s="5"/>
      <c r="E11" s="19">
        <f t="shared" si="0"/>
        <v>0</v>
      </c>
      <c r="F11" s="5"/>
      <c r="G11" s="15"/>
      <c r="H11" s="15">
        <f t="shared" si="1"/>
        <v>0</v>
      </c>
    </row>
    <row r="12" spans="1:8" x14ac:dyDescent="0.25">
      <c r="A12" s="6">
        <v>220</v>
      </c>
      <c r="B12" t="s">
        <v>175</v>
      </c>
      <c r="C12" s="14"/>
      <c r="D12" s="5"/>
      <c r="E12" s="19">
        <f t="shared" si="0"/>
        <v>0</v>
      </c>
      <c r="F12" s="5"/>
      <c r="G12" s="15"/>
      <c r="H12" s="15">
        <f t="shared" si="1"/>
        <v>0</v>
      </c>
    </row>
    <row r="13" spans="1:8" x14ac:dyDescent="0.25">
      <c r="A13" s="6">
        <v>221</v>
      </c>
      <c r="B13" t="s">
        <v>176</v>
      </c>
      <c r="C13" s="14"/>
      <c r="D13" s="5"/>
      <c r="E13" s="19">
        <f t="shared" si="0"/>
        <v>0</v>
      </c>
      <c r="F13" s="5"/>
      <c r="G13" s="15"/>
      <c r="H13" s="15">
        <f t="shared" si="1"/>
        <v>0</v>
      </c>
    </row>
    <row r="14" spans="1:8" x14ac:dyDescent="0.25">
      <c r="A14" s="6">
        <v>222</v>
      </c>
      <c r="B14" t="s">
        <v>177</v>
      </c>
      <c r="C14" s="14"/>
      <c r="D14" s="5"/>
      <c r="E14" s="19">
        <f t="shared" si="0"/>
        <v>0</v>
      </c>
      <c r="F14" s="5"/>
      <c r="G14" s="15"/>
      <c r="H14" s="15">
        <f t="shared" si="1"/>
        <v>0</v>
      </c>
    </row>
    <row r="15" spans="1:8" x14ac:dyDescent="0.25">
      <c r="A15" s="4">
        <v>223</v>
      </c>
      <c r="B15" t="s">
        <v>172</v>
      </c>
      <c r="C15" s="14"/>
      <c r="D15" s="5"/>
      <c r="E15" s="19">
        <f t="shared" si="0"/>
        <v>0</v>
      </c>
      <c r="F15" s="5"/>
      <c r="G15" s="15"/>
      <c r="H15" s="15">
        <f t="shared" si="1"/>
        <v>0</v>
      </c>
    </row>
    <row r="16" spans="1:8" x14ac:dyDescent="0.25">
      <c r="A16" s="6">
        <v>224</v>
      </c>
      <c r="B16" t="s">
        <v>178</v>
      </c>
      <c r="C16" s="14"/>
      <c r="D16" s="5"/>
      <c r="E16" s="19">
        <f t="shared" si="0"/>
        <v>0</v>
      </c>
      <c r="F16" s="5"/>
      <c r="G16" s="15"/>
      <c r="H16" s="15">
        <f t="shared" si="1"/>
        <v>0</v>
      </c>
    </row>
    <row r="17" spans="1:8" x14ac:dyDescent="0.25">
      <c r="A17" s="6">
        <v>225</v>
      </c>
      <c r="B17" t="s">
        <v>179</v>
      </c>
      <c r="C17" s="14"/>
      <c r="D17" s="5"/>
      <c r="E17" s="19">
        <f t="shared" si="0"/>
        <v>0</v>
      </c>
      <c r="F17" s="5"/>
      <c r="G17" s="15"/>
      <c r="H17" s="15">
        <f t="shared" si="1"/>
        <v>0</v>
      </c>
    </row>
    <row r="18" spans="1:8" x14ac:dyDescent="0.25">
      <c r="A18" s="6">
        <v>226</v>
      </c>
      <c r="B18" t="s">
        <v>180</v>
      </c>
      <c r="C18" s="14"/>
      <c r="D18" s="5"/>
      <c r="E18" s="19">
        <f t="shared" si="0"/>
        <v>0</v>
      </c>
      <c r="F18" s="5"/>
      <c r="G18" s="15"/>
      <c r="H18" s="15">
        <f t="shared" si="1"/>
        <v>0</v>
      </c>
    </row>
    <row r="19" spans="1:8" x14ac:dyDescent="0.25">
      <c r="A19" s="6">
        <v>227</v>
      </c>
      <c r="B19" t="s">
        <v>181</v>
      </c>
      <c r="C19" s="14"/>
      <c r="D19" s="5"/>
      <c r="E19" s="19">
        <f t="shared" si="0"/>
        <v>0</v>
      </c>
      <c r="F19" s="5"/>
      <c r="G19" s="15"/>
      <c r="H19" s="15">
        <f t="shared" si="1"/>
        <v>0</v>
      </c>
    </row>
    <row r="20" spans="1:8" x14ac:dyDescent="0.25">
      <c r="A20" s="4">
        <v>228</v>
      </c>
      <c r="B20" t="s">
        <v>182</v>
      </c>
      <c r="C20" s="14"/>
      <c r="D20" s="5"/>
      <c r="E20" s="19">
        <f t="shared" si="0"/>
        <v>0</v>
      </c>
      <c r="F20" s="5"/>
      <c r="G20" s="15"/>
      <c r="H20" s="15">
        <f t="shared" si="1"/>
        <v>0</v>
      </c>
    </row>
    <row r="21" spans="1:8" x14ac:dyDescent="0.25">
      <c r="A21" s="6">
        <v>229</v>
      </c>
      <c r="B21" t="s">
        <v>171</v>
      </c>
      <c r="C21" s="14"/>
      <c r="D21" s="5"/>
      <c r="E21" s="19">
        <f t="shared" si="0"/>
        <v>0</v>
      </c>
      <c r="F21" s="5"/>
      <c r="G21" s="15"/>
      <c r="H21" s="15">
        <f t="shared" si="1"/>
        <v>0</v>
      </c>
    </row>
    <row r="22" spans="1:8" x14ac:dyDescent="0.25">
      <c r="A22" s="6">
        <v>230</v>
      </c>
      <c r="B22" t="s">
        <v>178</v>
      </c>
      <c r="C22" s="14"/>
      <c r="D22" s="5"/>
      <c r="E22" s="19">
        <f t="shared" si="0"/>
        <v>0</v>
      </c>
      <c r="F22" s="5"/>
      <c r="G22" s="15"/>
      <c r="H22" s="15">
        <f t="shared" si="1"/>
        <v>0</v>
      </c>
    </row>
    <row r="23" spans="1:8" x14ac:dyDescent="0.25">
      <c r="A23" s="6">
        <v>231</v>
      </c>
      <c r="B23" t="s">
        <v>171</v>
      </c>
      <c r="C23" s="14"/>
      <c r="D23" s="5"/>
      <c r="E23" s="19">
        <f t="shared" si="0"/>
        <v>0</v>
      </c>
      <c r="F23" s="5"/>
      <c r="G23" s="15"/>
      <c r="H23" s="15">
        <f t="shared" si="1"/>
        <v>0</v>
      </c>
    </row>
    <row r="24" spans="1:8" x14ac:dyDescent="0.25">
      <c r="A24" s="6">
        <v>232</v>
      </c>
      <c r="B24" t="s">
        <v>183</v>
      </c>
      <c r="C24" s="14"/>
      <c r="D24" s="5"/>
      <c r="E24" s="19">
        <f t="shared" si="0"/>
        <v>0</v>
      </c>
      <c r="F24" s="5"/>
      <c r="G24" s="15"/>
      <c r="H24" s="15">
        <f t="shared" si="1"/>
        <v>0</v>
      </c>
    </row>
    <row r="25" spans="1:8" x14ac:dyDescent="0.25">
      <c r="A25" s="4">
        <v>233</v>
      </c>
      <c r="B25" t="s">
        <v>171</v>
      </c>
      <c r="C25" s="14"/>
      <c r="D25" s="5"/>
      <c r="E25" s="19">
        <f t="shared" si="0"/>
        <v>0</v>
      </c>
      <c r="F25" s="5"/>
      <c r="G25" s="15"/>
      <c r="H25" s="15">
        <f t="shared" si="1"/>
        <v>0</v>
      </c>
    </row>
    <row r="26" spans="1:8" x14ac:dyDescent="0.25">
      <c r="A26" s="6">
        <v>234</v>
      </c>
      <c r="B26" t="s">
        <v>180</v>
      </c>
      <c r="C26" s="19"/>
      <c r="D26" s="12"/>
      <c r="E26" s="19">
        <f t="shared" si="0"/>
        <v>0</v>
      </c>
      <c r="F26" s="5"/>
      <c r="G26" s="15"/>
      <c r="H26" s="15">
        <f t="shared" si="1"/>
        <v>0</v>
      </c>
    </row>
    <row r="27" spans="1:8" x14ac:dyDescent="0.25">
      <c r="A27" s="6">
        <v>235</v>
      </c>
      <c r="B27" t="s">
        <v>184</v>
      </c>
      <c r="C27" s="19"/>
      <c r="D27" s="12"/>
      <c r="E27" s="19">
        <f t="shared" si="0"/>
        <v>0</v>
      </c>
      <c r="F27" s="5"/>
      <c r="G27" s="15"/>
      <c r="H27" s="15">
        <f t="shared" si="1"/>
        <v>0</v>
      </c>
    </row>
    <row r="28" spans="1:8" x14ac:dyDescent="0.25">
      <c r="A28" s="6">
        <v>236</v>
      </c>
      <c r="B28" t="s">
        <v>171</v>
      </c>
      <c r="C28" s="19"/>
      <c r="D28" s="12"/>
      <c r="E28" s="19">
        <f t="shared" si="0"/>
        <v>0</v>
      </c>
      <c r="F28" s="5"/>
      <c r="G28" s="15"/>
      <c r="H28" s="15">
        <f t="shared" si="1"/>
        <v>0</v>
      </c>
    </row>
    <row r="29" spans="1:8" x14ac:dyDescent="0.25">
      <c r="A29" s="6">
        <v>237</v>
      </c>
      <c r="B29" t="s">
        <v>171</v>
      </c>
      <c r="C29" s="19"/>
      <c r="D29" s="12"/>
      <c r="E29" s="19">
        <f t="shared" si="0"/>
        <v>0</v>
      </c>
      <c r="F29" s="5"/>
      <c r="G29" s="15"/>
      <c r="H29" s="15">
        <f t="shared" si="1"/>
        <v>0</v>
      </c>
    </row>
    <row r="30" spans="1:8" x14ac:dyDescent="0.25">
      <c r="A30" s="4">
        <v>238</v>
      </c>
      <c r="B30" t="s">
        <v>185</v>
      </c>
      <c r="C30" s="19"/>
      <c r="D30" s="12"/>
      <c r="E30" s="19">
        <f t="shared" si="0"/>
        <v>0</v>
      </c>
      <c r="F30" s="5"/>
      <c r="G30" s="15"/>
      <c r="H30" s="15">
        <f t="shared" si="1"/>
        <v>0</v>
      </c>
    </row>
    <row r="31" spans="1:8" x14ac:dyDescent="0.25">
      <c r="A31" s="6">
        <v>239</v>
      </c>
      <c r="B31" t="s">
        <v>186</v>
      </c>
      <c r="C31" s="19"/>
      <c r="D31" s="12"/>
      <c r="E31" s="19">
        <f t="shared" si="0"/>
        <v>0</v>
      </c>
      <c r="F31" s="12"/>
      <c r="G31" s="20"/>
      <c r="H31" s="15">
        <f t="shared" si="1"/>
        <v>0</v>
      </c>
    </row>
    <row r="32" spans="1:8" x14ac:dyDescent="0.25">
      <c r="A32" s="6">
        <v>240</v>
      </c>
      <c r="B32" t="s">
        <v>187</v>
      </c>
      <c r="C32" s="19"/>
      <c r="D32" s="12"/>
      <c r="E32" s="19">
        <f t="shared" si="0"/>
        <v>0</v>
      </c>
      <c r="F32" s="5"/>
      <c r="G32" s="15"/>
      <c r="H32" s="15">
        <f t="shared" si="1"/>
        <v>0</v>
      </c>
    </row>
    <row r="33" spans="1:8" x14ac:dyDescent="0.25">
      <c r="A33" s="6">
        <v>241</v>
      </c>
      <c r="B33" t="s">
        <v>188</v>
      </c>
      <c r="C33" s="19"/>
      <c r="D33" s="12"/>
      <c r="E33" s="19">
        <f t="shared" ref="E33:E64" si="2">C33-(2.2*D33)</f>
        <v>0</v>
      </c>
      <c r="F33" s="5"/>
      <c r="G33" s="15"/>
      <c r="H33" s="15">
        <f t="shared" si="1"/>
        <v>0</v>
      </c>
    </row>
    <row r="34" spans="1:8" x14ac:dyDescent="0.25">
      <c r="A34" s="6">
        <v>242</v>
      </c>
      <c r="B34" t="s">
        <v>189</v>
      </c>
      <c r="C34" s="19"/>
      <c r="D34" s="12"/>
      <c r="E34" s="19">
        <f t="shared" si="2"/>
        <v>0</v>
      </c>
      <c r="F34" s="5"/>
      <c r="G34" s="15"/>
      <c r="H34" s="15">
        <f t="shared" si="1"/>
        <v>0</v>
      </c>
    </row>
    <row r="35" spans="1:8" x14ac:dyDescent="0.25">
      <c r="A35" s="4">
        <v>243</v>
      </c>
      <c r="B35" t="s">
        <v>190</v>
      </c>
      <c r="C35" s="19"/>
      <c r="D35" s="12"/>
      <c r="E35" s="19">
        <f t="shared" si="2"/>
        <v>0</v>
      </c>
      <c r="F35" s="5"/>
      <c r="G35" s="15"/>
      <c r="H35" s="15">
        <f t="shared" si="1"/>
        <v>0</v>
      </c>
    </row>
    <row r="36" spans="1:8" x14ac:dyDescent="0.25">
      <c r="A36" s="6">
        <v>244</v>
      </c>
      <c r="B36" t="s">
        <v>191</v>
      </c>
      <c r="C36" s="19"/>
      <c r="D36" s="12"/>
      <c r="E36" s="19">
        <f t="shared" si="2"/>
        <v>0</v>
      </c>
      <c r="F36" s="5"/>
      <c r="G36" s="15"/>
      <c r="H36" s="15">
        <f t="shared" si="1"/>
        <v>0</v>
      </c>
    </row>
    <row r="37" spans="1:8" x14ac:dyDescent="0.25">
      <c r="A37" s="6">
        <v>245</v>
      </c>
      <c r="B37" t="s">
        <v>171</v>
      </c>
      <c r="C37" s="19"/>
      <c r="D37" s="12"/>
      <c r="E37" s="19">
        <f t="shared" si="2"/>
        <v>0</v>
      </c>
      <c r="F37" s="5"/>
      <c r="G37" s="15"/>
      <c r="H37" s="15">
        <f t="shared" si="1"/>
        <v>0</v>
      </c>
    </row>
    <row r="38" spans="1:8" x14ac:dyDescent="0.25">
      <c r="A38" s="6">
        <v>246</v>
      </c>
      <c r="B38" t="s">
        <v>192</v>
      </c>
      <c r="C38" s="19"/>
      <c r="D38" s="12"/>
      <c r="E38" s="19">
        <f t="shared" si="2"/>
        <v>0</v>
      </c>
      <c r="F38" s="5"/>
      <c r="G38" s="15"/>
      <c r="H38" s="15">
        <f t="shared" si="1"/>
        <v>0</v>
      </c>
    </row>
    <row r="39" spans="1:8" x14ac:dyDescent="0.25">
      <c r="A39" s="6">
        <v>247</v>
      </c>
      <c r="B39" t="s">
        <v>193</v>
      </c>
      <c r="C39" s="19"/>
      <c r="D39" s="12"/>
      <c r="E39" s="19">
        <f t="shared" si="2"/>
        <v>0</v>
      </c>
      <c r="F39" s="5"/>
      <c r="G39" s="15"/>
      <c r="H39" s="15">
        <f t="shared" si="1"/>
        <v>0</v>
      </c>
    </row>
    <row r="40" spans="1:8" x14ac:dyDescent="0.25">
      <c r="A40" s="4">
        <v>248</v>
      </c>
      <c r="B40" t="s">
        <v>194</v>
      </c>
      <c r="C40" s="19"/>
      <c r="D40" s="12"/>
      <c r="E40" s="19">
        <f t="shared" si="2"/>
        <v>0</v>
      </c>
      <c r="F40" s="5"/>
      <c r="G40" s="15"/>
      <c r="H40" s="15">
        <f t="shared" si="1"/>
        <v>0</v>
      </c>
    </row>
    <row r="41" spans="1:8" x14ac:dyDescent="0.25">
      <c r="A41" s="6">
        <v>249</v>
      </c>
      <c r="B41" t="s">
        <v>103</v>
      </c>
      <c r="C41" s="19"/>
      <c r="D41" s="12"/>
      <c r="E41" s="19">
        <f t="shared" si="2"/>
        <v>0</v>
      </c>
      <c r="F41" s="5"/>
      <c r="G41" s="15"/>
      <c r="H41" s="15">
        <f t="shared" si="1"/>
        <v>0</v>
      </c>
    </row>
    <row r="42" spans="1:8" x14ac:dyDescent="0.25">
      <c r="A42" s="6">
        <v>250</v>
      </c>
      <c r="B42" t="s">
        <v>195</v>
      </c>
      <c r="C42" s="14"/>
      <c r="D42" s="5"/>
      <c r="E42" s="19">
        <f t="shared" si="2"/>
        <v>0</v>
      </c>
      <c r="F42" s="5"/>
      <c r="G42" s="15"/>
      <c r="H42" s="15">
        <f t="shared" si="1"/>
        <v>0</v>
      </c>
    </row>
    <row r="43" spans="1:8" x14ac:dyDescent="0.25">
      <c r="A43" s="6">
        <v>251</v>
      </c>
      <c r="B43" t="s">
        <v>196</v>
      </c>
      <c r="C43" s="14"/>
      <c r="D43" s="5"/>
      <c r="E43" s="19">
        <f t="shared" si="2"/>
        <v>0</v>
      </c>
      <c r="F43" s="5"/>
      <c r="G43" s="15"/>
      <c r="H43" s="15">
        <f t="shared" si="1"/>
        <v>0</v>
      </c>
    </row>
    <row r="44" spans="1:8" x14ac:dyDescent="0.25">
      <c r="A44" s="6">
        <v>252</v>
      </c>
      <c r="B44" t="s">
        <v>197</v>
      </c>
      <c r="C44" s="14"/>
      <c r="D44" s="5"/>
      <c r="E44" s="19">
        <f t="shared" si="2"/>
        <v>0</v>
      </c>
      <c r="F44" s="5"/>
      <c r="G44" s="15"/>
      <c r="H44" s="15">
        <f t="shared" si="1"/>
        <v>0</v>
      </c>
    </row>
    <row r="45" spans="1:8" x14ac:dyDescent="0.25">
      <c r="A45" s="4">
        <v>253</v>
      </c>
      <c r="B45" t="s">
        <v>198</v>
      </c>
      <c r="C45" s="14"/>
      <c r="D45" s="5"/>
      <c r="E45" s="19">
        <f t="shared" si="2"/>
        <v>0</v>
      </c>
      <c r="F45" s="5"/>
      <c r="G45" s="15"/>
      <c r="H45" s="15">
        <f t="shared" si="1"/>
        <v>0</v>
      </c>
    </row>
    <row r="46" spans="1:8" x14ac:dyDescent="0.25">
      <c r="A46" s="6">
        <v>254</v>
      </c>
      <c r="B46" t="s">
        <v>199</v>
      </c>
      <c r="C46" s="14"/>
      <c r="D46" s="5"/>
      <c r="E46" s="19">
        <f t="shared" si="2"/>
        <v>0</v>
      </c>
      <c r="F46" s="5"/>
      <c r="G46" s="15"/>
      <c r="H46" s="15">
        <f>F46*G46</f>
        <v>0</v>
      </c>
    </row>
    <row r="47" spans="1:8" x14ac:dyDescent="0.25">
      <c r="A47" s="6">
        <v>255</v>
      </c>
      <c r="B47" t="s">
        <v>171</v>
      </c>
      <c r="C47" s="14"/>
      <c r="D47" s="5"/>
      <c r="E47" s="19">
        <f t="shared" si="2"/>
        <v>0</v>
      </c>
      <c r="F47" s="5"/>
      <c r="G47" s="15"/>
      <c r="H47" s="15">
        <f>F47*G47</f>
        <v>0</v>
      </c>
    </row>
    <row r="48" spans="1:8" x14ac:dyDescent="0.25">
      <c r="A48" s="6">
        <v>256</v>
      </c>
      <c r="B48" t="s">
        <v>200</v>
      </c>
      <c r="C48" s="14"/>
      <c r="D48" s="5"/>
      <c r="E48" s="19">
        <f t="shared" si="2"/>
        <v>0</v>
      </c>
      <c r="F48" s="5"/>
      <c r="G48" s="15"/>
      <c r="H48" s="15">
        <f>E48*G48</f>
        <v>0</v>
      </c>
    </row>
    <row r="49" spans="1:8" x14ac:dyDescent="0.25">
      <c r="A49" s="6">
        <v>257</v>
      </c>
      <c r="B49" t="s">
        <v>77</v>
      </c>
      <c r="C49" s="14"/>
      <c r="D49" s="5"/>
      <c r="E49" s="19">
        <f t="shared" si="2"/>
        <v>0</v>
      </c>
      <c r="F49" s="5"/>
      <c r="G49" s="15"/>
      <c r="H49" s="15">
        <f>E49*G49</f>
        <v>0</v>
      </c>
    </row>
    <row r="50" spans="1:8" x14ac:dyDescent="0.25">
      <c r="A50" s="4">
        <v>258</v>
      </c>
      <c r="B50" t="s">
        <v>178</v>
      </c>
      <c r="C50" s="14"/>
      <c r="D50" s="5"/>
      <c r="E50" s="19">
        <f t="shared" si="2"/>
        <v>0</v>
      </c>
      <c r="F50" s="5"/>
      <c r="G50" s="15"/>
      <c r="H50" s="15">
        <f>F50*G50</f>
        <v>0</v>
      </c>
    </row>
    <row r="51" spans="1:8" x14ac:dyDescent="0.25">
      <c r="A51" s="6">
        <v>259</v>
      </c>
      <c r="B51" t="s">
        <v>201</v>
      </c>
      <c r="C51" s="14"/>
      <c r="D51" s="5"/>
      <c r="E51" s="19">
        <f t="shared" si="2"/>
        <v>0</v>
      </c>
      <c r="F51" s="5"/>
      <c r="G51" s="15"/>
      <c r="H51" s="15">
        <f>E51*G51</f>
        <v>0</v>
      </c>
    </row>
    <row r="52" spans="1:8" x14ac:dyDescent="0.25">
      <c r="A52" s="6">
        <v>260</v>
      </c>
      <c r="B52" t="s">
        <v>202</v>
      </c>
      <c r="C52" s="14"/>
      <c r="D52" s="5"/>
      <c r="E52" s="19">
        <f t="shared" si="2"/>
        <v>0</v>
      </c>
      <c r="F52" s="5"/>
      <c r="G52" s="15"/>
      <c r="H52" s="15">
        <f>E52*G52</f>
        <v>0</v>
      </c>
    </row>
    <row r="53" spans="1:8" x14ac:dyDescent="0.25">
      <c r="A53" s="6">
        <v>261</v>
      </c>
      <c r="B53" t="s">
        <v>203</v>
      </c>
      <c r="C53" s="14"/>
      <c r="D53" s="5"/>
      <c r="E53" s="19">
        <f t="shared" si="2"/>
        <v>0</v>
      </c>
      <c r="F53" s="5"/>
      <c r="G53" s="15"/>
      <c r="H53" s="15">
        <f>F53*G53</f>
        <v>0</v>
      </c>
    </row>
    <row r="54" spans="1:8" x14ac:dyDescent="0.25">
      <c r="A54" s="6">
        <v>262</v>
      </c>
      <c r="B54" t="s">
        <v>204</v>
      </c>
      <c r="C54" s="14"/>
      <c r="D54" s="5"/>
      <c r="E54" s="19">
        <f t="shared" si="2"/>
        <v>0</v>
      </c>
      <c r="F54" s="5"/>
      <c r="G54" s="15"/>
      <c r="H54" s="15">
        <f>F54*G54</f>
        <v>0</v>
      </c>
    </row>
    <row r="55" spans="1:8" x14ac:dyDescent="0.25">
      <c r="A55" s="4">
        <v>263</v>
      </c>
      <c r="B55" t="s">
        <v>205</v>
      </c>
      <c r="C55" s="14"/>
      <c r="D55" s="5"/>
      <c r="E55" s="19">
        <f t="shared" si="2"/>
        <v>0</v>
      </c>
      <c r="F55" s="5"/>
      <c r="G55" s="15"/>
      <c r="H55" s="15">
        <f t="shared" ref="H55:H60" si="3">E55*G55</f>
        <v>0</v>
      </c>
    </row>
    <row r="56" spans="1:8" x14ac:dyDescent="0.25">
      <c r="A56" s="6">
        <v>264</v>
      </c>
      <c r="B56" t="s">
        <v>206</v>
      </c>
      <c r="C56" s="14"/>
      <c r="D56" s="5"/>
      <c r="E56" s="19">
        <f t="shared" si="2"/>
        <v>0</v>
      </c>
      <c r="F56" s="5"/>
      <c r="G56" s="15"/>
      <c r="H56" s="15">
        <f t="shared" si="3"/>
        <v>0</v>
      </c>
    </row>
    <row r="57" spans="1:8" x14ac:dyDescent="0.25">
      <c r="A57" s="6">
        <v>265</v>
      </c>
      <c r="B57" t="s">
        <v>207</v>
      </c>
      <c r="C57" s="14"/>
      <c r="D57" s="5"/>
      <c r="E57" s="19">
        <f t="shared" si="2"/>
        <v>0</v>
      </c>
      <c r="F57" s="5"/>
      <c r="G57" s="15"/>
      <c r="H57" s="15">
        <f t="shared" si="3"/>
        <v>0</v>
      </c>
    </row>
    <row r="58" spans="1:8" x14ac:dyDescent="0.25">
      <c r="A58" s="6">
        <v>266</v>
      </c>
      <c r="B58" t="s">
        <v>208</v>
      </c>
      <c r="C58" s="14"/>
      <c r="D58" s="5"/>
      <c r="E58" s="19">
        <f t="shared" si="2"/>
        <v>0</v>
      </c>
      <c r="F58" s="5"/>
      <c r="G58" s="15"/>
      <c r="H58" s="15">
        <f t="shared" si="3"/>
        <v>0</v>
      </c>
    </row>
    <row r="59" spans="1:8" x14ac:dyDescent="0.25">
      <c r="A59" s="6">
        <v>267</v>
      </c>
      <c r="B59" t="s">
        <v>209</v>
      </c>
      <c r="C59" s="13"/>
      <c r="D59" s="13"/>
      <c r="E59" s="19">
        <f t="shared" si="2"/>
        <v>0</v>
      </c>
      <c r="F59" s="13"/>
      <c r="G59" s="22"/>
      <c r="H59" s="15">
        <f t="shared" si="3"/>
        <v>0</v>
      </c>
    </row>
    <row r="60" spans="1:8" x14ac:dyDescent="0.25">
      <c r="A60" s="4">
        <v>268</v>
      </c>
      <c r="B60" t="s">
        <v>210</v>
      </c>
      <c r="C60" s="14"/>
      <c r="D60" s="5"/>
      <c r="E60" s="19">
        <f t="shared" si="2"/>
        <v>0</v>
      </c>
      <c r="F60" s="5"/>
      <c r="G60" s="15"/>
      <c r="H60" s="15">
        <f t="shared" si="3"/>
        <v>0</v>
      </c>
    </row>
    <row r="61" spans="1:8" x14ac:dyDescent="0.25">
      <c r="A61" s="6">
        <v>269</v>
      </c>
      <c r="B61" t="s">
        <v>211</v>
      </c>
      <c r="C61" s="14"/>
      <c r="D61" s="5"/>
      <c r="E61" s="19">
        <f t="shared" si="2"/>
        <v>0</v>
      </c>
      <c r="F61" s="5"/>
      <c r="G61" s="15"/>
      <c r="H61" s="15">
        <f>F61*G61</f>
        <v>0</v>
      </c>
    </row>
    <row r="62" spans="1:8" x14ac:dyDescent="0.25">
      <c r="A62" s="6">
        <v>270</v>
      </c>
      <c r="B62" t="s">
        <v>212</v>
      </c>
      <c r="C62" s="14"/>
      <c r="D62" s="5"/>
      <c r="E62" s="19">
        <f t="shared" si="2"/>
        <v>0</v>
      </c>
      <c r="F62" s="5"/>
      <c r="G62" s="15"/>
      <c r="H62" s="15">
        <f>F62*G62</f>
        <v>0</v>
      </c>
    </row>
    <row r="63" spans="1:8" x14ac:dyDescent="0.25">
      <c r="A63" s="6">
        <v>271</v>
      </c>
      <c r="B63" t="s">
        <v>213</v>
      </c>
      <c r="C63" s="14"/>
      <c r="D63" s="5"/>
      <c r="E63" s="19">
        <f t="shared" si="2"/>
        <v>0</v>
      </c>
      <c r="F63" s="5"/>
      <c r="G63" s="15"/>
      <c r="H63" s="15">
        <f t="shared" ref="H63:H77" si="4">E63*G63</f>
        <v>0</v>
      </c>
    </row>
    <row r="64" spans="1:8" x14ac:dyDescent="0.25">
      <c r="A64" s="6">
        <v>272</v>
      </c>
      <c r="B64" t="s">
        <v>214</v>
      </c>
      <c r="C64" s="14"/>
      <c r="D64" s="5"/>
      <c r="E64" s="19">
        <f t="shared" si="2"/>
        <v>0</v>
      </c>
      <c r="F64" s="5"/>
      <c r="G64" s="15"/>
      <c r="H64" s="15">
        <f t="shared" si="4"/>
        <v>0</v>
      </c>
    </row>
    <row r="65" spans="1:8" x14ac:dyDescent="0.25">
      <c r="A65" s="4">
        <v>273</v>
      </c>
      <c r="B65" t="s">
        <v>215</v>
      </c>
      <c r="C65" s="14"/>
      <c r="D65" s="5"/>
      <c r="E65" s="19">
        <f t="shared" ref="E65:E96" si="5">C65-(2.2*D65)</f>
        <v>0</v>
      </c>
      <c r="F65" s="5"/>
      <c r="G65" s="15"/>
      <c r="H65" s="15">
        <f t="shared" si="4"/>
        <v>0</v>
      </c>
    </row>
    <row r="66" spans="1:8" x14ac:dyDescent="0.25">
      <c r="A66" s="6">
        <v>274</v>
      </c>
      <c r="B66" t="s">
        <v>216</v>
      </c>
      <c r="C66" s="14"/>
      <c r="D66" s="5"/>
      <c r="E66" s="19">
        <f t="shared" si="5"/>
        <v>0</v>
      </c>
      <c r="F66" s="5"/>
      <c r="G66" s="15"/>
      <c r="H66" s="15">
        <f t="shared" si="4"/>
        <v>0</v>
      </c>
    </row>
    <row r="67" spans="1:8" x14ac:dyDescent="0.25">
      <c r="A67" s="6">
        <v>275</v>
      </c>
      <c r="B67" t="s">
        <v>203</v>
      </c>
      <c r="C67" s="13"/>
      <c r="D67" s="13"/>
      <c r="E67" s="19">
        <f t="shared" si="5"/>
        <v>0</v>
      </c>
      <c r="F67" s="13"/>
      <c r="G67" s="22"/>
      <c r="H67" s="15">
        <f t="shared" si="4"/>
        <v>0</v>
      </c>
    </row>
    <row r="68" spans="1:8" x14ac:dyDescent="0.25">
      <c r="A68" s="6">
        <v>276</v>
      </c>
      <c r="B68" t="s">
        <v>217</v>
      </c>
      <c r="C68" s="14"/>
      <c r="D68" s="5"/>
      <c r="E68" s="19">
        <f t="shared" si="5"/>
        <v>0</v>
      </c>
      <c r="F68" s="5"/>
      <c r="G68" s="15"/>
      <c r="H68" s="15">
        <f t="shared" si="4"/>
        <v>0</v>
      </c>
    </row>
    <row r="69" spans="1:8" x14ac:dyDescent="0.25">
      <c r="A69" s="6">
        <v>277</v>
      </c>
      <c r="B69" t="s">
        <v>206</v>
      </c>
      <c r="C69" s="14"/>
      <c r="D69" s="5"/>
      <c r="E69" s="19">
        <f t="shared" si="5"/>
        <v>0</v>
      </c>
      <c r="F69" s="5"/>
      <c r="G69" s="15"/>
      <c r="H69" s="15">
        <f t="shared" si="4"/>
        <v>0</v>
      </c>
    </row>
    <row r="70" spans="1:8" x14ac:dyDescent="0.25">
      <c r="A70" s="4">
        <v>278</v>
      </c>
      <c r="B70" t="s">
        <v>218</v>
      </c>
      <c r="C70" s="14"/>
      <c r="D70" s="5"/>
      <c r="E70" s="19">
        <f t="shared" si="5"/>
        <v>0</v>
      </c>
      <c r="F70" s="5"/>
      <c r="G70" s="15"/>
      <c r="H70" s="15">
        <f t="shared" si="4"/>
        <v>0</v>
      </c>
    </row>
    <row r="71" spans="1:8" x14ac:dyDescent="0.25">
      <c r="A71" s="6">
        <v>279</v>
      </c>
      <c r="B71" t="s">
        <v>219</v>
      </c>
      <c r="C71" s="14"/>
      <c r="D71" s="5"/>
      <c r="E71" s="19">
        <f t="shared" si="5"/>
        <v>0</v>
      </c>
      <c r="F71" s="5"/>
      <c r="G71" s="15"/>
      <c r="H71" s="15">
        <f t="shared" si="4"/>
        <v>0</v>
      </c>
    </row>
    <row r="72" spans="1:8" x14ac:dyDescent="0.25">
      <c r="A72" s="6">
        <v>280</v>
      </c>
      <c r="B72" t="s">
        <v>220</v>
      </c>
      <c r="C72" s="14"/>
      <c r="D72" s="5"/>
      <c r="E72" s="19">
        <f t="shared" si="5"/>
        <v>0</v>
      </c>
      <c r="F72" s="5"/>
      <c r="G72" s="15"/>
      <c r="H72" s="15">
        <f t="shared" si="4"/>
        <v>0</v>
      </c>
    </row>
    <row r="73" spans="1:8" x14ac:dyDescent="0.25">
      <c r="A73" s="6">
        <v>281</v>
      </c>
      <c r="B73" t="s">
        <v>221</v>
      </c>
      <c r="C73" s="14"/>
      <c r="D73" s="5"/>
      <c r="E73" s="19">
        <f t="shared" si="5"/>
        <v>0</v>
      </c>
      <c r="F73" s="5"/>
      <c r="G73" s="15"/>
      <c r="H73" s="15">
        <f t="shared" si="4"/>
        <v>0</v>
      </c>
    </row>
    <row r="74" spans="1:8" x14ac:dyDescent="0.25">
      <c r="A74" s="6">
        <v>282</v>
      </c>
      <c r="B74" t="s">
        <v>222</v>
      </c>
      <c r="C74" s="16"/>
      <c r="D74" s="17"/>
      <c r="E74" s="19">
        <f t="shared" si="5"/>
        <v>0</v>
      </c>
      <c r="F74" s="17"/>
      <c r="G74" s="18"/>
      <c r="H74" s="15">
        <f t="shared" si="4"/>
        <v>0</v>
      </c>
    </row>
    <row r="75" spans="1:8" x14ac:dyDescent="0.25">
      <c r="A75" s="4">
        <v>283</v>
      </c>
      <c r="B75" t="s">
        <v>223</v>
      </c>
      <c r="C75" s="14"/>
      <c r="D75" s="5"/>
      <c r="E75" s="19">
        <f t="shared" si="5"/>
        <v>0</v>
      </c>
      <c r="F75" s="5"/>
      <c r="G75" s="15"/>
      <c r="H75" s="15">
        <f t="shared" si="4"/>
        <v>0</v>
      </c>
    </row>
    <row r="76" spans="1:8" x14ac:dyDescent="0.25">
      <c r="A76" s="6">
        <v>284</v>
      </c>
      <c r="B76" t="s">
        <v>224</v>
      </c>
      <c r="C76" s="14"/>
      <c r="D76" s="5"/>
      <c r="E76" s="19">
        <f t="shared" si="5"/>
        <v>0</v>
      </c>
      <c r="F76" s="5"/>
      <c r="G76" s="15"/>
      <c r="H76" s="15">
        <f t="shared" si="4"/>
        <v>0</v>
      </c>
    </row>
    <row r="77" spans="1:8" x14ac:dyDescent="0.25">
      <c r="A77" s="6">
        <v>285</v>
      </c>
      <c r="B77" t="s">
        <v>171</v>
      </c>
      <c r="C77" s="14"/>
      <c r="D77" s="5"/>
      <c r="E77" s="19">
        <f t="shared" si="5"/>
        <v>0</v>
      </c>
      <c r="F77" s="5"/>
      <c r="G77" s="15"/>
      <c r="H77" s="15">
        <f t="shared" si="4"/>
        <v>0</v>
      </c>
    </row>
    <row r="78" spans="1:8" x14ac:dyDescent="0.25">
      <c r="A78" s="6">
        <v>286</v>
      </c>
      <c r="B78" t="s">
        <v>225</v>
      </c>
      <c r="C78" s="14"/>
      <c r="D78" s="5"/>
      <c r="E78" s="19">
        <f t="shared" si="5"/>
        <v>0</v>
      </c>
      <c r="F78" s="5"/>
      <c r="G78" s="15"/>
      <c r="H78" s="15">
        <f>F78*G78</f>
        <v>0</v>
      </c>
    </row>
    <row r="79" spans="1:8" x14ac:dyDescent="0.25">
      <c r="A79" s="6">
        <v>287</v>
      </c>
      <c r="B79" t="s">
        <v>226</v>
      </c>
      <c r="C79" s="14"/>
      <c r="D79" s="5"/>
      <c r="E79" s="19">
        <f t="shared" si="5"/>
        <v>0</v>
      </c>
      <c r="F79" s="5"/>
      <c r="G79" s="15"/>
      <c r="H79" s="15">
        <f>E79*G79</f>
        <v>0</v>
      </c>
    </row>
    <row r="80" spans="1:8" x14ac:dyDescent="0.25">
      <c r="A80" s="4">
        <v>288</v>
      </c>
      <c r="B80" t="s">
        <v>171</v>
      </c>
      <c r="C80" s="14"/>
      <c r="D80" s="5"/>
      <c r="E80" s="19">
        <f t="shared" si="5"/>
        <v>0</v>
      </c>
      <c r="F80" s="5"/>
      <c r="G80" s="15"/>
      <c r="H80" s="15">
        <f>E80*G80</f>
        <v>0</v>
      </c>
    </row>
    <row r="81" spans="1:8" x14ac:dyDescent="0.25">
      <c r="A81" s="6">
        <v>289</v>
      </c>
      <c r="B81" t="s">
        <v>171</v>
      </c>
      <c r="C81" s="14"/>
      <c r="D81" s="5"/>
      <c r="E81" s="19">
        <f t="shared" si="5"/>
        <v>0</v>
      </c>
      <c r="F81" s="5"/>
      <c r="G81" s="15"/>
      <c r="H81" s="15">
        <f>E81*G81</f>
        <v>0</v>
      </c>
    </row>
    <row r="82" spans="1:8" x14ac:dyDescent="0.25">
      <c r="A82" s="6">
        <v>290</v>
      </c>
      <c r="B82" t="s">
        <v>227</v>
      </c>
      <c r="C82" s="14"/>
      <c r="D82" s="5"/>
      <c r="E82" s="19">
        <f t="shared" si="5"/>
        <v>0</v>
      </c>
      <c r="F82" s="5"/>
      <c r="G82" s="15"/>
      <c r="H82" s="15">
        <f>F82*G82</f>
        <v>0</v>
      </c>
    </row>
    <row r="83" spans="1:8" x14ac:dyDescent="0.25">
      <c r="A83" s="6">
        <v>291</v>
      </c>
      <c r="B83" t="s">
        <v>228</v>
      </c>
      <c r="C83" s="14"/>
      <c r="D83" s="5"/>
      <c r="E83" s="19">
        <f t="shared" si="5"/>
        <v>0</v>
      </c>
      <c r="F83" s="5"/>
      <c r="G83" s="15"/>
      <c r="H83" s="15">
        <f>E83*G83</f>
        <v>0</v>
      </c>
    </row>
    <row r="84" spans="1:8" x14ac:dyDescent="0.25">
      <c r="A84" s="6">
        <v>292</v>
      </c>
      <c r="B84" t="s">
        <v>229</v>
      </c>
      <c r="C84" s="16"/>
      <c r="D84" s="17"/>
      <c r="E84" s="19">
        <f t="shared" si="5"/>
        <v>0</v>
      </c>
      <c r="F84" s="17"/>
      <c r="G84" s="18"/>
      <c r="H84" s="15">
        <f>E84*G84</f>
        <v>0</v>
      </c>
    </row>
    <row r="85" spans="1:8" x14ac:dyDescent="0.25">
      <c r="A85" s="4">
        <v>293</v>
      </c>
      <c r="B85" t="s">
        <v>215</v>
      </c>
      <c r="C85" s="14"/>
      <c r="D85" s="5"/>
      <c r="E85" s="19">
        <f t="shared" si="5"/>
        <v>0</v>
      </c>
      <c r="F85" s="5"/>
      <c r="G85" s="15"/>
      <c r="H85" s="15">
        <f>E85*G85</f>
        <v>0</v>
      </c>
    </row>
    <row r="86" spans="1:8" x14ac:dyDescent="0.25">
      <c r="A86" s="6">
        <v>294</v>
      </c>
      <c r="B86" t="s">
        <v>230</v>
      </c>
      <c r="C86" s="14"/>
      <c r="D86" s="5"/>
      <c r="E86" s="19">
        <f t="shared" si="5"/>
        <v>0</v>
      </c>
      <c r="F86" s="5"/>
      <c r="G86" s="15"/>
      <c r="H86" s="15">
        <f>E86*G86</f>
        <v>0</v>
      </c>
    </row>
    <row r="87" spans="1:8" x14ac:dyDescent="0.25">
      <c r="A87" s="6">
        <v>295</v>
      </c>
      <c r="B87" t="s">
        <v>231</v>
      </c>
      <c r="C87" s="14"/>
      <c r="D87" s="5"/>
      <c r="E87" s="19">
        <f t="shared" si="5"/>
        <v>0</v>
      </c>
      <c r="F87" s="5"/>
      <c r="G87" s="15"/>
      <c r="H87" s="15">
        <f>E87*G87</f>
        <v>0</v>
      </c>
    </row>
    <row r="88" spans="1:8" x14ac:dyDescent="0.25">
      <c r="A88" s="6">
        <v>296</v>
      </c>
      <c r="B88" t="s">
        <v>232</v>
      </c>
      <c r="C88" s="14"/>
      <c r="D88" s="5"/>
      <c r="E88" s="19">
        <f t="shared" si="5"/>
        <v>0</v>
      </c>
      <c r="F88" s="5"/>
      <c r="G88" s="15"/>
      <c r="H88" s="15">
        <f>F88*G88</f>
        <v>0</v>
      </c>
    </row>
    <row r="89" spans="1:8" x14ac:dyDescent="0.25">
      <c r="A89" s="6">
        <v>297</v>
      </c>
      <c r="B89" t="s">
        <v>208</v>
      </c>
      <c r="C89" s="14"/>
      <c r="D89" s="5"/>
      <c r="E89" s="19">
        <f t="shared" si="5"/>
        <v>0</v>
      </c>
      <c r="F89" s="5"/>
      <c r="G89" s="15"/>
      <c r="H89" s="15">
        <f>F89*G89</f>
        <v>0</v>
      </c>
    </row>
    <row r="90" spans="1:8" x14ac:dyDescent="0.25">
      <c r="A90" s="4">
        <v>298</v>
      </c>
      <c r="B90" t="s">
        <v>171</v>
      </c>
      <c r="C90" s="14"/>
      <c r="D90" s="5"/>
      <c r="E90" s="19">
        <f t="shared" si="5"/>
        <v>0</v>
      </c>
      <c r="F90" s="5"/>
      <c r="G90" s="15"/>
      <c r="H90" s="15">
        <f>F90*G90</f>
        <v>0</v>
      </c>
    </row>
    <row r="91" spans="1:8" x14ac:dyDescent="0.25">
      <c r="A91" s="6">
        <v>299</v>
      </c>
      <c r="B91" t="s">
        <v>171</v>
      </c>
      <c r="C91" s="14"/>
      <c r="D91" s="5"/>
      <c r="E91" s="19">
        <f t="shared" si="5"/>
        <v>0</v>
      </c>
      <c r="F91" s="5"/>
      <c r="G91" s="15"/>
      <c r="H91" s="15">
        <f>E91*G91</f>
        <v>0</v>
      </c>
    </row>
    <row r="92" spans="1:8" x14ac:dyDescent="0.25">
      <c r="A92" s="6">
        <v>300</v>
      </c>
      <c r="B92" t="s">
        <v>171</v>
      </c>
      <c r="C92" s="14"/>
      <c r="D92" s="5"/>
      <c r="E92" s="19">
        <f t="shared" si="5"/>
        <v>0</v>
      </c>
      <c r="F92" s="5"/>
      <c r="G92" s="15"/>
      <c r="H92" s="15">
        <f>E92*G92</f>
        <v>0</v>
      </c>
    </row>
    <row r="93" spans="1:8" x14ac:dyDescent="0.25">
      <c r="A93" s="6">
        <v>301</v>
      </c>
      <c r="B93" t="s">
        <v>233</v>
      </c>
      <c r="C93" s="14"/>
      <c r="D93" s="5"/>
      <c r="E93" s="19">
        <f t="shared" si="5"/>
        <v>0</v>
      </c>
      <c r="F93" s="5"/>
      <c r="G93" s="15"/>
      <c r="H93" s="15">
        <f>F93*G93</f>
        <v>0</v>
      </c>
    </row>
    <row r="94" spans="1:8" x14ac:dyDescent="0.25">
      <c r="A94" s="6">
        <v>302</v>
      </c>
      <c r="B94" t="s">
        <v>234</v>
      </c>
      <c r="C94" s="14"/>
      <c r="D94" s="5"/>
      <c r="E94" s="19">
        <f t="shared" si="5"/>
        <v>0</v>
      </c>
      <c r="F94" s="5"/>
      <c r="G94" s="15"/>
      <c r="H94" s="15">
        <f t="shared" ref="H94:H107" si="6">E94*G94</f>
        <v>0</v>
      </c>
    </row>
    <row r="95" spans="1:8" x14ac:dyDescent="0.25">
      <c r="A95" s="4">
        <v>303</v>
      </c>
      <c r="B95" t="s">
        <v>235</v>
      </c>
      <c r="C95" s="14"/>
      <c r="D95" s="5"/>
      <c r="E95" s="19">
        <f t="shared" si="5"/>
        <v>0</v>
      </c>
      <c r="F95" s="5"/>
      <c r="G95" s="15"/>
      <c r="H95" s="15">
        <f t="shared" si="6"/>
        <v>0</v>
      </c>
    </row>
    <row r="96" spans="1:8" x14ac:dyDescent="0.25">
      <c r="A96" s="6">
        <v>304</v>
      </c>
      <c r="B96" t="s">
        <v>236</v>
      </c>
      <c r="C96" s="14"/>
      <c r="D96" s="5"/>
      <c r="E96" s="19">
        <f t="shared" si="5"/>
        <v>0</v>
      </c>
      <c r="F96" s="5"/>
      <c r="G96" s="15"/>
      <c r="H96" s="15">
        <f t="shared" si="6"/>
        <v>0</v>
      </c>
    </row>
    <row r="97" spans="1:8" x14ac:dyDescent="0.25">
      <c r="A97" s="6">
        <v>305</v>
      </c>
      <c r="B97" t="s">
        <v>71</v>
      </c>
      <c r="C97" s="14"/>
      <c r="D97" s="5"/>
      <c r="E97" s="19">
        <f t="shared" ref="E97:E111" si="7">C97-(2.2*D97)</f>
        <v>0</v>
      </c>
      <c r="F97" s="5"/>
      <c r="G97" s="15"/>
      <c r="H97" s="15">
        <f t="shared" si="6"/>
        <v>0</v>
      </c>
    </row>
    <row r="98" spans="1:8" x14ac:dyDescent="0.25">
      <c r="A98" s="6">
        <v>306</v>
      </c>
      <c r="B98" t="s">
        <v>237</v>
      </c>
      <c r="C98" s="16"/>
      <c r="D98" s="17"/>
      <c r="E98" s="19">
        <f t="shared" si="7"/>
        <v>0</v>
      </c>
      <c r="F98" s="17"/>
      <c r="G98" s="18"/>
      <c r="H98" s="15">
        <f t="shared" si="6"/>
        <v>0</v>
      </c>
    </row>
    <row r="99" spans="1:8" x14ac:dyDescent="0.25">
      <c r="A99" s="6">
        <v>307</v>
      </c>
      <c r="B99" t="s">
        <v>238</v>
      </c>
      <c r="C99" s="14"/>
      <c r="D99" s="5"/>
      <c r="E99" s="19">
        <f t="shared" si="7"/>
        <v>0</v>
      </c>
      <c r="F99" s="5"/>
      <c r="G99" s="15"/>
      <c r="H99" s="15">
        <f t="shared" si="6"/>
        <v>0</v>
      </c>
    </row>
    <row r="100" spans="1:8" x14ac:dyDescent="0.25">
      <c r="A100" s="4">
        <v>308</v>
      </c>
      <c r="B100" t="s">
        <v>228</v>
      </c>
      <c r="C100" s="14"/>
      <c r="D100" s="5"/>
      <c r="E100" s="19">
        <f t="shared" si="7"/>
        <v>0</v>
      </c>
      <c r="F100" s="5"/>
      <c r="G100" s="15"/>
      <c r="H100" s="15">
        <f t="shared" si="6"/>
        <v>0</v>
      </c>
    </row>
    <row r="101" spans="1:8" x14ac:dyDescent="0.25">
      <c r="A101" s="6">
        <v>310</v>
      </c>
      <c r="B101" t="s">
        <v>239</v>
      </c>
      <c r="C101" s="14"/>
      <c r="D101" s="5"/>
      <c r="E101" s="19">
        <f t="shared" si="7"/>
        <v>0</v>
      </c>
      <c r="F101" s="5"/>
      <c r="G101" s="15"/>
      <c r="H101" s="15">
        <f t="shared" si="6"/>
        <v>0</v>
      </c>
    </row>
    <row r="102" spans="1:8" x14ac:dyDescent="0.25">
      <c r="A102" s="6">
        <v>311</v>
      </c>
      <c r="B102" t="s">
        <v>240</v>
      </c>
      <c r="C102" s="14"/>
      <c r="D102" s="5"/>
      <c r="E102" s="19">
        <f t="shared" si="7"/>
        <v>0</v>
      </c>
      <c r="F102" s="5"/>
      <c r="G102" s="15"/>
      <c r="H102" s="15">
        <f t="shared" si="6"/>
        <v>0</v>
      </c>
    </row>
    <row r="103" spans="1:8" x14ac:dyDescent="0.25">
      <c r="A103" s="6">
        <v>312</v>
      </c>
      <c r="B103" t="s">
        <v>241</v>
      </c>
      <c r="C103" s="14"/>
      <c r="D103" s="5"/>
      <c r="E103" s="19">
        <f t="shared" si="7"/>
        <v>0</v>
      </c>
      <c r="F103" s="5"/>
      <c r="G103" s="15"/>
      <c r="H103" s="15">
        <f t="shared" si="6"/>
        <v>0</v>
      </c>
    </row>
    <row r="104" spans="1:8" x14ac:dyDescent="0.25">
      <c r="A104" s="4">
        <v>313</v>
      </c>
      <c r="B104" t="s">
        <v>242</v>
      </c>
      <c r="C104" s="14"/>
      <c r="D104" s="5"/>
      <c r="E104" s="19">
        <f t="shared" si="7"/>
        <v>0</v>
      </c>
      <c r="F104" s="5"/>
      <c r="G104" s="15"/>
      <c r="H104" s="15">
        <f t="shared" si="6"/>
        <v>0</v>
      </c>
    </row>
    <row r="105" spans="1:8" x14ac:dyDescent="0.25">
      <c r="A105" s="6">
        <v>314</v>
      </c>
      <c r="B105" t="s">
        <v>195</v>
      </c>
      <c r="C105" s="14"/>
      <c r="D105" s="5"/>
      <c r="E105" s="19">
        <f t="shared" si="7"/>
        <v>0</v>
      </c>
      <c r="F105" s="5"/>
      <c r="G105" s="15"/>
      <c r="H105" s="15">
        <f t="shared" si="6"/>
        <v>0</v>
      </c>
    </row>
    <row r="106" spans="1:8" x14ac:dyDescent="0.25">
      <c r="A106" s="6">
        <v>315</v>
      </c>
      <c r="B106" t="s">
        <v>243</v>
      </c>
      <c r="C106" s="14"/>
      <c r="D106" s="5"/>
      <c r="E106" s="19">
        <f t="shared" si="7"/>
        <v>0</v>
      </c>
      <c r="F106" s="5"/>
      <c r="G106" s="15"/>
      <c r="H106" s="15">
        <f t="shared" si="6"/>
        <v>0</v>
      </c>
    </row>
    <row r="107" spans="1:8" x14ac:dyDescent="0.25">
      <c r="A107" s="6">
        <v>316</v>
      </c>
      <c r="B107" t="s">
        <v>244</v>
      </c>
      <c r="C107" s="14"/>
      <c r="D107" s="5"/>
      <c r="E107" s="19">
        <f t="shared" si="7"/>
        <v>0</v>
      </c>
      <c r="F107" s="5"/>
      <c r="G107" s="15"/>
      <c r="H107" s="15">
        <f t="shared" si="6"/>
        <v>0</v>
      </c>
    </row>
    <row r="108" spans="1:8" x14ac:dyDescent="0.25">
      <c r="A108" s="6">
        <v>317</v>
      </c>
      <c r="B108" t="s">
        <v>245</v>
      </c>
      <c r="C108" s="14"/>
      <c r="D108" s="5"/>
      <c r="E108" s="19">
        <f t="shared" si="7"/>
        <v>0</v>
      </c>
      <c r="F108" s="5"/>
      <c r="G108" s="15"/>
      <c r="H108" s="15">
        <f>F108*G108</f>
        <v>0</v>
      </c>
    </row>
    <row r="109" spans="1:8" x14ac:dyDescent="0.25">
      <c r="A109" s="4">
        <v>318</v>
      </c>
      <c r="B109" t="s">
        <v>103</v>
      </c>
      <c r="C109" s="14"/>
      <c r="D109" s="5"/>
      <c r="E109" s="19">
        <f t="shared" si="7"/>
        <v>0</v>
      </c>
      <c r="F109" s="5"/>
      <c r="G109" s="15"/>
      <c r="H109" s="15">
        <f>F109*G109</f>
        <v>0</v>
      </c>
    </row>
    <row r="110" spans="1:8" x14ac:dyDescent="0.25">
      <c r="A110" s="6">
        <v>319</v>
      </c>
      <c r="B110" t="s">
        <v>246</v>
      </c>
      <c r="C110" s="14"/>
      <c r="D110" s="5"/>
      <c r="E110" s="19">
        <f t="shared" si="7"/>
        <v>0</v>
      </c>
      <c r="F110" s="5"/>
      <c r="G110" s="15"/>
      <c r="H110" s="15">
        <f>F110*G110</f>
        <v>0</v>
      </c>
    </row>
    <row r="111" spans="1:8" x14ac:dyDescent="0.25">
      <c r="A111" s="6">
        <v>320</v>
      </c>
      <c r="B111" t="s">
        <v>247</v>
      </c>
      <c r="C111" s="14"/>
      <c r="D111" s="5"/>
      <c r="E111" s="19">
        <f t="shared" si="7"/>
        <v>0</v>
      </c>
      <c r="F111" s="5"/>
      <c r="G111" s="15"/>
      <c r="H111" s="15">
        <f>F111*G111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490"/>
  <sheetViews>
    <sheetView topLeftCell="A52" workbookViewId="0">
      <selection activeCell="F8" sqref="F8"/>
    </sheetView>
  </sheetViews>
  <sheetFormatPr baseColWidth="10" defaultRowHeight="15" x14ac:dyDescent="0.25"/>
  <sheetData>
    <row r="4" spans="2:9" ht="20.25" x14ac:dyDescent="0.3">
      <c r="B4" s="49" t="s">
        <v>362</v>
      </c>
      <c r="C4" s="50"/>
      <c r="D4" s="50"/>
      <c r="E4" s="50"/>
      <c r="F4" s="50"/>
      <c r="G4" s="50"/>
      <c r="H4" s="50"/>
      <c r="I4" s="51"/>
    </row>
    <row r="5" spans="2:9" ht="15.75" x14ac:dyDescent="0.25">
      <c r="B5" s="37" t="s">
        <v>12</v>
      </c>
      <c r="C5" s="32" t="s">
        <v>0</v>
      </c>
      <c r="D5" s="11" t="s">
        <v>3</v>
      </c>
      <c r="E5" s="10" t="s">
        <v>1</v>
      </c>
      <c r="F5" s="14" t="s">
        <v>8</v>
      </c>
      <c r="G5" s="14" t="s">
        <v>2</v>
      </c>
      <c r="H5" s="3" t="s">
        <v>4</v>
      </c>
      <c r="I5" s="3" t="s">
        <v>9</v>
      </c>
    </row>
    <row r="6" spans="2:9" ht="15.75" x14ac:dyDescent="0.25">
      <c r="B6" s="38">
        <v>1</v>
      </c>
      <c r="C6" s="33" t="s">
        <v>6</v>
      </c>
      <c r="D6" s="19"/>
      <c r="E6" s="12"/>
      <c r="F6" s="19"/>
      <c r="G6" s="5"/>
      <c r="H6" s="15"/>
      <c r="I6" s="15">
        <f t="shared" ref="I6:I69" si="0">F6*H6</f>
        <v>0</v>
      </c>
    </row>
    <row r="7" spans="2:9" ht="15.75" x14ac:dyDescent="0.25">
      <c r="B7" s="38">
        <v>2</v>
      </c>
      <c r="C7" s="33" t="s">
        <v>17</v>
      </c>
      <c r="D7" s="19"/>
      <c r="E7" s="12"/>
      <c r="F7" s="19">
        <v>10</v>
      </c>
      <c r="G7" s="5"/>
      <c r="H7" s="15">
        <v>64</v>
      </c>
      <c r="I7" s="15">
        <f t="shared" si="0"/>
        <v>640</v>
      </c>
    </row>
    <row r="8" spans="2:9" ht="15.75" x14ac:dyDescent="0.25">
      <c r="B8" s="38">
        <v>3</v>
      </c>
      <c r="C8" s="33" t="s">
        <v>18</v>
      </c>
      <c r="D8" s="19"/>
      <c r="E8" s="12"/>
      <c r="F8" s="19">
        <f>2.5</f>
        <v>2.5</v>
      </c>
      <c r="G8" s="5"/>
      <c r="H8" s="15">
        <v>118</v>
      </c>
      <c r="I8" s="15">
        <f t="shared" si="0"/>
        <v>295</v>
      </c>
    </row>
    <row r="9" spans="2:9" ht="15.75" x14ac:dyDescent="0.25">
      <c r="B9" s="38">
        <v>4</v>
      </c>
      <c r="C9" s="33" t="s">
        <v>19</v>
      </c>
      <c r="D9" s="19"/>
      <c r="E9" s="12"/>
      <c r="F9" s="19">
        <f>125+2.84+2.66+30.28</f>
        <v>160.78</v>
      </c>
      <c r="G9" s="5"/>
      <c r="H9" s="15">
        <v>180</v>
      </c>
      <c r="I9" s="15">
        <f t="shared" si="0"/>
        <v>28940.400000000001</v>
      </c>
    </row>
    <row r="10" spans="2:9" ht="15.75" x14ac:dyDescent="0.25">
      <c r="B10" s="38">
        <v>5</v>
      </c>
      <c r="C10" s="33" t="s">
        <v>5</v>
      </c>
      <c r="D10" s="19"/>
      <c r="E10" s="12"/>
      <c r="F10" s="19">
        <f>8.5</f>
        <v>8.5</v>
      </c>
      <c r="G10" s="5"/>
      <c r="H10" s="15">
        <v>120</v>
      </c>
      <c r="I10" s="15">
        <f t="shared" si="0"/>
        <v>1020</v>
      </c>
    </row>
    <row r="11" spans="2:9" ht="15.75" x14ac:dyDescent="0.25">
      <c r="B11" s="38">
        <v>6</v>
      </c>
      <c r="C11" s="33" t="s">
        <v>20</v>
      </c>
      <c r="D11" s="19"/>
      <c r="E11" s="12"/>
      <c r="F11" s="19"/>
      <c r="G11" s="5"/>
      <c r="H11" s="15"/>
      <c r="I11" s="15">
        <f t="shared" si="0"/>
        <v>0</v>
      </c>
    </row>
    <row r="12" spans="2:9" ht="15.75" x14ac:dyDescent="0.25">
      <c r="B12" s="38">
        <v>7</v>
      </c>
      <c r="C12" s="33" t="s">
        <v>21</v>
      </c>
      <c r="D12" s="19"/>
      <c r="E12" s="12"/>
      <c r="F12" s="19"/>
      <c r="G12" s="5"/>
      <c r="H12" s="15"/>
      <c r="I12" s="15">
        <f t="shared" si="0"/>
        <v>0</v>
      </c>
    </row>
    <row r="13" spans="2:9" ht="15.75" x14ac:dyDescent="0.25">
      <c r="B13" s="38">
        <v>8</v>
      </c>
      <c r="C13" s="33" t="s">
        <v>7</v>
      </c>
      <c r="D13" s="19"/>
      <c r="E13" s="12"/>
      <c r="F13" s="19">
        <f>23.8+26.6+42.3</f>
        <v>92.7</v>
      </c>
      <c r="G13" s="5"/>
      <c r="H13" s="15">
        <v>64</v>
      </c>
      <c r="I13" s="15">
        <f t="shared" si="0"/>
        <v>5932.8</v>
      </c>
    </row>
    <row r="14" spans="2:9" ht="15.75" x14ac:dyDescent="0.25">
      <c r="B14" s="38">
        <v>9</v>
      </c>
      <c r="C14" s="33" t="s">
        <v>22</v>
      </c>
      <c r="D14" s="19"/>
      <c r="E14" s="12"/>
      <c r="F14" s="19">
        <f>1.86+15.8+26.2+86.5+10.1+32</f>
        <v>172.46</v>
      </c>
      <c r="G14" s="5"/>
      <c r="H14" s="15">
        <v>130</v>
      </c>
      <c r="I14" s="15">
        <f t="shared" si="0"/>
        <v>22419.8</v>
      </c>
    </row>
    <row r="15" spans="2:9" ht="15.75" x14ac:dyDescent="0.25">
      <c r="B15" s="38">
        <v>10</v>
      </c>
      <c r="C15" s="33" t="s">
        <v>23</v>
      </c>
      <c r="D15" s="19"/>
      <c r="E15" s="12"/>
      <c r="F15" s="19"/>
      <c r="G15" s="5"/>
      <c r="H15" s="15"/>
      <c r="I15" s="15">
        <f t="shared" si="0"/>
        <v>0</v>
      </c>
    </row>
    <row r="16" spans="2:9" ht="15.75" x14ac:dyDescent="0.25">
      <c r="B16" s="38">
        <v>11</v>
      </c>
      <c r="C16" s="33" t="s">
        <v>460</v>
      </c>
      <c r="D16" s="19"/>
      <c r="E16" s="12"/>
      <c r="F16" s="19">
        <f>3</f>
        <v>3</v>
      </c>
      <c r="G16" s="5"/>
      <c r="H16" s="15">
        <v>440</v>
      </c>
      <c r="I16" s="15">
        <f t="shared" si="0"/>
        <v>1320</v>
      </c>
    </row>
    <row r="17" spans="2:9" ht="15.75" x14ac:dyDescent="0.25">
      <c r="B17" s="38">
        <v>12</v>
      </c>
      <c r="C17" s="33" t="s">
        <v>25</v>
      </c>
      <c r="D17" s="19"/>
      <c r="E17" s="12"/>
      <c r="F17" s="19"/>
      <c r="G17" s="5"/>
      <c r="H17" s="15"/>
      <c r="I17" s="15">
        <f t="shared" si="0"/>
        <v>0</v>
      </c>
    </row>
    <row r="18" spans="2:9" ht="15.75" x14ac:dyDescent="0.25">
      <c r="B18" s="38">
        <v>13</v>
      </c>
      <c r="C18" s="33" t="s">
        <v>26</v>
      </c>
      <c r="D18" s="19"/>
      <c r="E18" s="12"/>
      <c r="F18" s="19">
        <f>8.08+4</f>
        <v>12.08</v>
      </c>
      <c r="G18" s="5"/>
      <c r="H18" s="15">
        <v>62</v>
      </c>
      <c r="I18" s="15">
        <f t="shared" si="0"/>
        <v>748.96</v>
      </c>
    </row>
    <row r="19" spans="2:9" ht="63" x14ac:dyDescent="0.25">
      <c r="B19" s="38">
        <v>14</v>
      </c>
      <c r="C19" s="34" t="s">
        <v>27</v>
      </c>
      <c r="D19" s="19"/>
      <c r="E19" s="12"/>
      <c r="F19" s="19">
        <f>3.985+3.5</f>
        <v>7.4849999999999994</v>
      </c>
      <c r="G19" s="5"/>
      <c r="H19" s="15">
        <v>98</v>
      </c>
      <c r="I19" s="15">
        <f t="shared" si="0"/>
        <v>733.53</v>
      </c>
    </row>
    <row r="20" spans="2:9" ht="78.75" x14ac:dyDescent="0.25">
      <c r="B20" s="38">
        <v>15</v>
      </c>
      <c r="C20" s="34" t="s">
        <v>28</v>
      </c>
      <c r="D20" s="19"/>
      <c r="E20" s="12"/>
      <c r="F20" s="19">
        <f>3.96</f>
        <v>3.96</v>
      </c>
      <c r="G20" s="13"/>
      <c r="H20" s="22">
        <v>133</v>
      </c>
      <c r="I20" s="15">
        <f t="shared" si="0"/>
        <v>526.67999999999995</v>
      </c>
    </row>
    <row r="21" spans="2:9" ht="63" x14ac:dyDescent="0.25">
      <c r="B21" s="38">
        <v>16</v>
      </c>
      <c r="C21" s="34" t="s">
        <v>441</v>
      </c>
      <c r="D21" s="19"/>
      <c r="E21" s="12"/>
      <c r="F21" s="19">
        <f>3.81</f>
        <v>3.81</v>
      </c>
      <c r="G21" s="5"/>
      <c r="H21" s="15">
        <v>145</v>
      </c>
      <c r="I21" s="15">
        <f t="shared" si="0"/>
        <v>552.45000000000005</v>
      </c>
    </row>
    <row r="22" spans="2:9" ht="78.75" x14ac:dyDescent="0.25">
      <c r="B22" s="38">
        <v>17</v>
      </c>
      <c r="C22" s="34" t="s">
        <v>29</v>
      </c>
      <c r="D22" s="19"/>
      <c r="E22" s="12"/>
      <c r="F22" s="19">
        <f>5.6</f>
        <v>5.6</v>
      </c>
      <c r="G22" s="5"/>
      <c r="H22" s="15">
        <v>360</v>
      </c>
      <c r="I22" s="15">
        <f t="shared" si="0"/>
        <v>2015.9999999999998</v>
      </c>
    </row>
    <row r="23" spans="2:9" ht="47.25" x14ac:dyDescent="0.25">
      <c r="B23" s="38">
        <v>18</v>
      </c>
      <c r="C23" s="34" t="s">
        <v>30</v>
      </c>
      <c r="D23" s="19"/>
      <c r="E23" s="12"/>
      <c r="F23" s="19">
        <f>1.655</f>
        <v>1.655</v>
      </c>
      <c r="G23" s="5"/>
      <c r="H23" s="15">
        <v>110</v>
      </c>
      <c r="I23" s="15">
        <f t="shared" si="0"/>
        <v>182.05</v>
      </c>
    </row>
    <row r="24" spans="2:9" ht="63" x14ac:dyDescent="0.25">
      <c r="B24" s="38">
        <v>19</v>
      </c>
      <c r="C24" s="34" t="s">
        <v>31</v>
      </c>
      <c r="D24" s="19"/>
      <c r="E24" s="12"/>
      <c r="F24" s="19"/>
      <c r="G24" s="5"/>
      <c r="H24" s="15"/>
      <c r="I24" s="15">
        <f t="shared" si="0"/>
        <v>0</v>
      </c>
    </row>
    <row r="25" spans="2:9" ht="63" x14ac:dyDescent="0.25">
      <c r="B25" s="38">
        <v>20</v>
      </c>
      <c r="C25" s="34" t="s">
        <v>461</v>
      </c>
      <c r="D25" s="19"/>
      <c r="E25" s="12"/>
      <c r="F25" s="19">
        <v>4</v>
      </c>
      <c r="G25" s="7"/>
      <c r="H25" s="23">
        <v>175</v>
      </c>
      <c r="I25" s="15">
        <f t="shared" si="0"/>
        <v>700</v>
      </c>
    </row>
    <row r="26" spans="2:9" ht="78.75" x14ac:dyDescent="0.25">
      <c r="B26" s="38">
        <v>21</v>
      </c>
      <c r="C26" s="34" t="s">
        <v>32</v>
      </c>
      <c r="D26" s="19"/>
      <c r="E26" s="12"/>
      <c r="F26" s="19">
        <f>4.01+7.43</f>
        <v>11.44</v>
      </c>
      <c r="G26" s="5"/>
      <c r="H26" s="15"/>
      <c r="I26" s="15">
        <f t="shared" si="0"/>
        <v>0</v>
      </c>
    </row>
    <row r="27" spans="2:9" ht="78.75" x14ac:dyDescent="0.25">
      <c r="B27" s="38">
        <v>22</v>
      </c>
      <c r="C27" s="34" t="s">
        <v>33</v>
      </c>
      <c r="D27" s="19"/>
      <c r="E27" s="12"/>
      <c r="F27" s="19">
        <f>1.2</f>
        <v>1.2</v>
      </c>
      <c r="G27" s="5"/>
      <c r="H27" s="15">
        <f>440</f>
        <v>440</v>
      </c>
      <c r="I27" s="15">
        <f t="shared" si="0"/>
        <v>528</v>
      </c>
    </row>
    <row r="28" spans="2:9" ht="31.5" x14ac:dyDescent="0.25">
      <c r="B28" s="38">
        <v>23</v>
      </c>
      <c r="C28" s="34" t="s">
        <v>34</v>
      </c>
      <c r="D28" s="19"/>
      <c r="E28" s="12"/>
      <c r="F28" s="19">
        <f>3.2</f>
        <v>3.2</v>
      </c>
      <c r="G28" s="5"/>
      <c r="H28" s="15">
        <v>96</v>
      </c>
      <c r="I28" s="15">
        <f t="shared" si="0"/>
        <v>307.20000000000005</v>
      </c>
    </row>
    <row r="29" spans="2:9" ht="63" x14ac:dyDescent="0.25">
      <c r="B29" s="38">
        <v>24</v>
      </c>
      <c r="C29" s="34" t="s">
        <v>35</v>
      </c>
      <c r="D29" s="19"/>
      <c r="E29" s="12"/>
      <c r="F29" s="19"/>
      <c r="G29" s="5"/>
      <c r="H29" s="15"/>
      <c r="I29" s="15">
        <f t="shared" si="0"/>
        <v>0</v>
      </c>
    </row>
    <row r="30" spans="2:9" ht="15.75" x14ac:dyDescent="0.25">
      <c r="B30" s="38">
        <v>25</v>
      </c>
      <c r="C30" s="33" t="s">
        <v>462</v>
      </c>
      <c r="D30" s="19"/>
      <c r="E30" s="12"/>
      <c r="F30" s="19">
        <v>3.3919999999999999</v>
      </c>
      <c r="G30" s="5"/>
      <c r="H30" s="15">
        <v>135</v>
      </c>
      <c r="I30" s="15">
        <f t="shared" si="0"/>
        <v>457.91999999999996</v>
      </c>
    </row>
    <row r="31" spans="2:9" ht="15.75" x14ac:dyDescent="0.25">
      <c r="B31" s="38">
        <v>26</v>
      </c>
      <c r="C31" s="33" t="s">
        <v>36</v>
      </c>
      <c r="D31" s="19"/>
      <c r="E31" s="12"/>
      <c r="F31" s="19"/>
      <c r="G31" s="5"/>
      <c r="H31" s="15"/>
      <c r="I31" s="15">
        <f t="shared" si="0"/>
        <v>0</v>
      </c>
    </row>
    <row r="32" spans="2:9" ht="15.75" x14ac:dyDescent="0.25">
      <c r="B32" s="38">
        <v>27</v>
      </c>
      <c r="C32" s="33" t="s">
        <v>37</v>
      </c>
      <c r="D32" s="19"/>
      <c r="E32" s="12"/>
      <c r="F32" s="19"/>
      <c r="G32" s="5"/>
      <c r="H32" s="15"/>
      <c r="I32" s="15">
        <f t="shared" si="0"/>
        <v>0</v>
      </c>
    </row>
    <row r="33" spans="2:9" ht="15.75" x14ac:dyDescent="0.25">
      <c r="B33" s="38">
        <v>28</v>
      </c>
      <c r="C33" s="33" t="s">
        <v>38</v>
      </c>
      <c r="D33" s="19"/>
      <c r="E33" s="12"/>
      <c r="F33" s="19"/>
      <c r="G33" s="5"/>
      <c r="H33" s="15"/>
      <c r="I33" s="15">
        <f t="shared" si="0"/>
        <v>0</v>
      </c>
    </row>
    <row r="34" spans="2:9" ht="15.75" x14ac:dyDescent="0.25">
      <c r="B34" s="38">
        <v>29</v>
      </c>
      <c r="C34" s="33" t="s">
        <v>39</v>
      </c>
      <c r="D34" s="19"/>
      <c r="E34" s="12"/>
      <c r="F34" s="19">
        <f>11.9</f>
        <v>11.9</v>
      </c>
      <c r="G34" s="5"/>
      <c r="H34" s="15">
        <v>128</v>
      </c>
      <c r="I34" s="15">
        <f t="shared" si="0"/>
        <v>1523.2</v>
      </c>
    </row>
    <row r="35" spans="2:9" ht="15.75" x14ac:dyDescent="0.25">
      <c r="B35" s="38">
        <v>30</v>
      </c>
      <c r="C35" s="33" t="s">
        <v>15</v>
      </c>
      <c r="D35" s="19"/>
      <c r="E35" s="12"/>
      <c r="F35" s="19">
        <f>2.652</f>
        <v>2.6520000000000001</v>
      </c>
      <c r="G35" s="5"/>
      <c r="H35" s="15">
        <v>120</v>
      </c>
      <c r="I35" s="15">
        <f t="shared" si="0"/>
        <v>318.24</v>
      </c>
    </row>
    <row r="36" spans="2:9" ht="15.75" x14ac:dyDescent="0.25">
      <c r="B36" s="38">
        <v>31</v>
      </c>
      <c r="C36" s="33" t="s">
        <v>40</v>
      </c>
      <c r="D36" s="19"/>
      <c r="E36" s="12"/>
      <c r="F36" s="19">
        <f>15.45+44.4+46.5+8.355</f>
        <v>114.705</v>
      </c>
      <c r="G36" s="5"/>
      <c r="H36" s="15">
        <v>100</v>
      </c>
      <c r="I36" s="15">
        <f t="shared" si="0"/>
        <v>11470.5</v>
      </c>
    </row>
    <row r="37" spans="2:9" ht="15.75" x14ac:dyDescent="0.25">
      <c r="B37" s="38">
        <v>32</v>
      </c>
      <c r="C37" s="33" t="s">
        <v>41</v>
      </c>
      <c r="D37" s="19"/>
      <c r="E37" s="12"/>
      <c r="F37" s="19">
        <f>3.3+5.66</f>
        <v>8.9600000000000009</v>
      </c>
      <c r="G37" s="5"/>
      <c r="H37" s="15">
        <v>120</v>
      </c>
      <c r="I37" s="15">
        <f t="shared" si="0"/>
        <v>1075.2</v>
      </c>
    </row>
    <row r="38" spans="2:9" ht="15.75" x14ac:dyDescent="0.25">
      <c r="B38" s="38">
        <v>33</v>
      </c>
      <c r="C38" s="33" t="s">
        <v>42</v>
      </c>
      <c r="D38" s="19"/>
      <c r="E38" s="12"/>
      <c r="F38" s="19"/>
      <c r="G38" s="5"/>
      <c r="H38" s="15"/>
      <c r="I38" s="15">
        <f t="shared" si="0"/>
        <v>0</v>
      </c>
    </row>
    <row r="39" spans="2:9" ht="78.75" x14ac:dyDescent="0.25">
      <c r="B39" s="38">
        <v>34</v>
      </c>
      <c r="C39" s="34" t="s">
        <v>43</v>
      </c>
      <c r="D39" s="27"/>
      <c r="E39" s="27"/>
      <c r="F39" s="19"/>
      <c r="G39" s="13"/>
      <c r="H39" s="22"/>
      <c r="I39" s="15">
        <f t="shared" si="0"/>
        <v>0</v>
      </c>
    </row>
    <row r="40" spans="2:9" ht="15.75" x14ac:dyDescent="0.25">
      <c r="B40" s="38">
        <v>35</v>
      </c>
      <c r="C40" s="33" t="s">
        <v>44</v>
      </c>
      <c r="D40" s="19"/>
      <c r="E40" s="12"/>
      <c r="F40" s="19">
        <f>3.405</f>
        <v>3.4049999999999998</v>
      </c>
      <c r="G40" s="5"/>
      <c r="H40" s="15">
        <v>105</v>
      </c>
      <c r="I40" s="15">
        <f t="shared" si="0"/>
        <v>357.52499999999998</v>
      </c>
    </row>
    <row r="41" spans="2:9" ht="15.75" x14ac:dyDescent="0.25">
      <c r="B41" s="38">
        <v>36</v>
      </c>
      <c r="C41" s="33" t="s">
        <v>45</v>
      </c>
      <c r="D41" s="19"/>
      <c r="E41" s="12"/>
      <c r="F41" s="19"/>
      <c r="G41" s="5"/>
      <c r="H41" s="15"/>
      <c r="I41" s="15">
        <f t="shared" si="0"/>
        <v>0</v>
      </c>
    </row>
    <row r="42" spans="2:9" ht="15.75" x14ac:dyDescent="0.25">
      <c r="B42" s="38">
        <v>37</v>
      </c>
      <c r="C42" s="33" t="s">
        <v>46</v>
      </c>
      <c r="D42" s="19"/>
      <c r="E42" s="12"/>
      <c r="F42" s="19">
        <f>4.096+4.6+10.035+10.66</f>
        <v>29.391000000000002</v>
      </c>
      <c r="G42" s="5"/>
      <c r="H42" s="15">
        <v>220</v>
      </c>
      <c r="I42" s="15">
        <f t="shared" si="0"/>
        <v>6466.02</v>
      </c>
    </row>
    <row r="43" spans="2:9" ht="15.75" x14ac:dyDescent="0.25">
      <c r="B43" s="38">
        <v>38</v>
      </c>
      <c r="C43" s="33" t="s">
        <v>47</v>
      </c>
      <c r="D43" s="19"/>
      <c r="E43" s="12"/>
      <c r="F43" s="19"/>
      <c r="G43" s="5"/>
      <c r="H43" s="15"/>
      <c r="I43" s="15">
        <f t="shared" si="0"/>
        <v>0</v>
      </c>
    </row>
    <row r="44" spans="2:9" ht="15.75" x14ac:dyDescent="0.25">
      <c r="B44" s="38">
        <v>39</v>
      </c>
      <c r="C44" s="33" t="s">
        <v>48</v>
      </c>
      <c r="D44" s="19"/>
      <c r="E44" s="12"/>
      <c r="F44" s="19"/>
      <c r="G44" s="5"/>
      <c r="H44" s="15"/>
      <c r="I44" s="15">
        <f t="shared" si="0"/>
        <v>0</v>
      </c>
    </row>
    <row r="45" spans="2:9" ht="15.75" x14ac:dyDescent="0.25">
      <c r="B45" s="38">
        <v>40</v>
      </c>
      <c r="C45" s="33" t="s">
        <v>49</v>
      </c>
      <c r="D45" s="19"/>
      <c r="E45" s="12"/>
      <c r="F45" s="19"/>
      <c r="G45" s="5"/>
      <c r="H45" s="15"/>
      <c r="I45" s="15">
        <f t="shared" si="0"/>
        <v>0</v>
      </c>
    </row>
    <row r="46" spans="2:9" ht="15.75" x14ac:dyDescent="0.25">
      <c r="B46" s="38">
        <v>41</v>
      </c>
      <c r="C46" s="33" t="s">
        <v>311</v>
      </c>
      <c r="D46" s="19"/>
      <c r="E46" s="12"/>
      <c r="F46" s="19">
        <f>3.095</f>
        <v>3.0950000000000002</v>
      </c>
      <c r="G46" s="5"/>
      <c r="H46" s="15">
        <v>55</v>
      </c>
      <c r="I46" s="15">
        <f t="shared" si="0"/>
        <v>170.22500000000002</v>
      </c>
    </row>
    <row r="47" spans="2:9" ht="15.75" x14ac:dyDescent="0.25">
      <c r="B47" s="38">
        <v>42</v>
      </c>
      <c r="C47" s="33" t="s">
        <v>50</v>
      </c>
      <c r="D47" s="19"/>
      <c r="E47" s="12"/>
      <c r="F47" s="19">
        <f>2.1</f>
        <v>2.1</v>
      </c>
      <c r="G47" s="5"/>
      <c r="H47" s="15">
        <v>55</v>
      </c>
      <c r="I47" s="15">
        <f t="shared" si="0"/>
        <v>115.5</v>
      </c>
    </row>
    <row r="48" spans="2:9" ht="15.75" x14ac:dyDescent="0.25">
      <c r="B48" s="38">
        <v>43</v>
      </c>
      <c r="C48" s="33" t="s">
        <v>51</v>
      </c>
      <c r="D48" s="19"/>
      <c r="E48" s="12"/>
      <c r="F48" s="19">
        <f>10.88</f>
        <v>10.88</v>
      </c>
      <c r="G48" s="5"/>
      <c r="H48" s="15">
        <v>80</v>
      </c>
      <c r="I48" s="15">
        <f t="shared" si="0"/>
        <v>870.40000000000009</v>
      </c>
    </row>
    <row r="49" spans="2:9" ht="15.75" x14ac:dyDescent="0.25">
      <c r="B49" s="38">
        <v>44</v>
      </c>
      <c r="C49" s="33" t="s">
        <v>52</v>
      </c>
      <c r="D49" s="19"/>
      <c r="E49" s="12"/>
      <c r="F49" s="19">
        <f>3.095</f>
        <v>3.0950000000000002</v>
      </c>
      <c r="G49" s="5"/>
      <c r="H49" s="15">
        <v>90</v>
      </c>
      <c r="I49" s="15">
        <f t="shared" si="0"/>
        <v>278.55</v>
      </c>
    </row>
    <row r="50" spans="2:9" ht="15.75" x14ac:dyDescent="0.25">
      <c r="B50" s="38">
        <v>45</v>
      </c>
      <c r="C50" s="33" t="s">
        <v>53</v>
      </c>
      <c r="D50" s="19"/>
      <c r="E50" s="12"/>
      <c r="F50" s="19">
        <f>13.3+1.65+3.41+3.495+4.2</f>
        <v>26.055</v>
      </c>
      <c r="G50" s="5"/>
      <c r="H50" s="15">
        <v>110</v>
      </c>
      <c r="I50" s="15">
        <f t="shared" si="0"/>
        <v>2866.05</v>
      </c>
    </row>
    <row r="51" spans="2:9" ht="15.75" x14ac:dyDescent="0.25">
      <c r="B51" s="38">
        <v>46</v>
      </c>
      <c r="C51" s="33" t="s">
        <v>54</v>
      </c>
      <c r="D51" s="19"/>
      <c r="E51" s="12"/>
      <c r="F51" s="19"/>
      <c r="G51" s="5"/>
      <c r="H51" s="15"/>
      <c r="I51" s="15">
        <f t="shared" si="0"/>
        <v>0</v>
      </c>
    </row>
    <row r="52" spans="2:9" ht="15.75" x14ac:dyDescent="0.25">
      <c r="B52" s="38">
        <v>47</v>
      </c>
      <c r="C52" s="33" t="s">
        <v>55</v>
      </c>
      <c r="D52" s="19"/>
      <c r="E52" s="12"/>
      <c r="F52" s="19"/>
      <c r="G52" s="5"/>
      <c r="H52" s="15"/>
      <c r="I52" s="15">
        <f t="shared" si="0"/>
        <v>0</v>
      </c>
    </row>
    <row r="53" spans="2:9" ht="15.75" x14ac:dyDescent="0.25">
      <c r="B53" s="38">
        <v>48</v>
      </c>
      <c r="C53" s="33" t="s">
        <v>56</v>
      </c>
      <c r="D53" s="19"/>
      <c r="E53" s="12"/>
      <c r="F53" s="19"/>
      <c r="G53" s="5"/>
      <c r="H53" s="15"/>
      <c r="I53" s="15">
        <f t="shared" si="0"/>
        <v>0</v>
      </c>
    </row>
    <row r="54" spans="2:9" ht="15.75" x14ac:dyDescent="0.25">
      <c r="B54" s="38">
        <v>49</v>
      </c>
      <c r="C54" s="33" t="s">
        <v>57</v>
      </c>
      <c r="D54" s="19"/>
      <c r="E54" s="12"/>
      <c r="F54" s="19"/>
      <c r="G54" s="5"/>
      <c r="H54" s="15"/>
      <c r="I54" s="15">
        <f t="shared" si="0"/>
        <v>0</v>
      </c>
    </row>
    <row r="55" spans="2:9" ht="15.75" x14ac:dyDescent="0.25">
      <c r="B55" s="38">
        <v>50</v>
      </c>
      <c r="C55" s="33" t="s">
        <v>58</v>
      </c>
      <c r="D55" s="19"/>
      <c r="E55" s="12"/>
      <c r="F55" s="19">
        <f>4.15+2.74</f>
        <v>6.8900000000000006</v>
      </c>
      <c r="G55" s="5"/>
      <c r="H55" s="15">
        <v>128</v>
      </c>
      <c r="I55" s="15">
        <f t="shared" si="0"/>
        <v>881.92000000000007</v>
      </c>
    </row>
    <row r="56" spans="2:9" ht="15.75" x14ac:dyDescent="0.25">
      <c r="B56" s="38">
        <v>51</v>
      </c>
      <c r="C56" s="33" t="s">
        <v>59</v>
      </c>
      <c r="D56" s="19"/>
      <c r="E56" s="12"/>
      <c r="F56" s="19"/>
      <c r="G56" s="5"/>
      <c r="H56" s="15"/>
      <c r="I56" s="15">
        <f t="shared" si="0"/>
        <v>0</v>
      </c>
    </row>
    <row r="57" spans="2:9" ht="15.75" x14ac:dyDescent="0.25">
      <c r="B57" s="38">
        <v>52</v>
      </c>
      <c r="C57" s="33" t="s">
        <v>60</v>
      </c>
      <c r="D57" s="19"/>
      <c r="E57" s="12"/>
      <c r="F57" s="19"/>
      <c r="G57" s="5"/>
      <c r="H57" s="15"/>
      <c r="I57" s="15">
        <f t="shared" si="0"/>
        <v>0</v>
      </c>
    </row>
    <row r="58" spans="2:9" ht="15.75" x14ac:dyDescent="0.25">
      <c r="B58" s="38">
        <v>53</v>
      </c>
      <c r="C58" s="33" t="s">
        <v>61</v>
      </c>
      <c r="D58" s="19"/>
      <c r="E58" s="12"/>
      <c r="F58" s="19"/>
      <c r="G58" s="5"/>
      <c r="H58" s="15"/>
      <c r="I58" s="15">
        <f t="shared" si="0"/>
        <v>0</v>
      </c>
    </row>
    <row r="59" spans="2:9" ht="15.75" x14ac:dyDescent="0.25">
      <c r="B59" s="38">
        <v>54</v>
      </c>
      <c r="C59" s="33" t="s">
        <v>62</v>
      </c>
      <c r="D59" s="19"/>
      <c r="E59" s="12"/>
      <c r="F59" s="19">
        <f>7+3.11</f>
        <v>10.11</v>
      </c>
      <c r="G59" s="5"/>
      <c r="H59" s="15">
        <v>630</v>
      </c>
      <c r="I59" s="15">
        <f t="shared" si="0"/>
        <v>6369.2999999999993</v>
      </c>
    </row>
    <row r="60" spans="2:9" ht="15.75" x14ac:dyDescent="0.25">
      <c r="B60" s="38">
        <v>55</v>
      </c>
      <c r="C60" s="33" t="s">
        <v>63</v>
      </c>
      <c r="D60" s="19"/>
      <c r="E60" s="12"/>
      <c r="F60" s="19">
        <f>24+64</f>
        <v>88</v>
      </c>
      <c r="G60" s="5"/>
      <c r="H60" s="15">
        <v>40</v>
      </c>
      <c r="I60" s="15">
        <f t="shared" si="0"/>
        <v>3520</v>
      </c>
    </row>
    <row r="61" spans="2:9" ht="15.75" x14ac:dyDescent="0.25">
      <c r="B61" s="38">
        <v>56</v>
      </c>
      <c r="C61" s="33" t="s">
        <v>64</v>
      </c>
      <c r="D61" s="19"/>
      <c r="E61" s="12"/>
      <c r="F61" s="19"/>
      <c r="G61" s="5"/>
      <c r="H61" s="15"/>
      <c r="I61" s="15">
        <f t="shared" si="0"/>
        <v>0</v>
      </c>
    </row>
    <row r="62" spans="2:9" ht="15.75" x14ac:dyDescent="0.25">
      <c r="B62" s="38">
        <v>57</v>
      </c>
      <c r="C62" s="33" t="s">
        <v>65</v>
      </c>
      <c r="D62" s="19"/>
      <c r="E62" s="12"/>
      <c r="F62" s="19"/>
      <c r="G62" s="5"/>
      <c r="H62" s="15"/>
      <c r="I62" s="15">
        <f t="shared" si="0"/>
        <v>0</v>
      </c>
    </row>
    <row r="63" spans="2:9" ht="15.75" x14ac:dyDescent="0.25">
      <c r="B63" s="38">
        <v>58</v>
      </c>
      <c r="C63" s="33" t="s">
        <v>66</v>
      </c>
      <c r="D63" s="19"/>
      <c r="E63" s="12"/>
      <c r="F63" s="19">
        <f>11.5</f>
        <v>11.5</v>
      </c>
      <c r="G63" s="5"/>
      <c r="H63" s="15">
        <v>75</v>
      </c>
      <c r="I63" s="15">
        <f t="shared" si="0"/>
        <v>862.5</v>
      </c>
    </row>
    <row r="64" spans="2:9" ht="15.75" x14ac:dyDescent="0.25">
      <c r="B64" s="38">
        <v>59</v>
      </c>
      <c r="C64" s="33" t="s">
        <v>67</v>
      </c>
      <c r="D64" s="19"/>
      <c r="E64" s="12"/>
      <c r="F64" s="19"/>
      <c r="G64" s="5"/>
      <c r="H64" s="15"/>
      <c r="I64" s="15">
        <f t="shared" si="0"/>
        <v>0</v>
      </c>
    </row>
    <row r="65" spans="2:9" ht="15.75" x14ac:dyDescent="0.25">
      <c r="B65" s="38">
        <v>60</v>
      </c>
      <c r="C65" s="33" t="s">
        <v>68</v>
      </c>
      <c r="D65" s="19"/>
      <c r="E65" s="12"/>
      <c r="F65" s="19">
        <f>6</f>
        <v>6</v>
      </c>
      <c r="G65" s="5"/>
      <c r="H65" s="15">
        <v>28</v>
      </c>
      <c r="I65" s="15">
        <f t="shared" si="0"/>
        <v>168</v>
      </c>
    </row>
    <row r="66" spans="2:9" ht="15.75" x14ac:dyDescent="0.25">
      <c r="B66" s="38">
        <v>61</v>
      </c>
      <c r="C66" s="33" t="s">
        <v>312</v>
      </c>
      <c r="D66" s="19"/>
      <c r="E66" s="12"/>
      <c r="F66" s="19">
        <v>4</v>
      </c>
      <c r="G66" s="5"/>
      <c r="H66" s="15">
        <v>55</v>
      </c>
      <c r="I66" s="15">
        <f t="shared" si="0"/>
        <v>220</v>
      </c>
    </row>
    <row r="67" spans="2:9" ht="15.75" x14ac:dyDescent="0.25">
      <c r="B67" s="38">
        <v>62</v>
      </c>
      <c r="C67" s="33" t="s">
        <v>447</v>
      </c>
      <c r="D67" s="19"/>
      <c r="E67" s="12"/>
      <c r="F67" s="19">
        <f>7</f>
        <v>7</v>
      </c>
      <c r="G67" s="5"/>
      <c r="H67" s="15">
        <v>115</v>
      </c>
      <c r="I67" s="15">
        <f t="shared" si="0"/>
        <v>805</v>
      </c>
    </row>
    <row r="68" spans="2:9" ht="15.75" x14ac:dyDescent="0.25">
      <c r="B68" s="38">
        <v>63</v>
      </c>
      <c r="C68" s="33" t="s">
        <v>458</v>
      </c>
      <c r="D68" s="19"/>
      <c r="E68" s="12"/>
      <c r="F68" s="19">
        <f>1.5</f>
        <v>1.5</v>
      </c>
      <c r="G68" s="5"/>
      <c r="H68" s="15">
        <v>100</v>
      </c>
      <c r="I68" s="15">
        <f t="shared" si="0"/>
        <v>150</v>
      </c>
    </row>
    <row r="69" spans="2:9" ht="15.75" x14ac:dyDescent="0.25">
      <c r="B69" s="38">
        <v>64</v>
      </c>
      <c r="C69" s="33" t="s">
        <v>457</v>
      </c>
      <c r="D69" s="19"/>
      <c r="E69" s="12"/>
      <c r="F69" s="19">
        <f>1.5+0.5</f>
        <v>2</v>
      </c>
      <c r="G69" s="5"/>
      <c r="H69" s="15">
        <v>100</v>
      </c>
      <c r="I69" s="15">
        <f t="shared" si="0"/>
        <v>200</v>
      </c>
    </row>
    <row r="70" spans="2:9" ht="15.75" x14ac:dyDescent="0.25">
      <c r="B70" s="38">
        <v>65</v>
      </c>
      <c r="C70" s="33" t="s">
        <v>71</v>
      </c>
      <c r="D70" s="19"/>
      <c r="E70" s="12"/>
      <c r="F70" s="19"/>
      <c r="G70" s="5"/>
      <c r="H70" s="15"/>
      <c r="I70" s="15">
        <f t="shared" ref="I70:I84" si="1">F70*H70</f>
        <v>0</v>
      </c>
    </row>
    <row r="71" spans="2:9" ht="15.75" x14ac:dyDescent="0.25">
      <c r="B71" s="38">
        <v>66</v>
      </c>
      <c r="C71" s="33" t="s">
        <v>72</v>
      </c>
      <c r="D71" s="19"/>
      <c r="E71" s="12"/>
      <c r="F71" s="19"/>
      <c r="G71" s="5"/>
      <c r="H71" s="15"/>
      <c r="I71" s="15">
        <f t="shared" si="1"/>
        <v>0</v>
      </c>
    </row>
    <row r="72" spans="2:9" ht="15.75" x14ac:dyDescent="0.25">
      <c r="B72" s="38">
        <v>67</v>
      </c>
      <c r="C72" s="33" t="s">
        <v>73</v>
      </c>
      <c r="D72" s="19"/>
      <c r="E72" s="12"/>
      <c r="F72" s="19"/>
      <c r="G72" s="5"/>
      <c r="H72" s="15"/>
      <c r="I72" s="15">
        <f t="shared" si="1"/>
        <v>0</v>
      </c>
    </row>
    <row r="73" spans="2:9" ht="15.75" x14ac:dyDescent="0.25">
      <c r="B73" s="38">
        <v>68</v>
      </c>
      <c r="C73" s="33" t="s">
        <v>74</v>
      </c>
      <c r="D73" s="19"/>
      <c r="E73" s="12"/>
      <c r="F73" s="19"/>
      <c r="G73" s="5"/>
      <c r="H73" s="15"/>
      <c r="I73" s="15">
        <f t="shared" si="1"/>
        <v>0</v>
      </c>
    </row>
    <row r="74" spans="2:9" ht="15.75" x14ac:dyDescent="0.25">
      <c r="B74" s="38">
        <v>69</v>
      </c>
      <c r="C74" s="33" t="s">
        <v>75</v>
      </c>
      <c r="D74" s="19"/>
      <c r="E74" s="12"/>
      <c r="F74" s="19"/>
      <c r="G74" s="5"/>
      <c r="H74" s="15"/>
      <c r="I74" s="15">
        <f t="shared" si="1"/>
        <v>0</v>
      </c>
    </row>
    <row r="75" spans="2:9" ht="15.75" x14ac:dyDescent="0.25">
      <c r="B75" s="38">
        <v>70</v>
      </c>
      <c r="C75" s="33" t="s">
        <v>76</v>
      </c>
      <c r="D75" s="19"/>
      <c r="E75" s="12"/>
      <c r="F75" s="19">
        <f>0.186</f>
        <v>0.186</v>
      </c>
      <c r="G75" s="5"/>
      <c r="H75" s="15">
        <v>245</v>
      </c>
      <c r="I75" s="15">
        <f t="shared" si="1"/>
        <v>45.57</v>
      </c>
    </row>
    <row r="76" spans="2:9" ht="15.75" x14ac:dyDescent="0.25">
      <c r="B76" s="38">
        <v>71</v>
      </c>
      <c r="C76" s="33" t="s">
        <v>78</v>
      </c>
      <c r="D76" s="19"/>
      <c r="E76" s="12"/>
      <c r="F76" s="19">
        <f>1.476+1</f>
        <v>2.476</v>
      </c>
      <c r="G76" s="5"/>
      <c r="H76" s="15">
        <v>85</v>
      </c>
      <c r="I76" s="15">
        <f t="shared" si="1"/>
        <v>210.46</v>
      </c>
    </row>
    <row r="77" spans="2:9" ht="15.75" x14ac:dyDescent="0.25">
      <c r="B77" s="38">
        <v>72</v>
      </c>
      <c r="C77" s="33" t="s">
        <v>79</v>
      </c>
      <c r="D77" s="19"/>
      <c r="E77" s="12"/>
      <c r="F77" s="19">
        <f>10</f>
        <v>10</v>
      </c>
      <c r="G77" s="5"/>
      <c r="H77" s="15">
        <v>760</v>
      </c>
      <c r="I77" s="15">
        <f t="shared" si="1"/>
        <v>7600</v>
      </c>
    </row>
    <row r="78" spans="2:9" ht="15.75" x14ac:dyDescent="0.25">
      <c r="B78" s="38">
        <v>73</v>
      </c>
      <c r="C78" s="33" t="s">
        <v>80</v>
      </c>
      <c r="D78" s="19"/>
      <c r="E78" s="12"/>
      <c r="F78" s="19">
        <f>11.265</f>
        <v>11.265000000000001</v>
      </c>
      <c r="G78" s="5"/>
      <c r="H78" s="15">
        <v>125</v>
      </c>
      <c r="I78" s="15">
        <f t="shared" si="1"/>
        <v>1408.125</v>
      </c>
    </row>
    <row r="79" spans="2:9" ht="15.75" x14ac:dyDescent="0.25">
      <c r="B79" s="38">
        <v>74</v>
      </c>
      <c r="C79" s="33" t="s">
        <v>81</v>
      </c>
      <c r="D79" s="19"/>
      <c r="E79" s="12"/>
      <c r="F79" s="19">
        <f>2+10+30</f>
        <v>42</v>
      </c>
      <c r="G79" s="5"/>
      <c r="H79" s="15">
        <v>120</v>
      </c>
      <c r="I79" s="15">
        <f t="shared" si="1"/>
        <v>5040</v>
      </c>
    </row>
    <row r="80" spans="2:9" ht="15.75" x14ac:dyDescent="0.25">
      <c r="B80" s="38">
        <v>75</v>
      </c>
      <c r="C80" s="33" t="s">
        <v>82</v>
      </c>
      <c r="D80" s="19"/>
      <c r="E80" s="12"/>
      <c r="F80" s="19">
        <f>6+27+10</f>
        <v>43</v>
      </c>
      <c r="G80" s="5"/>
      <c r="H80" s="15">
        <v>70</v>
      </c>
      <c r="I80" s="15">
        <f t="shared" si="1"/>
        <v>3010</v>
      </c>
    </row>
    <row r="81" spans="2:9" ht="15.75" x14ac:dyDescent="0.25">
      <c r="B81" s="38">
        <v>76</v>
      </c>
      <c r="C81" s="33" t="s">
        <v>83</v>
      </c>
      <c r="D81" s="19"/>
      <c r="E81" s="12"/>
      <c r="F81" s="19">
        <f>8+104</f>
        <v>112</v>
      </c>
      <c r="G81" s="5"/>
      <c r="H81" s="15">
        <v>16</v>
      </c>
      <c r="I81" s="15">
        <f t="shared" si="1"/>
        <v>1792</v>
      </c>
    </row>
    <row r="82" spans="2:9" ht="15.75" x14ac:dyDescent="0.25">
      <c r="B82" s="38">
        <v>77</v>
      </c>
      <c r="C82" s="33" t="s">
        <v>313</v>
      </c>
      <c r="D82" s="19"/>
      <c r="E82" s="12"/>
      <c r="F82" s="19"/>
      <c r="G82" s="5"/>
      <c r="H82" s="15"/>
      <c r="I82" s="15">
        <f t="shared" si="1"/>
        <v>0</v>
      </c>
    </row>
    <row r="83" spans="2:9" ht="15.75" x14ac:dyDescent="0.25">
      <c r="B83" s="38">
        <v>78</v>
      </c>
      <c r="C83" s="33" t="s">
        <v>84</v>
      </c>
      <c r="D83" s="19"/>
      <c r="E83" s="12"/>
      <c r="F83" s="19"/>
      <c r="G83" s="5"/>
      <c r="H83" s="15"/>
      <c r="I83" s="15">
        <f t="shared" si="1"/>
        <v>0</v>
      </c>
    </row>
    <row r="84" spans="2:9" ht="15.75" x14ac:dyDescent="0.25">
      <c r="B84" s="38">
        <v>79</v>
      </c>
      <c r="C84" s="33" t="s">
        <v>85</v>
      </c>
      <c r="D84" s="19"/>
      <c r="E84" s="12"/>
      <c r="F84" s="19"/>
      <c r="G84" s="5"/>
      <c r="H84" s="15"/>
      <c r="I84" s="15">
        <f t="shared" si="1"/>
        <v>0</v>
      </c>
    </row>
    <row r="85" spans="2:9" ht="15.75" x14ac:dyDescent="0.25">
      <c r="B85" s="38">
        <v>80</v>
      </c>
      <c r="C85" s="33" t="s">
        <v>86</v>
      </c>
      <c r="D85" s="19"/>
      <c r="E85" s="12"/>
      <c r="F85" s="19"/>
      <c r="G85" s="5"/>
      <c r="H85" s="15"/>
      <c r="I85" s="15">
        <f>G85*H85</f>
        <v>0</v>
      </c>
    </row>
    <row r="86" spans="2:9" ht="15.75" x14ac:dyDescent="0.25">
      <c r="B86" s="38">
        <v>81</v>
      </c>
      <c r="C86" s="33" t="s">
        <v>87</v>
      </c>
      <c r="D86" s="19"/>
      <c r="E86" s="12"/>
      <c r="F86" s="19">
        <f>25+2</f>
        <v>27</v>
      </c>
      <c r="G86" s="5"/>
      <c r="H86" s="15">
        <v>23</v>
      </c>
      <c r="I86" s="15">
        <f>G86*H86</f>
        <v>0</v>
      </c>
    </row>
    <row r="87" spans="2:9" ht="15.75" x14ac:dyDescent="0.25">
      <c r="B87" s="38">
        <v>82</v>
      </c>
      <c r="C87" s="33" t="s">
        <v>88</v>
      </c>
      <c r="D87" s="19"/>
      <c r="E87" s="12"/>
      <c r="F87" s="19"/>
      <c r="G87" s="5"/>
      <c r="H87" s="15"/>
      <c r="I87" s="15">
        <f t="shared" ref="I87:I100" si="2">F87*H87</f>
        <v>0</v>
      </c>
    </row>
    <row r="88" spans="2:9" ht="15.75" x14ac:dyDescent="0.25">
      <c r="B88" s="38">
        <v>83</v>
      </c>
      <c r="C88" s="33" t="s">
        <v>89</v>
      </c>
      <c r="D88" s="19"/>
      <c r="E88" s="12"/>
      <c r="F88" s="19"/>
      <c r="G88" s="5"/>
      <c r="H88" s="15"/>
      <c r="I88" s="15">
        <f t="shared" si="2"/>
        <v>0</v>
      </c>
    </row>
    <row r="89" spans="2:9" ht="15.75" x14ac:dyDescent="0.25">
      <c r="B89" s="38">
        <v>84</v>
      </c>
      <c r="C89" s="33" t="s">
        <v>90</v>
      </c>
      <c r="D89" s="19"/>
      <c r="E89" s="12"/>
      <c r="F89" s="19"/>
      <c r="G89" s="5"/>
      <c r="H89" s="15"/>
      <c r="I89" s="15">
        <f t="shared" si="2"/>
        <v>0</v>
      </c>
    </row>
    <row r="90" spans="2:9" ht="15.75" x14ac:dyDescent="0.25">
      <c r="B90" s="38">
        <v>85</v>
      </c>
      <c r="C90" s="33" t="s">
        <v>91</v>
      </c>
      <c r="D90" s="19"/>
      <c r="E90" s="12"/>
      <c r="F90" s="19">
        <v>1</v>
      </c>
      <c r="G90" s="5"/>
      <c r="H90" s="15">
        <v>111</v>
      </c>
      <c r="I90" s="15">
        <f t="shared" si="2"/>
        <v>111</v>
      </c>
    </row>
    <row r="91" spans="2:9" ht="15.75" x14ac:dyDescent="0.25">
      <c r="B91" s="38">
        <v>86</v>
      </c>
      <c r="C91" s="33" t="s">
        <v>92</v>
      </c>
      <c r="D91" s="19"/>
      <c r="E91" s="12"/>
      <c r="F91" s="19"/>
      <c r="G91" s="5"/>
      <c r="H91" s="15"/>
      <c r="I91" s="15">
        <f t="shared" si="2"/>
        <v>0</v>
      </c>
    </row>
    <row r="92" spans="2:9" ht="15.75" x14ac:dyDescent="0.25">
      <c r="B92" s="38">
        <v>87</v>
      </c>
      <c r="C92" s="33" t="s">
        <v>93</v>
      </c>
      <c r="D92" s="19"/>
      <c r="E92" s="12"/>
      <c r="F92" s="19">
        <v>2</v>
      </c>
      <c r="G92" s="5"/>
      <c r="H92" s="15">
        <v>206</v>
      </c>
      <c r="I92" s="15">
        <f t="shared" si="2"/>
        <v>412</v>
      </c>
    </row>
    <row r="93" spans="2:9" ht="15.75" x14ac:dyDescent="0.25">
      <c r="B93" s="38">
        <v>88</v>
      </c>
      <c r="C93" s="33" t="s">
        <v>94</v>
      </c>
      <c r="D93" s="19"/>
      <c r="E93" s="12"/>
      <c r="F93" s="19"/>
      <c r="G93" s="5"/>
      <c r="H93" s="15"/>
      <c r="I93" s="15">
        <f t="shared" si="2"/>
        <v>0</v>
      </c>
    </row>
    <row r="94" spans="2:9" ht="15.75" x14ac:dyDescent="0.25">
      <c r="B94" s="38">
        <v>89</v>
      </c>
      <c r="C94" s="33" t="s">
        <v>95</v>
      </c>
      <c r="D94" s="19"/>
      <c r="E94" s="12"/>
      <c r="F94" s="19"/>
      <c r="G94" s="5"/>
      <c r="H94" s="15"/>
      <c r="I94" s="15">
        <f t="shared" si="2"/>
        <v>0</v>
      </c>
    </row>
    <row r="95" spans="2:9" ht="15.75" x14ac:dyDescent="0.25">
      <c r="B95" s="38">
        <v>90</v>
      </c>
      <c r="C95" s="33" t="s">
        <v>96</v>
      </c>
      <c r="D95" s="19"/>
      <c r="E95" s="12"/>
      <c r="F95" s="19"/>
      <c r="G95" s="5"/>
      <c r="H95" s="15"/>
      <c r="I95" s="15">
        <f t="shared" si="2"/>
        <v>0</v>
      </c>
    </row>
    <row r="96" spans="2:9" ht="15.75" x14ac:dyDescent="0.25">
      <c r="B96" s="38">
        <v>91</v>
      </c>
      <c r="C96" s="33" t="s">
        <v>17</v>
      </c>
      <c r="D96" s="19"/>
      <c r="E96" s="12"/>
      <c r="F96" s="19"/>
      <c r="G96" s="5"/>
      <c r="H96" s="15"/>
      <c r="I96" s="15">
        <f t="shared" si="2"/>
        <v>0</v>
      </c>
    </row>
    <row r="97" spans="2:9" ht="15.75" x14ac:dyDescent="0.25">
      <c r="B97" s="38">
        <v>92</v>
      </c>
      <c r="C97" s="33" t="s">
        <v>45</v>
      </c>
      <c r="D97" s="19"/>
      <c r="E97" s="12"/>
      <c r="F97" s="19">
        <f>2.596+3.4</f>
        <v>5.9960000000000004</v>
      </c>
      <c r="G97" s="5"/>
      <c r="H97" s="15">
        <v>140</v>
      </c>
      <c r="I97" s="15">
        <f t="shared" si="2"/>
        <v>839.44</v>
      </c>
    </row>
    <row r="98" spans="2:9" ht="15.75" x14ac:dyDescent="0.25">
      <c r="B98" s="38">
        <v>93</v>
      </c>
      <c r="C98" s="33" t="s">
        <v>97</v>
      </c>
      <c r="D98" s="19"/>
      <c r="E98" s="12"/>
      <c r="F98" s="19">
        <f>1.682+70.25</f>
        <v>71.932000000000002</v>
      </c>
      <c r="G98" s="5"/>
      <c r="H98" s="15">
        <v>115</v>
      </c>
      <c r="I98" s="15">
        <f t="shared" si="2"/>
        <v>8272.18</v>
      </c>
    </row>
    <row r="99" spans="2:9" ht="15.75" x14ac:dyDescent="0.25">
      <c r="B99" s="38">
        <v>94</v>
      </c>
      <c r="C99" s="33" t="s">
        <v>98</v>
      </c>
      <c r="D99" s="19"/>
      <c r="E99" s="12"/>
      <c r="F99" s="19"/>
      <c r="G99" s="5"/>
      <c r="H99" s="15"/>
      <c r="I99" s="15">
        <f t="shared" si="2"/>
        <v>0</v>
      </c>
    </row>
    <row r="100" spans="2:9" ht="15.75" x14ac:dyDescent="0.25">
      <c r="B100" s="38">
        <v>95</v>
      </c>
      <c r="C100" s="33" t="s">
        <v>99</v>
      </c>
      <c r="D100" s="19"/>
      <c r="E100" s="12"/>
      <c r="F100" s="19"/>
      <c r="G100" s="5"/>
      <c r="H100" s="15"/>
      <c r="I100" s="15">
        <f t="shared" si="2"/>
        <v>0</v>
      </c>
    </row>
    <row r="101" spans="2:9" ht="15.75" x14ac:dyDescent="0.25">
      <c r="B101" s="38">
        <v>96</v>
      </c>
      <c r="C101" s="33" t="s">
        <v>100</v>
      </c>
      <c r="D101" s="19"/>
      <c r="E101" s="12"/>
      <c r="F101" s="19">
        <f>20+12.1</f>
        <v>32.1</v>
      </c>
      <c r="G101" s="5"/>
      <c r="H101" s="15">
        <v>240</v>
      </c>
      <c r="I101" s="15">
        <f>G101*H101</f>
        <v>0</v>
      </c>
    </row>
    <row r="102" spans="2:9" ht="15.75" x14ac:dyDescent="0.25">
      <c r="B102" s="38">
        <v>97</v>
      </c>
      <c r="C102" s="33" t="s">
        <v>101</v>
      </c>
      <c r="D102" s="19"/>
      <c r="E102" s="12"/>
      <c r="F102" s="19">
        <f>40+30</f>
        <v>70</v>
      </c>
      <c r="G102" s="5"/>
      <c r="H102" s="15">
        <v>55</v>
      </c>
      <c r="I102" s="15">
        <f t="shared" ref="I102:I131" si="3">F102*H102</f>
        <v>3850</v>
      </c>
    </row>
    <row r="103" spans="2:9" ht="15.75" x14ac:dyDescent="0.25">
      <c r="B103" s="38">
        <v>98</v>
      </c>
      <c r="C103" s="33" t="s">
        <v>102</v>
      </c>
      <c r="D103" s="19"/>
      <c r="E103" s="12"/>
      <c r="F103" s="19">
        <f>10.3</f>
        <v>10.3</v>
      </c>
      <c r="G103" s="5"/>
      <c r="H103" s="15">
        <v>120</v>
      </c>
      <c r="I103" s="15">
        <f t="shared" si="3"/>
        <v>1236</v>
      </c>
    </row>
    <row r="104" spans="2:9" ht="15.75" x14ac:dyDescent="0.25">
      <c r="B104" s="38">
        <v>99</v>
      </c>
      <c r="C104" s="33" t="s">
        <v>103</v>
      </c>
      <c r="D104" s="19"/>
      <c r="E104" s="12"/>
      <c r="F104" s="19">
        <f>60+3</f>
        <v>63</v>
      </c>
      <c r="G104" s="5"/>
      <c r="H104" s="15">
        <v>28</v>
      </c>
      <c r="I104" s="15">
        <f t="shared" si="3"/>
        <v>1764</v>
      </c>
    </row>
    <row r="105" spans="2:9" ht="15.75" x14ac:dyDescent="0.25">
      <c r="B105" s="38">
        <v>100</v>
      </c>
      <c r="C105" s="33" t="s">
        <v>104</v>
      </c>
      <c r="D105" s="19"/>
      <c r="E105" s="12"/>
      <c r="F105" s="19"/>
      <c r="G105" s="5"/>
      <c r="H105" s="15"/>
      <c r="I105" s="15">
        <f t="shared" si="3"/>
        <v>0</v>
      </c>
    </row>
    <row r="106" spans="2:9" ht="15.75" x14ac:dyDescent="0.25">
      <c r="B106" s="38">
        <v>101</v>
      </c>
      <c r="C106" s="33" t="s">
        <v>105</v>
      </c>
      <c r="D106" s="19"/>
      <c r="E106" s="12"/>
      <c r="F106" s="19"/>
      <c r="G106" s="5"/>
      <c r="H106" s="15"/>
      <c r="I106" s="15">
        <f t="shared" si="3"/>
        <v>0</v>
      </c>
    </row>
    <row r="107" spans="2:9" ht="15.75" x14ac:dyDescent="0.25">
      <c r="B107" s="38">
        <v>102</v>
      </c>
      <c r="C107" s="33" t="s">
        <v>106</v>
      </c>
      <c r="D107" s="19"/>
      <c r="E107" s="12"/>
      <c r="F107" s="19"/>
      <c r="G107" s="5"/>
      <c r="H107" s="15"/>
      <c r="I107" s="15">
        <f t="shared" si="3"/>
        <v>0</v>
      </c>
    </row>
    <row r="108" spans="2:9" ht="15.75" x14ac:dyDescent="0.25">
      <c r="B108" s="38">
        <v>103</v>
      </c>
      <c r="C108" s="33" t="s">
        <v>107</v>
      </c>
      <c r="D108" s="19"/>
      <c r="E108" s="12"/>
      <c r="F108" s="19"/>
      <c r="G108" s="12"/>
      <c r="H108" s="20"/>
      <c r="I108" s="15">
        <f t="shared" si="3"/>
        <v>0</v>
      </c>
    </row>
    <row r="109" spans="2:9" ht="15.75" x14ac:dyDescent="0.25">
      <c r="B109" s="38">
        <v>104</v>
      </c>
      <c r="C109" s="33" t="s">
        <v>108</v>
      </c>
      <c r="D109" s="19"/>
      <c r="E109" s="12"/>
      <c r="F109" s="19"/>
      <c r="G109" s="5"/>
      <c r="H109" s="15"/>
      <c r="I109" s="15">
        <f t="shared" si="3"/>
        <v>0</v>
      </c>
    </row>
    <row r="110" spans="2:9" ht="15.75" x14ac:dyDescent="0.25">
      <c r="B110" s="38">
        <v>105</v>
      </c>
      <c r="C110" s="33" t="s">
        <v>109</v>
      </c>
      <c r="D110" s="19"/>
      <c r="E110" s="12"/>
      <c r="F110" s="19"/>
      <c r="G110" s="5"/>
      <c r="H110" s="15"/>
      <c r="I110" s="15">
        <f t="shared" si="3"/>
        <v>0</v>
      </c>
    </row>
    <row r="111" spans="2:9" ht="15.75" x14ac:dyDescent="0.25">
      <c r="B111" s="38">
        <v>106</v>
      </c>
      <c r="C111" s="33" t="s">
        <v>110</v>
      </c>
      <c r="D111" s="19"/>
      <c r="E111" s="12"/>
      <c r="F111" s="19"/>
      <c r="G111" s="5"/>
      <c r="H111" s="15"/>
      <c r="I111" s="15">
        <f t="shared" si="3"/>
        <v>0</v>
      </c>
    </row>
    <row r="112" spans="2:9" ht="15.75" x14ac:dyDescent="0.25">
      <c r="B112" s="38">
        <v>107</v>
      </c>
      <c r="C112" s="33" t="s">
        <v>459</v>
      </c>
      <c r="D112" s="19"/>
      <c r="E112" s="12"/>
      <c r="F112" s="19">
        <v>3</v>
      </c>
      <c r="G112" s="5"/>
      <c r="H112" s="15">
        <v>98</v>
      </c>
      <c r="I112" s="15">
        <f t="shared" si="3"/>
        <v>294</v>
      </c>
    </row>
    <row r="113" spans="2:9" ht="15.75" x14ac:dyDescent="0.25">
      <c r="B113" s="38">
        <v>108</v>
      </c>
      <c r="C113" s="33" t="s">
        <v>112</v>
      </c>
      <c r="D113" s="19"/>
      <c r="E113" s="12"/>
      <c r="F113" s="19"/>
      <c r="G113" s="5"/>
      <c r="H113" s="15"/>
      <c r="I113" s="15">
        <f t="shared" si="3"/>
        <v>0</v>
      </c>
    </row>
    <row r="114" spans="2:9" ht="15.75" x14ac:dyDescent="0.25">
      <c r="B114" s="38">
        <v>109</v>
      </c>
      <c r="C114" s="33" t="s">
        <v>111</v>
      </c>
      <c r="D114" s="19"/>
      <c r="E114" s="12"/>
      <c r="F114" s="19">
        <f>2</f>
        <v>2</v>
      </c>
      <c r="G114" s="5"/>
      <c r="H114" s="15">
        <v>97</v>
      </c>
      <c r="I114" s="15">
        <f t="shared" si="3"/>
        <v>194</v>
      </c>
    </row>
    <row r="115" spans="2:9" ht="15.75" x14ac:dyDescent="0.25">
      <c r="B115" s="38">
        <v>110</v>
      </c>
      <c r="C115" s="33" t="s">
        <v>113</v>
      </c>
      <c r="D115" s="19"/>
      <c r="E115" s="12"/>
      <c r="F115" s="19">
        <f>8.88</f>
        <v>8.8800000000000008</v>
      </c>
      <c r="G115" s="5"/>
      <c r="H115" s="15">
        <v>95</v>
      </c>
      <c r="I115" s="15">
        <f t="shared" si="3"/>
        <v>843.6</v>
      </c>
    </row>
    <row r="116" spans="2:9" ht="15.75" x14ac:dyDescent="0.25">
      <c r="B116" s="38">
        <v>111</v>
      </c>
      <c r="C116" s="33" t="s">
        <v>114</v>
      </c>
      <c r="D116" s="19"/>
      <c r="E116" s="12"/>
      <c r="F116" s="19">
        <f>12.43+15.89</f>
        <v>28.32</v>
      </c>
      <c r="G116" s="5"/>
      <c r="H116" s="15">
        <v>110</v>
      </c>
      <c r="I116" s="15">
        <f t="shared" si="3"/>
        <v>3115.2</v>
      </c>
    </row>
    <row r="117" spans="2:9" ht="15.75" x14ac:dyDescent="0.25">
      <c r="B117" s="38">
        <v>112</v>
      </c>
      <c r="C117" s="33" t="s">
        <v>445</v>
      </c>
      <c r="D117" s="19"/>
      <c r="E117" s="12"/>
      <c r="F117" s="19">
        <f>1.495</f>
        <v>1.4950000000000001</v>
      </c>
      <c r="G117" s="5"/>
      <c r="H117" s="15">
        <v>318</v>
      </c>
      <c r="I117" s="15">
        <f t="shared" si="3"/>
        <v>475.41</v>
      </c>
    </row>
    <row r="118" spans="2:9" ht="15.75" x14ac:dyDescent="0.25">
      <c r="B118" s="38">
        <v>113</v>
      </c>
      <c r="C118" s="33" t="s">
        <v>115</v>
      </c>
      <c r="D118" s="19"/>
      <c r="E118" s="12"/>
      <c r="F118" s="19">
        <f>4.86</f>
        <v>4.8600000000000003</v>
      </c>
      <c r="G118" s="5"/>
      <c r="H118" s="15">
        <v>595</v>
      </c>
      <c r="I118" s="15">
        <f t="shared" si="3"/>
        <v>2891.7000000000003</v>
      </c>
    </row>
    <row r="119" spans="2:9" ht="15.75" x14ac:dyDescent="0.25">
      <c r="B119" s="38">
        <v>114</v>
      </c>
      <c r="C119" s="33" t="s">
        <v>440</v>
      </c>
      <c r="D119" s="19"/>
      <c r="E119" s="12"/>
      <c r="F119" s="19">
        <f>7.8</f>
        <v>7.8</v>
      </c>
      <c r="G119" s="12"/>
      <c r="H119" s="20"/>
      <c r="I119" s="15">
        <f t="shared" si="3"/>
        <v>0</v>
      </c>
    </row>
    <row r="120" spans="2:9" ht="15.75" x14ac:dyDescent="0.25">
      <c r="B120" s="38">
        <v>115</v>
      </c>
      <c r="C120" s="33" t="s">
        <v>116</v>
      </c>
      <c r="D120" s="19"/>
      <c r="E120" s="12"/>
      <c r="F120" s="19"/>
      <c r="G120" s="5"/>
      <c r="H120" s="15"/>
      <c r="I120" s="15">
        <f t="shared" si="3"/>
        <v>0</v>
      </c>
    </row>
    <row r="121" spans="2:9" ht="15.75" x14ac:dyDescent="0.25">
      <c r="B121" s="38">
        <v>116</v>
      </c>
      <c r="C121" s="33" t="s">
        <v>117</v>
      </c>
      <c r="D121" s="19"/>
      <c r="E121" s="12"/>
      <c r="F121" s="19">
        <v>5.2439999999999998</v>
      </c>
      <c r="G121" s="5"/>
      <c r="H121" s="15">
        <v>290</v>
      </c>
      <c r="I121" s="15">
        <f t="shared" si="3"/>
        <v>1520.76</v>
      </c>
    </row>
    <row r="122" spans="2:9" ht="15.75" x14ac:dyDescent="0.25">
      <c r="B122" s="38">
        <v>117</v>
      </c>
      <c r="C122" s="33" t="s">
        <v>118</v>
      </c>
      <c r="D122" s="19"/>
      <c r="E122" s="12"/>
      <c r="F122" s="19">
        <f>1.6+6.115</f>
        <v>7.7149999999999999</v>
      </c>
      <c r="G122" s="5"/>
      <c r="H122" s="15">
        <v>595</v>
      </c>
      <c r="I122" s="15">
        <f t="shared" si="3"/>
        <v>4590.4250000000002</v>
      </c>
    </row>
    <row r="123" spans="2:9" ht="15.75" x14ac:dyDescent="0.25">
      <c r="B123" s="38">
        <v>118</v>
      </c>
      <c r="C123" s="33" t="s">
        <v>442</v>
      </c>
      <c r="D123" s="19"/>
      <c r="E123" s="12"/>
      <c r="F123" s="19">
        <f>3.355+0.16</f>
        <v>3.5150000000000001</v>
      </c>
      <c r="G123" s="5"/>
      <c r="H123" s="15">
        <v>318</v>
      </c>
      <c r="I123" s="15">
        <f t="shared" si="3"/>
        <v>1117.77</v>
      </c>
    </row>
    <row r="124" spans="2:9" ht="15.75" x14ac:dyDescent="0.25">
      <c r="B124" s="38">
        <v>119</v>
      </c>
      <c r="C124" s="33" t="s">
        <v>119</v>
      </c>
      <c r="D124" s="19"/>
      <c r="E124" s="12"/>
      <c r="F124" s="19">
        <f>1.066</f>
        <v>1.0660000000000001</v>
      </c>
      <c r="G124" s="5"/>
      <c r="H124" s="15">
        <v>470</v>
      </c>
      <c r="I124" s="15">
        <f t="shared" si="3"/>
        <v>501.02000000000004</v>
      </c>
    </row>
    <row r="125" spans="2:9" ht="15.75" x14ac:dyDescent="0.25">
      <c r="B125" s="38">
        <v>120</v>
      </c>
      <c r="C125" s="33" t="s">
        <v>120</v>
      </c>
      <c r="D125" s="19"/>
      <c r="E125" s="12"/>
      <c r="F125" s="19">
        <f>1.952</f>
        <v>1.952</v>
      </c>
      <c r="G125" s="5"/>
      <c r="H125" s="15">
        <v>445</v>
      </c>
      <c r="I125" s="15">
        <f t="shared" si="3"/>
        <v>868.64</v>
      </c>
    </row>
    <row r="126" spans="2:9" ht="15.75" x14ac:dyDescent="0.25">
      <c r="B126" s="38">
        <v>121</v>
      </c>
      <c r="C126" s="33" t="s">
        <v>84</v>
      </c>
      <c r="D126" s="19"/>
      <c r="E126" s="12"/>
      <c r="F126" s="19"/>
      <c r="G126" s="5"/>
      <c r="H126" s="15"/>
      <c r="I126" s="15">
        <f t="shared" si="3"/>
        <v>0</v>
      </c>
    </row>
    <row r="127" spans="2:9" ht="15.75" x14ac:dyDescent="0.25">
      <c r="B127" s="38">
        <v>122</v>
      </c>
      <c r="C127" s="33" t="s">
        <v>121</v>
      </c>
      <c r="D127" s="19"/>
      <c r="E127" s="12"/>
      <c r="F127" s="19"/>
      <c r="G127" s="5"/>
      <c r="H127" s="15"/>
      <c r="I127" s="15">
        <f t="shared" si="3"/>
        <v>0</v>
      </c>
    </row>
    <row r="128" spans="2:9" ht="15.75" x14ac:dyDescent="0.25">
      <c r="B128" s="38">
        <v>123</v>
      </c>
      <c r="C128" s="33" t="s">
        <v>122</v>
      </c>
      <c r="D128" s="19"/>
      <c r="E128" s="12"/>
      <c r="F128" s="19"/>
      <c r="G128" s="5"/>
      <c r="H128" s="15"/>
      <c r="I128" s="15">
        <f t="shared" si="3"/>
        <v>0</v>
      </c>
    </row>
    <row r="129" spans="2:9" ht="15.75" x14ac:dyDescent="0.25">
      <c r="B129" s="38">
        <v>124</v>
      </c>
      <c r="C129" s="33" t="s">
        <v>123</v>
      </c>
      <c r="D129" s="19"/>
      <c r="E129" s="12"/>
      <c r="F129" s="19">
        <f>5</f>
        <v>5</v>
      </c>
      <c r="G129" s="5"/>
      <c r="H129" s="15">
        <v>220</v>
      </c>
      <c r="I129" s="15">
        <f t="shared" si="3"/>
        <v>1100</v>
      </c>
    </row>
    <row r="130" spans="2:9" ht="15.75" x14ac:dyDescent="0.25">
      <c r="B130" s="38">
        <v>125</v>
      </c>
      <c r="C130" s="33" t="s">
        <v>124</v>
      </c>
      <c r="D130" s="19"/>
      <c r="E130" s="12"/>
      <c r="F130" s="19">
        <f>2</f>
        <v>2</v>
      </c>
      <c r="G130" s="5"/>
      <c r="H130" s="15">
        <v>88</v>
      </c>
      <c r="I130" s="15">
        <f t="shared" si="3"/>
        <v>176</v>
      </c>
    </row>
    <row r="131" spans="2:9" ht="15.75" x14ac:dyDescent="0.25">
      <c r="B131" s="38">
        <v>126</v>
      </c>
      <c r="C131" s="33" t="s">
        <v>125</v>
      </c>
      <c r="D131" s="19"/>
      <c r="E131" s="12"/>
      <c r="F131" s="19"/>
      <c r="G131" s="5"/>
      <c r="H131" s="15"/>
      <c r="I131" s="15">
        <f t="shared" si="3"/>
        <v>0</v>
      </c>
    </row>
    <row r="132" spans="2:9" ht="15.75" x14ac:dyDescent="0.25">
      <c r="B132" s="38">
        <v>127</v>
      </c>
      <c r="C132" s="33" t="s">
        <v>91</v>
      </c>
      <c r="D132" s="19"/>
      <c r="E132" s="12"/>
      <c r="F132" s="19"/>
      <c r="G132" s="5"/>
      <c r="H132" s="15"/>
      <c r="I132" s="15">
        <f>G132*H132</f>
        <v>0</v>
      </c>
    </row>
    <row r="133" spans="2:9" ht="15.75" x14ac:dyDescent="0.25">
      <c r="B133" s="38">
        <v>128</v>
      </c>
      <c r="C133" s="33" t="s">
        <v>126</v>
      </c>
      <c r="D133" s="19"/>
      <c r="E133" s="12"/>
      <c r="F133" s="19"/>
      <c r="G133" s="5"/>
      <c r="H133" s="15"/>
      <c r="I133" s="15">
        <f t="shared" ref="I133:I144" si="4">F133*H133</f>
        <v>0</v>
      </c>
    </row>
    <row r="134" spans="2:9" ht="15.75" x14ac:dyDescent="0.25">
      <c r="B134" s="38">
        <v>129</v>
      </c>
      <c r="C134" s="33" t="s">
        <v>127</v>
      </c>
      <c r="D134" s="19"/>
      <c r="E134" s="12"/>
      <c r="F134" s="19">
        <v>3</v>
      </c>
      <c r="G134" s="5"/>
      <c r="H134" s="15">
        <v>247</v>
      </c>
      <c r="I134" s="15">
        <f t="shared" si="4"/>
        <v>741</v>
      </c>
    </row>
    <row r="135" spans="2:9" ht="15.75" x14ac:dyDescent="0.25">
      <c r="B135" s="38">
        <v>130</v>
      </c>
      <c r="C135" s="33" t="s">
        <v>128</v>
      </c>
      <c r="D135" s="19"/>
      <c r="E135" s="12"/>
      <c r="F135" s="19">
        <v>3</v>
      </c>
      <c r="G135" s="5"/>
      <c r="H135" s="15">
        <v>190</v>
      </c>
      <c r="I135" s="15">
        <f t="shared" si="4"/>
        <v>570</v>
      </c>
    </row>
    <row r="136" spans="2:9" ht="15.75" x14ac:dyDescent="0.25">
      <c r="B136" s="38">
        <v>131</v>
      </c>
      <c r="C136" s="33" t="s">
        <v>129</v>
      </c>
      <c r="D136" s="19"/>
      <c r="E136" s="12"/>
      <c r="F136" s="19">
        <v>2</v>
      </c>
      <c r="G136" s="5"/>
      <c r="H136" s="15">
        <v>206</v>
      </c>
      <c r="I136" s="15">
        <f t="shared" si="4"/>
        <v>412</v>
      </c>
    </row>
    <row r="137" spans="2:9" ht="15.75" x14ac:dyDescent="0.25">
      <c r="B137" s="38">
        <v>132</v>
      </c>
      <c r="C137" s="33" t="s">
        <v>130</v>
      </c>
      <c r="D137" s="19"/>
      <c r="E137" s="12"/>
      <c r="F137" s="19">
        <v>1</v>
      </c>
      <c r="G137" s="5"/>
      <c r="H137" s="15">
        <v>187</v>
      </c>
      <c r="I137" s="15">
        <f t="shared" si="4"/>
        <v>187</v>
      </c>
    </row>
    <row r="138" spans="2:9" ht="15.75" x14ac:dyDescent="0.25">
      <c r="B138" s="38">
        <v>133</v>
      </c>
      <c r="C138" s="33" t="s">
        <v>131</v>
      </c>
      <c r="D138" s="19"/>
      <c r="E138" s="12"/>
      <c r="F138" s="19"/>
      <c r="G138" s="12"/>
      <c r="H138" s="20"/>
      <c r="I138" s="15">
        <f t="shared" si="4"/>
        <v>0</v>
      </c>
    </row>
    <row r="139" spans="2:9" ht="15.75" x14ac:dyDescent="0.25">
      <c r="B139" s="38">
        <v>134</v>
      </c>
      <c r="C139" s="33" t="s">
        <v>132</v>
      </c>
      <c r="D139" s="19"/>
      <c r="E139" s="12"/>
      <c r="F139" s="19"/>
      <c r="G139" s="5"/>
      <c r="H139" s="15"/>
      <c r="I139" s="15">
        <f t="shared" si="4"/>
        <v>0</v>
      </c>
    </row>
    <row r="140" spans="2:9" ht="15.75" x14ac:dyDescent="0.25">
      <c r="B140" s="38">
        <v>135</v>
      </c>
      <c r="C140" s="33" t="s">
        <v>133</v>
      </c>
      <c r="D140" s="14"/>
      <c r="E140" s="5"/>
      <c r="F140" s="19">
        <v>1</v>
      </c>
      <c r="G140" s="5"/>
      <c r="H140" s="15">
        <v>298</v>
      </c>
      <c r="I140" s="15">
        <f t="shared" si="4"/>
        <v>298</v>
      </c>
    </row>
    <row r="141" spans="2:9" ht="15.75" x14ac:dyDescent="0.25">
      <c r="B141" s="38">
        <v>136</v>
      </c>
      <c r="C141" s="33" t="s">
        <v>134</v>
      </c>
      <c r="D141" s="14"/>
      <c r="E141" s="5"/>
      <c r="F141" s="19"/>
      <c r="G141" s="5"/>
      <c r="H141" s="15"/>
      <c r="I141" s="15">
        <f t="shared" si="4"/>
        <v>0</v>
      </c>
    </row>
    <row r="142" spans="2:9" ht="15.75" x14ac:dyDescent="0.25">
      <c r="B142" s="38">
        <v>137</v>
      </c>
      <c r="C142" s="33" t="s">
        <v>79</v>
      </c>
      <c r="D142" s="14"/>
      <c r="E142" s="5"/>
      <c r="F142" s="19"/>
      <c r="G142" s="5"/>
      <c r="H142" s="15"/>
      <c r="I142" s="15">
        <f t="shared" si="4"/>
        <v>0</v>
      </c>
    </row>
    <row r="143" spans="2:9" ht="15.75" x14ac:dyDescent="0.25">
      <c r="B143" s="38">
        <v>138</v>
      </c>
      <c r="C143" s="33" t="s">
        <v>62</v>
      </c>
      <c r="D143" s="14"/>
      <c r="E143" s="5"/>
      <c r="F143" s="19"/>
      <c r="G143" s="5"/>
      <c r="H143" s="15"/>
      <c r="I143" s="15">
        <f t="shared" si="4"/>
        <v>0</v>
      </c>
    </row>
    <row r="144" spans="2:9" ht="15.75" x14ac:dyDescent="0.25">
      <c r="B144" s="38">
        <v>139</v>
      </c>
      <c r="C144" s="33" t="s">
        <v>135</v>
      </c>
      <c r="D144" s="14"/>
      <c r="E144" s="5"/>
      <c r="F144" s="19">
        <f>4</f>
        <v>4</v>
      </c>
      <c r="G144" s="5"/>
      <c r="H144" s="15">
        <v>35</v>
      </c>
      <c r="I144" s="15">
        <f t="shared" si="4"/>
        <v>140</v>
      </c>
    </row>
    <row r="145" spans="2:9" ht="15.75" x14ac:dyDescent="0.25">
      <c r="B145" s="38">
        <v>140</v>
      </c>
      <c r="C145" s="33" t="s">
        <v>136</v>
      </c>
      <c r="D145" s="14"/>
      <c r="E145" s="5"/>
      <c r="F145" s="19"/>
      <c r="G145" s="5"/>
      <c r="H145" s="15"/>
      <c r="I145" s="15">
        <f>G145*H145</f>
        <v>0</v>
      </c>
    </row>
    <row r="146" spans="2:9" ht="15.75" x14ac:dyDescent="0.25">
      <c r="B146" s="38">
        <v>141</v>
      </c>
      <c r="C146" s="33" t="s">
        <v>427</v>
      </c>
      <c r="D146" s="14"/>
      <c r="E146" s="5"/>
      <c r="F146" s="19">
        <v>2</v>
      </c>
      <c r="G146" s="5"/>
      <c r="H146" s="15">
        <v>244</v>
      </c>
      <c r="I146" s="15">
        <f>G146*H146</f>
        <v>0</v>
      </c>
    </row>
    <row r="147" spans="2:9" ht="15.75" x14ac:dyDescent="0.25">
      <c r="B147" s="38">
        <v>142</v>
      </c>
      <c r="C147" s="33" t="s">
        <v>137</v>
      </c>
      <c r="D147" s="14"/>
      <c r="E147" s="5"/>
      <c r="F147" s="19"/>
      <c r="G147" s="5"/>
      <c r="H147" s="15"/>
      <c r="I147" s="15">
        <f>G147*H147</f>
        <v>0</v>
      </c>
    </row>
    <row r="148" spans="2:9" ht="15.75" x14ac:dyDescent="0.25">
      <c r="B148" s="38">
        <v>143</v>
      </c>
      <c r="C148" s="33" t="s">
        <v>67</v>
      </c>
      <c r="D148" s="14"/>
      <c r="E148" s="5"/>
      <c r="F148" s="19">
        <f>5.268+4.97</f>
        <v>10.238</v>
      </c>
      <c r="G148" s="5"/>
      <c r="H148" s="15">
        <v>110</v>
      </c>
      <c r="I148" s="15">
        <f t="shared" ref="I148:I169" si="5">F148*H148</f>
        <v>1126.1799999999998</v>
      </c>
    </row>
    <row r="149" spans="2:9" ht="15.75" x14ac:dyDescent="0.25">
      <c r="B149" s="38">
        <v>144</v>
      </c>
      <c r="C149" s="33" t="s">
        <v>138</v>
      </c>
      <c r="D149" s="14"/>
      <c r="E149" s="5"/>
      <c r="F149" s="19"/>
      <c r="G149" s="5"/>
      <c r="H149" s="15"/>
      <c r="I149" s="15">
        <f t="shared" si="5"/>
        <v>0</v>
      </c>
    </row>
    <row r="150" spans="2:9" ht="15.75" x14ac:dyDescent="0.25">
      <c r="B150" s="38">
        <v>145</v>
      </c>
      <c r="C150" s="33" t="s">
        <v>139</v>
      </c>
      <c r="D150" s="14"/>
      <c r="E150" s="5"/>
      <c r="F150" s="19">
        <v>10</v>
      </c>
      <c r="G150" s="5"/>
      <c r="H150" s="15">
        <v>56</v>
      </c>
      <c r="I150" s="15">
        <f t="shared" si="5"/>
        <v>560</v>
      </c>
    </row>
    <row r="151" spans="2:9" ht="15.75" x14ac:dyDescent="0.25">
      <c r="B151" s="38">
        <v>146</v>
      </c>
      <c r="C151" s="33" t="s">
        <v>140</v>
      </c>
      <c r="D151" s="14"/>
      <c r="E151" s="5"/>
      <c r="F151" s="19">
        <f>3</f>
        <v>3</v>
      </c>
      <c r="G151" s="5"/>
      <c r="H151" s="15">
        <v>59</v>
      </c>
      <c r="I151" s="15">
        <f t="shared" si="5"/>
        <v>177</v>
      </c>
    </row>
    <row r="152" spans="2:9" ht="15.75" x14ac:dyDescent="0.25">
      <c r="B152" s="38">
        <v>147</v>
      </c>
      <c r="C152" s="33" t="s">
        <v>141</v>
      </c>
      <c r="D152" s="14"/>
      <c r="E152" s="5"/>
      <c r="F152" s="19"/>
      <c r="G152" s="5"/>
      <c r="H152" s="15"/>
      <c r="I152" s="15">
        <f t="shared" si="5"/>
        <v>0</v>
      </c>
    </row>
    <row r="153" spans="2:9" ht="15.75" x14ac:dyDescent="0.25">
      <c r="B153" s="38">
        <v>148</v>
      </c>
      <c r="C153" s="33" t="s">
        <v>433</v>
      </c>
      <c r="D153" s="14"/>
      <c r="E153" s="5"/>
      <c r="F153" s="19">
        <v>1</v>
      </c>
      <c r="G153" s="5"/>
      <c r="H153" s="15">
        <v>62</v>
      </c>
      <c r="I153" s="15">
        <f t="shared" si="5"/>
        <v>62</v>
      </c>
    </row>
    <row r="154" spans="2:9" ht="15.75" x14ac:dyDescent="0.25">
      <c r="B154" s="38">
        <v>149</v>
      </c>
      <c r="C154" s="33" t="s">
        <v>142</v>
      </c>
      <c r="D154" s="14"/>
      <c r="E154" s="5"/>
      <c r="F154" s="19">
        <v>1</v>
      </c>
      <c r="G154" s="5"/>
      <c r="H154" s="15">
        <v>62</v>
      </c>
      <c r="I154" s="15">
        <f t="shared" si="5"/>
        <v>62</v>
      </c>
    </row>
    <row r="155" spans="2:9" ht="15.75" x14ac:dyDescent="0.25">
      <c r="B155" s="38">
        <v>150</v>
      </c>
      <c r="C155" s="33" t="s">
        <v>143</v>
      </c>
      <c r="D155" s="14"/>
      <c r="E155" s="5"/>
      <c r="F155" s="19"/>
      <c r="G155" s="5"/>
      <c r="H155" s="15"/>
      <c r="I155" s="15">
        <f t="shared" si="5"/>
        <v>0</v>
      </c>
    </row>
    <row r="156" spans="2:9" ht="15.75" x14ac:dyDescent="0.25">
      <c r="B156" s="38">
        <v>151</v>
      </c>
      <c r="C156" s="33" t="s">
        <v>431</v>
      </c>
      <c r="D156" s="14"/>
      <c r="E156" s="5"/>
      <c r="F156" s="19">
        <f>3</f>
        <v>3</v>
      </c>
      <c r="G156" s="5"/>
      <c r="H156" s="15">
        <v>63</v>
      </c>
      <c r="I156" s="15">
        <f t="shared" si="5"/>
        <v>189</v>
      </c>
    </row>
    <row r="157" spans="2:9" ht="15.75" x14ac:dyDescent="0.25">
      <c r="B157" s="38">
        <v>152</v>
      </c>
      <c r="C157" s="33" t="s">
        <v>144</v>
      </c>
      <c r="D157" s="14"/>
      <c r="E157" s="5"/>
      <c r="F157" s="19"/>
      <c r="G157" s="5"/>
      <c r="H157" s="15"/>
      <c r="I157" s="15">
        <f t="shared" si="5"/>
        <v>0</v>
      </c>
    </row>
    <row r="158" spans="2:9" ht="15.75" x14ac:dyDescent="0.25">
      <c r="B158" s="38">
        <v>153</v>
      </c>
      <c r="C158" s="33" t="s">
        <v>145</v>
      </c>
      <c r="D158" s="14"/>
      <c r="E158" s="5"/>
      <c r="F158" s="19">
        <v>2</v>
      </c>
      <c r="G158" s="5"/>
      <c r="H158" s="15">
        <v>23</v>
      </c>
      <c r="I158" s="15">
        <f t="shared" si="5"/>
        <v>46</v>
      </c>
    </row>
    <row r="159" spans="2:9" ht="15.75" x14ac:dyDescent="0.25">
      <c r="B159" s="38">
        <v>154</v>
      </c>
      <c r="C159" s="33" t="s">
        <v>434</v>
      </c>
      <c r="D159" s="14"/>
      <c r="E159" s="5"/>
      <c r="F159" s="19">
        <v>2</v>
      </c>
      <c r="G159" s="5"/>
      <c r="H159" s="15">
        <v>23</v>
      </c>
      <c r="I159" s="15">
        <f t="shared" si="5"/>
        <v>46</v>
      </c>
    </row>
    <row r="160" spans="2:9" ht="15.75" x14ac:dyDescent="0.25">
      <c r="B160" s="38">
        <v>155</v>
      </c>
      <c r="C160" s="33" t="s">
        <v>146</v>
      </c>
      <c r="D160" s="14"/>
      <c r="E160" s="5"/>
      <c r="F160" s="19"/>
      <c r="G160" s="5"/>
      <c r="H160" s="15"/>
      <c r="I160" s="15">
        <f t="shared" si="5"/>
        <v>0</v>
      </c>
    </row>
    <row r="161" spans="2:9" ht="15.75" x14ac:dyDescent="0.25">
      <c r="B161" s="38">
        <v>156</v>
      </c>
      <c r="C161" s="33" t="s">
        <v>75</v>
      </c>
      <c r="D161" s="14"/>
      <c r="E161" s="5"/>
      <c r="F161" s="19">
        <f>1.354</f>
        <v>1.3540000000000001</v>
      </c>
      <c r="G161" s="5"/>
      <c r="H161" s="15">
        <v>300</v>
      </c>
      <c r="I161" s="15">
        <f t="shared" si="5"/>
        <v>406.20000000000005</v>
      </c>
    </row>
    <row r="162" spans="2:9" ht="15.75" x14ac:dyDescent="0.25">
      <c r="B162" s="38">
        <v>157</v>
      </c>
      <c r="C162" s="33" t="s">
        <v>74</v>
      </c>
      <c r="D162" s="14"/>
      <c r="E162" s="5"/>
      <c r="F162" s="19"/>
      <c r="G162" s="5"/>
      <c r="H162" s="15"/>
      <c r="I162" s="15">
        <f t="shared" si="5"/>
        <v>0</v>
      </c>
    </row>
    <row r="163" spans="2:9" ht="15.75" x14ac:dyDescent="0.25">
      <c r="B163" s="38">
        <v>158</v>
      </c>
      <c r="C163" s="33" t="s">
        <v>73</v>
      </c>
      <c r="D163" s="14"/>
      <c r="E163" s="5"/>
      <c r="F163" s="19">
        <v>0.83599999999999997</v>
      </c>
      <c r="G163" s="5"/>
      <c r="H163" s="15">
        <v>285</v>
      </c>
      <c r="I163" s="15">
        <f t="shared" si="5"/>
        <v>238.26</v>
      </c>
    </row>
    <row r="164" spans="2:9" ht="15.75" x14ac:dyDescent="0.25">
      <c r="B164" s="38">
        <v>159</v>
      </c>
      <c r="C164" s="33" t="s">
        <v>147</v>
      </c>
      <c r="D164" s="14"/>
      <c r="E164" s="5"/>
      <c r="F164" s="19"/>
      <c r="G164" s="5"/>
      <c r="H164" s="15"/>
      <c r="I164" s="15">
        <f t="shared" si="5"/>
        <v>0</v>
      </c>
    </row>
    <row r="165" spans="2:9" ht="15.75" x14ac:dyDescent="0.25">
      <c r="B165" s="38">
        <v>160</v>
      </c>
      <c r="C165" s="33" t="s">
        <v>432</v>
      </c>
      <c r="D165" s="14"/>
      <c r="E165" s="5"/>
      <c r="F165" s="19">
        <v>0.186</v>
      </c>
      <c r="G165" s="5"/>
      <c r="H165" s="15">
        <v>600</v>
      </c>
      <c r="I165" s="15">
        <f t="shared" si="5"/>
        <v>111.6</v>
      </c>
    </row>
    <row r="166" spans="2:9" ht="15.75" x14ac:dyDescent="0.25">
      <c r="B166" s="38">
        <v>161</v>
      </c>
      <c r="C166" s="33" t="s">
        <v>83</v>
      </c>
      <c r="D166" s="14"/>
      <c r="E166" s="5"/>
      <c r="F166" s="19"/>
      <c r="G166" s="5"/>
      <c r="H166" s="15"/>
      <c r="I166" s="15">
        <f t="shared" si="5"/>
        <v>0</v>
      </c>
    </row>
    <row r="167" spans="2:9" ht="15.75" x14ac:dyDescent="0.25">
      <c r="B167" s="38">
        <v>162</v>
      </c>
      <c r="C167" s="33" t="s">
        <v>82</v>
      </c>
      <c r="D167" s="14"/>
      <c r="E167" s="5"/>
      <c r="F167" s="19"/>
      <c r="G167" s="5"/>
      <c r="H167" s="15"/>
      <c r="I167" s="15">
        <f t="shared" si="5"/>
        <v>0</v>
      </c>
    </row>
    <row r="168" spans="2:9" ht="15.75" x14ac:dyDescent="0.25">
      <c r="B168" s="38">
        <v>163</v>
      </c>
      <c r="C168" s="33" t="s">
        <v>81</v>
      </c>
      <c r="D168" s="19"/>
      <c r="E168" s="12"/>
      <c r="F168" s="19"/>
      <c r="G168" s="5"/>
      <c r="H168" s="15"/>
      <c r="I168" s="15">
        <f t="shared" si="5"/>
        <v>0</v>
      </c>
    </row>
    <row r="169" spans="2:9" ht="15.75" x14ac:dyDescent="0.25">
      <c r="B169" s="38">
        <v>164</v>
      </c>
      <c r="C169" s="33" t="s">
        <v>148</v>
      </c>
      <c r="D169" s="19"/>
      <c r="E169" s="12"/>
      <c r="F169" s="19"/>
      <c r="G169" s="5"/>
      <c r="H169" s="15"/>
      <c r="I169" s="15">
        <f t="shared" si="5"/>
        <v>0</v>
      </c>
    </row>
    <row r="170" spans="2:9" ht="15.75" x14ac:dyDescent="0.25">
      <c r="B170" s="38">
        <v>165</v>
      </c>
      <c r="C170" s="33" t="s">
        <v>149</v>
      </c>
      <c r="D170" s="19"/>
      <c r="E170" s="12"/>
      <c r="F170" s="19">
        <f>16+21</f>
        <v>37</v>
      </c>
      <c r="G170" s="5"/>
      <c r="H170" s="15">
        <v>50</v>
      </c>
      <c r="I170" s="15">
        <f>G170*H170</f>
        <v>0</v>
      </c>
    </row>
    <row r="171" spans="2:9" ht="15.75" x14ac:dyDescent="0.25">
      <c r="B171" s="38">
        <v>166</v>
      </c>
      <c r="C171" s="33" t="s">
        <v>150</v>
      </c>
      <c r="D171" s="19"/>
      <c r="E171" s="12"/>
      <c r="F171" s="19">
        <f>1.9+1.4+2.1</f>
        <v>5.4</v>
      </c>
      <c r="G171" s="5"/>
      <c r="H171" s="15">
        <v>290</v>
      </c>
      <c r="I171" s="15">
        <f t="shared" ref="I171:I177" si="6">F171*H171</f>
        <v>1566</v>
      </c>
    </row>
    <row r="172" spans="2:9" ht="15.75" x14ac:dyDescent="0.25">
      <c r="B172" s="38">
        <v>167</v>
      </c>
      <c r="C172" s="33" t="s">
        <v>151</v>
      </c>
      <c r="D172" s="19"/>
      <c r="E172" s="12"/>
      <c r="F172" s="19">
        <f>1.3+0.505</f>
        <v>1.8050000000000002</v>
      </c>
      <c r="G172" s="5"/>
      <c r="H172" s="15">
        <v>398</v>
      </c>
      <c r="I172" s="15">
        <f t="shared" si="6"/>
        <v>718.3900000000001</v>
      </c>
    </row>
    <row r="173" spans="2:9" ht="15.75" x14ac:dyDescent="0.25">
      <c r="B173" s="38">
        <v>168</v>
      </c>
      <c r="C173" s="33" t="s">
        <v>63</v>
      </c>
      <c r="D173" s="19"/>
      <c r="E173" s="12"/>
      <c r="F173" s="19"/>
      <c r="G173" s="5"/>
      <c r="H173" s="15"/>
      <c r="I173" s="15">
        <f t="shared" si="6"/>
        <v>0</v>
      </c>
    </row>
    <row r="174" spans="2:9" ht="15.75" x14ac:dyDescent="0.25">
      <c r="B174" s="38">
        <v>169</v>
      </c>
      <c r="C174" s="33" t="s">
        <v>456</v>
      </c>
      <c r="D174" s="19"/>
      <c r="E174" s="12"/>
      <c r="F174" s="19">
        <v>30</v>
      </c>
      <c r="G174" s="5"/>
      <c r="H174" s="15">
        <v>18</v>
      </c>
      <c r="I174" s="15">
        <f t="shared" si="6"/>
        <v>540</v>
      </c>
    </row>
    <row r="175" spans="2:9" ht="15.75" x14ac:dyDescent="0.25">
      <c r="B175" s="38">
        <v>170</v>
      </c>
      <c r="C175" s="33" t="s">
        <v>152</v>
      </c>
      <c r="D175" s="19"/>
      <c r="E175" s="12"/>
      <c r="F175" s="19"/>
      <c r="G175" s="5"/>
      <c r="H175" s="15"/>
      <c r="I175" s="15">
        <f t="shared" si="6"/>
        <v>0</v>
      </c>
    </row>
    <row r="176" spans="2:9" ht="15.75" x14ac:dyDescent="0.25">
      <c r="B176" s="38">
        <v>171</v>
      </c>
      <c r="C176" s="33" t="s">
        <v>454</v>
      </c>
      <c r="D176" s="19"/>
      <c r="E176" s="12"/>
      <c r="F176" s="19">
        <f>1+4</f>
        <v>5</v>
      </c>
      <c r="G176" s="5"/>
      <c r="H176" s="15">
        <v>40</v>
      </c>
      <c r="I176" s="15">
        <f t="shared" si="6"/>
        <v>200</v>
      </c>
    </row>
    <row r="177" spans="2:9" ht="15.75" x14ac:dyDescent="0.25">
      <c r="B177" s="38">
        <v>172</v>
      </c>
      <c r="C177" s="33" t="s">
        <v>70</v>
      </c>
      <c r="D177" s="19"/>
      <c r="E177" s="12"/>
      <c r="F177" s="19">
        <f>5+2</f>
        <v>7</v>
      </c>
      <c r="G177" s="5"/>
      <c r="H177" s="15">
        <v>70</v>
      </c>
      <c r="I177" s="15">
        <f t="shared" si="6"/>
        <v>490</v>
      </c>
    </row>
    <row r="178" spans="2:9" ht="15.75" x14ac:dyDescent="0.25">
      <c r="B178" s="38">
        <v>173</v>
      </c>
      <c r="C178" s="33" t="s">
        <v>153</v>
      </c>
      <c r="D178" s="19"/>
      <c r="E178" s="12"/>
      <c r="F178" s="19"/>
      <c r="G178" s="5"/>
      <c r="H178" s="15"/>
      <c r="I178" s="15">
        <f>G178*H178</f>
        <v>0</v>
      </c>
    </row>
    <row r="179" spans="2:9" ht="15.75" x14ac:dyDescent="0.25">
      <c r="B179" s="38">
        <v>174</v>
      </c>
      <c r="C179" s="33" t="s">
        <v>40</v>
      </c>
      <c r="D179" s="19"/>
      <c r="E179" s="12"/>
      <c r="F179" s="19"/>
      <c r="G179" s="5"/>
      <c r="H179" s="15"/>
      <c r="I179" s="15">
        <f>G179*H179</f>
        <v>0</v>
      </c>
    </row>
    <row r="180" spans="2:9" ht="15.75" x14ac:dyDescent="0.25">
      <c r="B180" s="38">
        <v>175</v>
      </c>
      <c r="C180" s="33" t="s">
        <v>45</v>
      </c>
      <c r="D180" s="19"/>
      <c r="E180" s="12"/>
      <c r="F180" s="19"/>
      <c r="G180" s="5"/>
      <c r="H180" s="15"/>
      <c r="I180" s="15">
        <f>G180*H180</f>
        <v>0</v>
      </c>
    </row>
    <row r="181" spans="2:9" ht="15.75" x14ac:dyDescent="0.25">
      <c r="B181" s="38">
        <v>176</v>
      </c>
      <c r="C181" s="33" t="s">
        <v>17</v>
      </c>
      <c r="D181" s="19"/>
      <c r="E181" s="12"/>
      <c r="F181" s="19"/>
      <c r="G181" s="5"/>
      <c r="H181" s="15"/>
      <c r="I181" s="15">
        <f>G181*H181</f>
        <v>0</v>
      </c>
    </row>
    <row r="182" spans="2:9" ht="15.75" x14ac:dyDescent="0.25">
      <c r="B182" s="38">
        <v>177</v>
      </c>
      <c r="C182" s="33" t="s">
        <v>24</v>
      </c>
      <c r="D182" s="19"/>
      <c r="E182" s="12"/>
      <c r="F182" s="19">
        <f>7.2+7.7</f>
        <v>14.9</v>
      </c>
      <c r="G182" s="5"/>
      <c r="H182" s="15">
        <v>64</v>
      </c>
      <c r="I182" s="15">
        <f>F182*H182</f>
        <v>953.6</v>
      </c>
    </row>
    <row r="183" spans="2:9" ht="15.75" x14ac:dyDescent="0.25">
      <c r="B183" s="38">
        <v>178</v>
      </c>
      <c r="C183" s="33" t="s">
        <v>6</v>
      </c>
      <c r="D183" s="19"/>
      <c r="E183" s="12"/>
      <c r="F183" s="19"/>
      <c r="G183" s="5"/>
      <c r="H183" s="15"/>
      <c r="I183" s="15">
        <f>F183*H183</f>
        <v>0</v>
      </c>
    </row>
    <row r="184" spans="2:9" ht="15.75" x14ac:dyDescent="0.25">
      <c r="B184" s="38">
        <v>179</v>
      </c>
      <c r="C184" s="33" t="s">
        <v>154</v>
      </c>
      <c r="D184" s="19"/>
      <c r="E184" s="12"/>
      <c r="F184" s="19"/>
      <c r="G184" s="5"/>
      <c r="H184" s="15"/>
      <c r="I184" s="15">
        <f>G184*H184</f>
        <v>0</v>
      </c>
    </row>
    <row r="185" spans="2:9" ht="15.75" x14ac:dyDescent="0.25">
      <c r="B185" s="38">
        <v>180</v>
      </c>
      <c r="C185" s="33" t="s">
        <v>48</v>
      </c>
      <c r="D185" s="19"/>
      <c r="E185" s="12"/>
      <c r="F185" s="19">
        <f>1</f>
        <v>1</v>
      </c>
      <c r="G185" s="5"/>
      <c r="H185" s="15">
        <v>115</v>
      </c>
      <c r="I185" s="15">
        <f>G185*H185</f>
        <v>0</v>
      </c>
    </row>
    <row r="186" spans="2:9" ht="15.75" x14ac:dyDescent="0.25">
      <c r="B186" s="38">
        <v>181</v>
      </c>
      <c r="C186" s="33" t="s">
        <v>49</v>
      </c>
      <c r="D186" s="19"/>
      <c r="E186" s="12"/>
      <c r="F186" s="19"/>
      <c r="G186" s="5"/>
      <c r="H186" s="15"/>
      <c r="I186" s="15">
        <f t="shared" ref="I186:I204" si="7">F186*H186</f>
        <v>0</v>
      </c>
    </row>
    <row r="187" spans="2:9" ht="15.75" x14ac:dyDescent="0.25">
      <c r="B187" s="38">
        <v>182</v>
      </c>
      <c r="C187" s="33" t="s">
        <v>46</v>
      </c>
      <c r="D187" s="19"/>
      <c r="E187" s="12"/>
      <c r="F187" s="19"/>
      <c r="G187" s="5"/>
      <c r="H187" s="15"/>
      <c r="I187" s="15">
        <f t="shared" si="7"/>
        <v>0</v>
      </c>
    </row>
    <row r="188" spans="2:9" ht="15.75" x14ac:dyDescent="0.25">
      <c r="B188" s="38">
        <v>183</v>
      </c>
      <c r="C188" s="33" t="s">
        <v>155</v>
      </c>
      <c r="D188" s="19"/>
      <c r="E188" s="12"/>
      <c r="F188" s="19">
        <f>0.52</f>
        <v>0.52</v>
      </c>
      <c r="G188" s="5"/>
      <c r="H188" s="15">
        <v>220</v>
      </c>
      <c r="I188" s="15">
        <f t="shared" si="7"/>
        <v>114.4</v>
      </c>
    </row>
    <row r="189" spans="2:9" ht="15.75" x14ac:dyDescent="0.25">
      <c r="B189" s="38">
        <v>184</v>
      </c>
      <c r="C189" s="33" t="s">
        <v>156</v>
      </c>
      <c r="D189" s="19"/>
      <c r="E189" s="12"/>
      <c r="F189" s="19">
        <f>2+7</f>
        <v>9</v>
      </c>
      <c r="G189" s="5"/>
      <c r="H189" s="15">
        <v>220</v>
      </c>
      <c r="I189" s="15">
        <f t="shared" si="7"/>
        <v>1980</v>
      </c>
    </row>
    <row r="190" spans="2:9" ht="15.75" x14ac:dyDescent="0.25">
      <c r="B190" s="38">
        <v>185</v>
      </c>
      <c r="C190" s="33" t="s">
        <v>157</v>
      </c>
      <c r="D190" s="28"/>
      <c r="E190" s="29"/>
      <c r="F190" s="30"/>
      <c r="G190" s="12"/>
      <c r="H190" s="20"/>
      <c r="I190" s="15">
        <f t="shared" si="7"/>
        <v>0</v>
      </c>
    </row>
    <row r="191" spans="2:9" ht="15.75" x14ac:dyDescent="0.25">
      <c r="B191" s="38">
        <v>186</v>
      </c>
      <c r="C191" s="33" t="s">
        <v>158</v>
      </c>
      <c r="D191" s="19"/>
      <c r="E191" s="12"/>
      <c r="F191" s="19">
        <f>5.578+30</f>
        <v>35.578000000000003</v>
      </c>
      <c r="G191" s="5"/>
      <c r="H191" s="15">
        <v>54</v>
      </c>
      <c r="I191" s="15">
        <f t="shared" si="7"/>
        <v>1921.2120000000002</v>
      </c>
    </row>
    <row r="192" spans="2:9" ht="15.75" x14ac:dyDescent="0.25">
      <c r="B192" s="38">
        <v>187</v>
      </c>
      <c r="C192" s="33" t="s">
        <v>159</v>
      </c>
      <c r="D192" s="19"/>
      <c r="E192" s="12"/>
      <c r="F192" s="19">
        <f>1.14+1.3</f>
        <v>2.44</v>
      </c>
      <c r="G192" s="5"/>
      <c r="H192" s="15">
        <v>60</v>
      </c>
      <c r="I192" s="15">
        <f t="shared" si="7"/>
        <v>146.4</v>
      </c>
    </row>
    <row r="193" spans="2:9" ht="15.75" x14ac:dyDescent="0.25">
      <c r="B193" s="38">
        <v>188</v>
      </c>
      <c r="C193" s="33" t="s">
        <v>160</v>
      </c>
      <c r="D193" s="19"/>
      <c r="E193" s="12"/>
      <c r="F193" s="19"/>
      <c r="G193" s="5"/>
      <c r="H193" s="15"/>
      <c r="I193" s="15">
        <f t="shared" si="7"/>
        <v>0</v>
      </c>
    </row>
    <row r="194" spans="2:9" ht="15.75" x14ac:dyDescent="0.25">
      <c r="B194" s="38">
        <v>189</v>
      </c>
      <c r="C194" s="33" t="s">
        <v>19</v>
      </c>
      <c r="D194" s="19"/>
      <c r="E194" s="12"/>
      <c r="F194" s="19"/>
      <c r="G194" s="12"/>
      <c r="H194" s="20"/>
      <c r="I194" s="15">
        <f t="shared" si="7"/>
        <v>0</v>
      </c>
    </row>
    <row r="195" spans="2:9" ht="15.75" x14ac:dyDescent="0.25">
      <c r="B195" s="38">
        <v>190</v>
      </c>
      <c r="C195" s="33" t="s">
        <v>22</v>
      </c>
      <c r="D195" s="19"/>
      <c r="E195" s="12"/>
      <c r="F195" s="19"/>
      <c r="G195" s="5"/>
      <c r="H195" s="15"/>
      <c r="I195" s="15">
        <f t="shared" si="7"/>
        <v>0</v>
      </c>
    </row>
    <row r="196" spans="2:9" ht="15.75" x14ac:dyDescent="0.25">
      <c r="B196" s="38">
        <v>191</v>
      </c>
      <c r="C196" s="33" t="s">
        <v>161</v>
      </c>
      <c r="D196" s="19"/>
      <c r="E196" s="12"/>
      <c r="F196" s="19">
        <f>5.22+9.3+8.8+9.8+2.48</f>
        <v>35.6</v>
      </c>
      <c r="G196" s="5"/>
      <c r="H196" s="15">
        <v>90</v>
      </c>
      <c r="I196" s="15">
        <f t="shared" si="7"/>
        <v>3204</v>
      </c>
    </row>
    <row r="197" spans="2:9" ht="15.75" x14ac:dyDescent="0.25">
      <c r="B197" s="38">
        <v>192</v>
      </c>
      <c r="C197" s="33" t="s">
        <v>69</v>
      </c>
      <c r="D197" s="19"/>
      <c r="E197" s="12"/>
      <c r="F197" s="19"/>
      <c r="G197" s="5"/>
      <c r="H197" s="15"/>
      <c r="I197" s="15">
        <f t="shared" si="7"/>
        <v>0</v>
      </c>
    </row>
    <row r="198" spans="2:9" ht="15.75" x14ac:dyDescent="0.25">
      <c r="B198" s="38">
        <v>193</v>
      </c>
      <c r="C198" s="33" t="s">
        <v>162</v>
      </c>
      <c r="D198" s="19"/>
      <c r="E198" s="12"/>
      <c r="F198" s="19">
        <f>1.442+3.51+2.35</f>
        <v>7.3019999999999996</v>
      </c>
      <c r="G198" s="5"/>
      <c r="H198" s="15">
        <v>210</v>
      </c>
      <c r="I198" s="15">
        <f t="shared" si="7"/>
        <v>1533.4199999999998</v>
      </c>
    </row>
    <row r="199" spans="2:9" ht="15.75" x14ac:dyDescent="0.25">
      <c r="B199" s="38">
        <v>194</v>
      </c>
      <c r="C199" s="33" t="s">
        <v>163</v>
      </c>
      <c r="D199" s="19"/>
      <c r="E199" s="12"/>
      <c r="F199" s="19">
        <f>0.93+4.79+1.74</f>
        <v>7.46</v>
      </c>
      <c r="G199" s="5"/>
      <c r="H199" s="15">
        <v>210</v>
      </c>
      <c r="I199" s="15">
        <f t="shared" si="7"/>
        <v>1566.6</v>
      </c>
    </row>
    <row r="200" spans="2:9" ht="15.75" x14ac:dyDescent="0.25">
      <c r="B200" s="38">
        <v>195</v>
      </c>
      <c r="C200" s="33" t="s">
        <v>164</v>
      </c>
      <c r="D200" s="19"/>
      <c r="E200" s="12"/>
      <c r="F200" s="19">
        <f>0.83+0.37</f>
        <v>1.2</v>
      </c>
      <c r="G200" s="5"/>
      <c r="H200" s="15">
        <v>210</v>
      </c>
      <c r="I200" s="15">
        <f t="shared" si="7"/>
        <v>252</v>
      </c>
    </row>
    <row r="201" spans="2:9" ht="15.75" x14ac:dyDescent="0.25">
      <c r="B201" s="38">
        <v>196</v>
      </c>
      <c r="C201" s="33" t="s">
        <v>443</v>
      </c>
      <c r="D201" s="19"/>
      <c r="E201" s="12"/>
      <c r="F201" s="19">
        <f>7+14.6</f>
        <v>21.6</v>
      </c>
      <c r="G201" s="5"/>
      <c r="H201" s="15">
        <v>118</v>
      </c>
      <c r="I201" s="15">
        <f t="shared" si="7"/>
        <v>2548.8000000000002</v>
      </c>
    </row>
    <row r="202" spans="2:9" ht="15.75" x14ac:dyDescent="0.25">
      <c r="B202" s="38">
        <v>197</v>
      </c>
      <c r="C202" s="33" t="s">
        <v>444</v>
      </c>
      <c r="D202" s="19"/>
      <c r="E202" s="12"/>
      <c r="F202" s="19">
        <f>6+18.28</f>
        <v>24.28</v>
      </c>
      <c r="G202" s="5"/>
      <c r="H202" s="15">
        <v>120</v>
      </c>
      <c r="I202" s="15">
        <f t="shared" si="7"/>
        <v>2913.6000000000004</v>
      </c>
    </row>
    <row r="203" spans="2:9" ht="15.75" x14ac:dyDescent="0.25">
      <c r="B203" s="38">
        <v>198</v>
      </c>
      <c r="C203" s="33" t="s">
        <v>65</v>
      </c>
      <c r="D203" s="19"/>
      <c r="E203" s="12"/>
      <c r="F203" s="19">
        <f>2.786+6.06+39.1+5.8+8.46</f>
        <v>62.205999999999996</v>
      </c>
      <c r="G203" s="5"/>
      <c r="H203" s="15">
        <v>155</v>
      </c>
      <c r="I203" s="15">
        <f t="shared" si="7"/>
        <v>9641.9299999999985</v>
      </c>
    </row>
    <row r="204" spans="2:9" ht="15.75" x14ac:dyDescent="0.25">
      <c r="B204" s="38">
        <v>199</v>
      </c>
      <c r="C204" s="33" t="s">
        <v>64</v>
      </c>
      <c r="D204" s="19"/>
      <c r="E204" s="12"/>
      <c r="F204" s="19">
        <f>10+9</f>
        <v>19</v>
      </c>
      <c r="G204" s="5"/>
      <c r="H204" s="15">
        <v>70</v>
      </c>
      <c r="I204" s="15">
        <f t="shared" si="7"/>
        <v>1330</v>
      </c>
    </row>
    <row r="205" spans="2:9" ht="15.75" x14ac:dyDescent="0.25">
      <c r="B205" s="38">
        <v>200</v>
      </c>
      <c r="C205" s="33" t="s">
        <v>54</v>
      </c>
      <c r="D205" s="19"/>
      <c r="E205" s="12"/>
      <c r="F205" s="19">
        <f>5.124+12.78+4.01+12.4</f>
        <v>34.314</v>
      </c>
      <c r="G205" s="5"/>
      <c r="H205" s="15">
        <v>122</v>
      </c>
      <c r="I205" s="15">
        <f>G205*H205</f>
        <v>0</v>
      </c>
    </row>
    <row r="206" spans="2:9" ht="15.75" x14ac:dyDescent="0.25">
      <c r="B206" s="38">
        <v>201</v>
      </c>
      <c r="C206" s="33" t="s">
        <v>55</v>
      </c>
      <c r="D206" s="19"/>
      <c r="E206" s="12"/>
      <c r="F206" s="19"/>
      <c r="G206" s="5"/>
      <c r="H206" s="15"/>
      <c r="I206" s="15">
        <f>F206*H206</f>
        <v>0</v>
      </c>
    </row>
    <row r="207" spans="2:9" ht="15.75" x14ac:dyDescent="0.25">
      <c r="B207" s="38">
        <v>202</v>
      </c>
      <c r="C207" s="33" t="s">
        <v>165</v>
      </c>
      <c r="D207" s="19"/>
      <c r="E207" s="12"/>
      <c r="F207" s="19"/>
      <c r="G207" s="5"/>
      <c r="H207" s="15"/>
      <c r="I207" s="15">
        <f>F207*H207</f>
        <v>0</v>
      </c>
    </row>
    <row r="208" spans="2:9" ht="15.75" x14ac:dyDescent="0.25">
      <c r="B208" s="38">
        <v>203</v>
      </c>
      <c r="C208" s="33" t="s">
        <v>248</v>
      </c>
      <c r="D208" s="16"/>
      <c r="E208" s="17"/>
      <c r="F208" s="19">
        <f>3.66</f>
        <v>3.66</v>
      </c>
      <c r="G208" s="5"/>
      <c r="H208" s="15">
        <v>130</v>
      </c>
      <c r="I208" s="15">
        <f>H208*G208</f>
        <v>0</v>
      </c>
    </row>
    <row r="209" spans="2:9" ht="15.75" x14ac:dyDescent="0.25">
      <c r="B209" s="38">
        <v>204</v>
      </c>
      <c r="C209" s="33" t="s">
        <v>366</v>
      </c>
      <c r="D209" s="14"/>
      <c r="E209" s="5"/>
      <c r="F209" s="19">
        <f>77+17.56</f>
        <v>94.56</v>
      </c>
      <c r="G209" s="5"/>
      <c r="H209" s="15">
        <v>120</v>
      </c>
      <c r="I209" s="15">
        <f t="shared" ref="I209:I217" si="8">F209*H209</f>
        <v>11347.2</v>
      </c>
    </row>
    <row r="210" spans="2:9" ht="15.75" x14ac:dyDescent="0.25">
      <c r="B210" s="38">
        <v>205</v>
      </c>
      <c r="C210" s="33" t="s">
        <v>249</v>
      </c>
      <c r="D210" s="14"/>
      <c r="E210" s="5"/>
      <c r="F210" s="19"/>
      <c r="G210" s="5"/>
      <c r="H210" s="15"/>
      <c r="I210" s="15">
        <f t="shared" si="8"/>
        <v>0</v>
      </c>
    </row>
    <row r="211" spans="2:9" ht="15.75" x14ac:dyDescent="0.25">
      <c r="B211" s="38">
        <v>206</v>
      </c>
      <c r="C211" s="33" t="s">
        <v>250</v>
      </c>
      <c r="D211" s="14"/>
      <c r="E211" s="5"/>
      <c r="F211" s="19">
        <f>1+35+11.5+5.62</f>
        <v>53.12</v>
      </c>
      <c r="G211" s="5"/>
      <c r="H211" s="15">
        <v>110</v>
      </c>
      <c r="I211" s="15">
        <f t="shared" si="8"/>
        <v>5843.2</v>
      </c>
    </row>
    <row r="212" spans="2:9" ht="15.75" x14ac:dyDescent="0.25">
      <c r="B212" s="38">
        <v>207</v>
      </c>
      <c r="C212" s="33" t="s">
        <v>185</v>
      </c>
      <c r="D212" s="14"/>
      <c r="E212" s="5"/>
      <c r="F212" s="19">
        <f>16.32</f>
        <v>16.32</v>
      </c>
      <c r="G212" s="5"/>
      <c r="H212" s="15">
        <v>148</v>
      </c>
      <c r="I212" s="15">
        <f t="shared" si="8"/>
        <v>2415.36</v>
      </c>
    </row>
    <row r="213" spans="2:9" ht="15.75" x14ac:dyDescent="0.25">
      <c r="B213" s="38">
        <v>208</v>
      </c>
      <c r="C213" s="33" t="s">
        <v>172</v>
      </c>
      <c r="D213" s="14"/>
      <c r="E213" s="5"/>
      <c r="F213" s="19">
        <f>66.3</f>
        <v>66.3</v>
      </c>
      <c r="G213" s="5"/>
      <c r="H213" s="15">
        <v>204</v>
      </c>
      <c r="I213" s="15">
        <f t="shared" si="8"/>
        <v>13525.199999999999</v>
      </c>
    </row>
    <row r="214" spans="2:9" ht="15.75" x14ac:dyDescent="0.25">
      <c r="B214" s="38">
        <v>209</v>
      </c>
      <c r="C214" s="33" t="s">
        <v>182</v>
      </c>
      <c r="D214" s="14"/>
      <c r="E214" s="5"/>
      <c r="F214" s="19">
        <f>83.02+2</f>
        <v>85.02</v>
      </c>
      <c r="G214" s="5"/>
      <c r="H214" s="15">
        <v>107</v>
      </c>
      <c r="I214" s="15">
        <f t="shared" si="8"/>
        <v>9097.14</v>
      </c>
    </row>
    <row r="215" spans="2:9" ht="15.75" x14ac:dyDescent="0.25">
      <c r="B215" s="38">
        <v>210</v>
      </c>
      <c r="C215" s="33" t="s">
        <v>181</v>
      </c>
      <c r="D215" s="14"/>
      <c r="E215" s="5"/>
      <c r="F215" s="19"/>
      <c r="G215" s="5"/>
      <c r="H215" s="15"/>
      <c r="I215" s="15">
        <f t="shared" si="8"/>
        <v>0</v>
      </c>
    </row>
    <row r="216" spans="2:9" ht="15.75" x14ac:dyDescent="0.25">
      <c r="B216" s="38">
        <v>211</v>
      </c>
      <c r="C216" s="33" t="s">
        <v>251</v>
      </c>
      <c r="D216" s="14"/>
      <c r="E216" s="5"/>
      <c r="F216" s="19">
        <f>58+12.24+0.52+3.5</f>
        <v>74.259999999999991</v>
      </c>
      <c r="G216" s="5"/>
      <c r="H216" s="15">
        <v>162</v>
      </c>
      <c r="I216" s="15">
        <f t="shared" si="8"/>
        <v>12030.119999999999</v>
      </c>
    </row>
    <row r="217" spans="2:9" ht="15.75" x14ac:dyDescent="0.25">
      <c r="B217" s="38">
        <v>212</v>
      </c>
      <c r="C217" s="33" t="s">
        <v>252</v>
      </c>
      <c r="D217" s="14"/>
      <c r="E217" s="5"/>
      <c r="F217" s="19"/>
      <c r="G217" s="5"/>
      <c r="H217" s="15"/>
      <c r="I217" s="15">
        <f t="shared" si="8"/>
        <v>0</v>
      </c>
    </row>
    <row r="218" spans="2:9" ht="15.75" x14ac:dyDescent="0.25">
      <c r="B218" s="38">
        <v>213</v>
      </c>
      <c r="C218" s="33" t="s">
        <v>253</v>
      </c>
      <c r="D218" s="14"/>
      <c r="E218" s="5"/>
      <c r="F218" s="19"/>
      <c r="G218" s="5"/>
      <c r="H218" s="15"/>
      <c r="I218" s="15"/>
    </row>
    <row r="219" spans="2:9" ht="15.75" x14ac:dyDescent="0.25">
      <c r="B219" s="38">
        <v>214</v>
      </c>
      <c r="C219" s="33" t="s">
        <v>254</v>
      </c>
      <c r="D219" s="14"/>
      <c r="E219" s="5"/>
      <c r="F219" s="19">
        <f>254+4.95</f>
        <v>258.95</v>
      </c>
      <c r="G219" s="5"/>
      <c r="H219" s="15">
        <v>240</v>
      </c>
      <c r="I219" s="15">
        <f t="shared" ref="I219:I282" si="9">F219*H219</f>
        <v>62148</v>
      </c>
    </row>
    <row r="220" spans="2:9" ht="15.75" x14ac:dyDescent="0.25">
      <c r="B220" s="38">
        <v>215</v>
      </c>
      <c r="C220" s="33" t="s">
        <v>214</v>
      </c>
      <c r="D220" s="14"/>
      <c r="E220" s="5"/>
      <c r="F220" s="19">
        <f>18</f>
        <v>18</v>
      </c>
      <c r="G220" s="5"/>
      <c r="H220" s="15">
        <v>94</v>
      </c>
      <c r="I220" s="15">
        <f t="shared" si="9"/>
        <v>1692</v>
      </c>
    </row>
    <row r="221" spans="2:9" ht="15.75" x14ac:dyDescent="0.25">
      <c r="B221" s="38">
        <v>216</v>
      </c>
      <c r="C221" s="33" t="s">
        <v>234</v>
      </c>
      <c r="D221" s="14"/>
      <c r="E221" s="5"/>
      <c r="F221" s="19"/>
      <c r="G221" s="5"/>
      <c r="H221" s="15"/>
      <c r="I221" s="15">
        <f t="shared" si="9"/>
        <v>0</v>
      </c>
    </row>
    <row r="222" spans="2:9" ht="15.75" x14ac:dyDescent="0.25">
      <c r="B222" s="38">
        <v>217</v>
      </c>
      <c r="C222" s="33" t="s">
        <v>255</v>
      </c>
      <c r="D222" s="14"/>
      <c r="E222" s="5"/>
      <c r="F222" s="19">
        <f>75.5</f>
        <v>75.5</v>
      </c>
      <c r="G222" s="5"/>
      <c r="H222" s="15">
        <v>110</v>
      </c>
      <c r="I222" s="15">
        <f t="shared" si="9"/>
        <v>8305</v>
      </c>
    </row>
    <row r="223" spans="2:9" ht="15.75" x14ac:dyDescent="0.25">
      <c r="B223" s="38">
        <v>218</v>
      </c>
      <c r="C223" s="33" t="s">
        <v>256</v>
      </c>
      <c r="D223" s="14"/>
      <c r="E223" s="5"/>
      <c r="F223" s="19">
        <f>377</f>
        <v>377</v>
      </c>
      <c r="G223" s="5"/>
      <c r="H223" s="15">
        <v>65</v>
      </c>
      <c r="I223" s="15">
        <f t="shared" si="9"/>
        <v>24505</v>
      </c>
    </row>
    <row r="224" spans="2:9" ht="15.75" x14ac:dyDescent="0.25">
      <c r="B224" s="38">
        <v>219</v>
      </c>
      <c r="C224" s="33" t="s">
        <v>257</v>
      </c>
      <c r="D224" s="14"/>
      <c r="E224" s="5"/>
      <c r="F224" s="19">
        <f>190+3.68</f>
        <v>193.68</v>
      </c>
      <c r="G224" s="5"/>
      <c r="H224" s="15">
        <v>350</v>
      </c>
      <c r="I224" s="15">
        <f t="shared" si="9"/>
        <v>67788</v>
      </c>
    </row>
    <row r="225" spans="2:9" ht="15.75" x14ac:dyDescent="0.25">
      <c r="B225" s="38">
        <v>220</v>
      </c>
      <c r="C225" s="33" t="s">
        <v>258</v>
      </c>
      <c r="D225" s="14"/>
      <c r="E225" s="5"/>
      <c r="F225" s="19">
        <f>18*4.54+7.26</f>
        <v>88.98</v>
      </c>
      <c r="G225" s="5"/>
      <c r="H225" s="15">
        <v>75</v>
      </c>
      <c r="I225" s="15">
        <f t="shared" si="9"/>
        <v>6673.5</v>
      </c>
    </row>
    <row r="226" spans="2:9" ht="15.75" x14ac:dyDescent="0.25">
      <c r="B226" s="38">
        <v>221</v>
      </c>
      <c r="C226" s="33" t="s">
        <v>259</v>
      </c>
      <c r="D226" s="14"/>
      <c r="E226" s="5"/>
      <c r="F226" s="19">
        <f>7.58</f>
        <v>7.58</v>
      </c>
      <c r="G226" s="5"/>
      <c r="H226" s="15">
        <v>130</v>
      </c>
      <c r="I226" s="15">
        <f t="shared" si="9"/>
        <v>985.4</v>
      </c>
    </row>
    <row r="227" spans="2:9" ht="15.75" x14ac:dyDescent="0.25">
      <c r="B227" s="38">
        <v>222</v>
      </c>
      <c r="C227" s="33" t="s">
        <v>260</v>
      </c>
      <c r="D227" s="14"/>
      <c r="E227" s="5"/>
      <c r="F227" s="19"/>
      <c r="G227" s="5"/>
      <c r="H227" s="15"/>
      <c r="I227" s="15">
        <f t="shared" si="9"/>
        <v>0</v>
      </c>
    </row>
    <row r="228" spans="2:9" ht="15.75" x14ac:dyDescent="0.25">
      <c r="B228" s="38">
        <v>223</v>
      </c>
      <c r="C228" s="33" t="s">
        <v>249</v>
      </c>
      <c r="D228" s="14"/>
      <c r="E228" s="5"/>
      <c r="F228" s="19"/>
      <c r="G228" s="5"/>
      <c r="H228" s="15"/>
      <c r="I228" s="15">
        <f t="shared" si="9"/>
        <v>0</v>
      </c>
    </row>
    <row r="229" spans="2:9" ht="15.75" x14ac:dyDescent="0.25">
      <c r="B229" s="38">
        <v>224</v>
      </c>
      <c r="C229" s="33" t="s">
        <v>261</v>
      </c>
      <c r="D229" s="14"/>
      <c r="E229" s="5"/>
      <c r="F229" s="19"/>
      <c r="G229" s="5"/>
      <c r="H229" s="15"/>
      <c r="I229" s="15">
        <f t="shared" si="9"/>
        <v>0</v>
      </c>
    </row>
    <row r="230" spans="2:9" ht="15.75" x14ac:dyDescent="0.25">
      <c r="B230" s="38">
        <v>225</v>
      </c>
      <c r="C230" s="33" t="s">
        <v>251</v>
      </c>
      <c r="D230" s="14"/>
      <c r="E230" s="5"/>
      <c r="F230" s="19"/>
      <c r="G230" s="5"/>
      <c r="H230" s="15"/>
      <c r="I230" s="15">
        <f t="shared" si="9"/>
        <v>0</v>
      </c>
    </row>
    <row r="231" spans="2:9" ht="15.75" x14ac:dyDescent="0.25">
      <c r="B231" s="38">
        <v>226</v>
      </c>
      <c r="C231" s="33" t="s">
        <v>218</v>
      </c>
      <c r="D231" s="14"/>
      <c r="E231" s="5"/>
      <c r="F231" s="19">
        <f>64+38+25</f>
        <v>127</v>
      </c>
      <c r="G231" s="5"/>
      <c r="H231" s="15">
        <v>80</v>
      </c>
      <c r="I231" s="15">
        <f t="shared" si="9"/>
        <v>10160</v>
      </c>
    </row>
    <row r="232" spans="2:9" ht="15.75" x14ac:dyDescent="0.25">
      <c r="B232" s="38">
        <v>227</v>
      </c>
      <c r="C232" s="33" t="s">
        <v>262</v>
      </c>
      <c r="D232" s="14"/>
      <c r="E232" s="5"/>
      <c r="F232" s="19"/>
      <c r="G232" s="5"/>
      <c r="H232" s="15"/>
      <c r="I232" s="15">
        <f t="shared" si="9"/>
        <v>0</v>
      </c>
    </row>
    <row r="233" spans="2:9" ht="15.75" x14ac:dyDescent="0.25">
      <c r="B233" s="38">
        <v>228</v>
      </c>
      <c r="C233" s="33" t="s">
        <v>263</v>
      </c>
      <c r="D233" s="14"/>
      <c r="E233" s="5"/>
      <c r="F233" s="19"/>
      <c r="G233" s="5"/>
      <c r="H233" s="15"/>
      <c r="I233" s="15">
        <f t="shared" si="9"/>
        <v>0</v>
      </c>
    </row>
    <row r="234" spans="2:9" ht="15.75" x14ac:dyDescent="0.25">
      <c r="B234" s="38">
        <v>229</v>
      </c>
      <c r="C234" s="33" t="s">
        <v>264</v>
      </c>
      <c r="D234" s="14"/>
      <c r="E234" s="5"/>
      <c r="F234" s="19">
        <f>122+51.5+29.42+14.7+6.45+7.28</f>
        <v>231.35</v>
      </c>
      <c r="G234" s="5"/>
      <c r="H234" s="15">
        <v>112</v>
      </c>
      <c r="I234" s="15">
        <f t="shared" si="9"/>
        <v>25911.200000000001</v>
      </c>
    </row>
    <row r="235" spans="2:9" ht="15.75" x14ac:dyDescent="0.25">
      <c r="B235" s="38">
        <v>230</v>
      </c>
      <c r="C235" s="33" t="s">
        <v>203</v>
      </c>
      <c r="D235" s="14"/>
      <c r="E235" s="5"/>
      <c r="F235" s="19">
        <f>54.5</f>
        <v>54.5</v>
      </c>
      <c r="G235" s="5"/>
      <c r="H235" s="15">
        <v>76</v>
      </c>
      <c r="I235" s="15">
        <f t="shared" si="9"/>
        <v>4142</v>
      </c>
    </row>
    <row r="236" spans="2:9" ht="15.75" x14ac:dyDescent="0.25">
      <c r="B236" s="38">
        <v>231</v>
      </c>
      <c r="C236" s="33" t="s">
        <v>314</v>
      </c>
      <c r="D236" s="14"/>
      <c r="E236" s="5"/>
      <c r="F236" s="19">
        <f>189+32.5+26+36+46.5+51.5+94+31.52+7.56</f>
        <v>514.57999999999993</v>
      </c>
      <c r="G236" s="5"/>
      <c r="H236" s="15">
        <v>123</v>
      </c>
      <c r="I236" s="15">
        <f t="shared" si="9"/>
        <v>63293.339999999989</v>
      </c>
    </row>
    <row r="237" spans="2:9" ht="15.75" x14ac:dyDescent="0.25">
      <c r="B237" s="38">
        <v>232</v>
      </c>
      <c r="C237" s="33" t="s">
        <v>265</v>
      </c>
      <c r="D237" s="14"/>
      <c r="E237" s="5"/>
      <c r="F237" s="19"/>
      <c r="G237" s="5"/>
      <c r="H237" s="15"/>
      <c r="I237" s="15">
        <f t="shared" si="9"/>
        <v>0</v>
      </c>
    </row>
    <row r="238" spans="2:9" ht="15.75" x14ac:dyDescent="0.25">
      <c r="B238" s="38">
        <v>233</v>
      </c>
      <c r="C238" s="33" t="s">
        <v>266</v>
      </c>
      <c r="D238" s="14"/>
      <c r="E238" s="5"/>
      <c r="F238" s="19">
        <f>288+55+33.5+119.5+9.28+1.52</f>
        <v>506.79999999999995</v>
      </c>
      <c r="G238" s="5"/>
      <c r="H238" s="15">
        <v>204</v>
      </c>
      <c r="I238" s="15">
        <f t="shared" si="9"/>
        <v>103387.2</v>
      </c>
    </row>
    <row r="239" spans="2:9" ht="15.75" x14ac:dyDescent="0.25">
      <c r="B239" s="38">
        <v>234</v>
      </c>
      <c r="C239" s="33" t="s">
        <v>262</v>
      </c>
      <c r="D239" s="14"/>
      <c r="E239" s="5"/>
      <c r="F239" s="19"/>
      <c r="G239" s="5"/>
      <c r="H239" s="15"/>
      <c r="I239" s="15">
        <f t="shared" si="9"/>
        <v>0</v>
      </c>
    </row>
    <row r="240" spans="2:9" ht="15.75" x14ac:dyDescent="0.25">
      <c r="B240" s="38">
        <v>235</v>
      </c>
      <c r="C240" s="33" t="s">
        <v>267</v>
      </c>
      <c r="D240" s="14"/>
      <c r="E240" s="5"/>
      <c r="F240" s="19">
        <f>25.5+33.5</f>
        <v>59</v>
      </c>
      <c r="G240" s="5"/>
      <c r="H240" s="15">
        <v>50</v>
      </c>
      <c r="I240" s="15">
        <f t="shared" si="9"/>
        <v>2950</v>
      </c>
    </row>
    <row r="241" spans="2:9" ht="15.75" x14ac:dyDescent="0.25">
      <c r="B241" s="38">
        <v>236</v>
      </c>
      <c r="C241" s="33" t="s">
        <v>174</v>
      </c>
      <c r="D241" s="14"/>
      <c r="E241" s="5"/>
      <c r="F241" s="19">
        <f>8.5+14.5+3.58</f>
        <v>26.58</v>
      </c>
      <c r="G241" s="5"/>
      <c r="H241" s="15">
        <v>88</v>
      </c>
      <c r="I241" s="15">
        <f t="shared" si="9"/>
        <v>2339.04</v>
      </c>
    </row>
    <row r="242" spans="2:9" ht="15.75" x14ac:dyDescent="0.25">
      <c r="B242" s="38">
        <v>237</v>
      </c>
      <c r="C242" s="33" t="s">
        <v>229</v>
      </c>
      <c r="D242" s="14"/>
      <c r="E242" s="5"/>
      <c r="F242" s="19"/>
      <c r="G242" s="5"/>
      <c r="H242" s="15"/>
      <c r="I242" s="15">
        <f t="shared" si="9"/>
        <v>0</v>
      </c>
    </row>
    <row r="243" spans="2:9" ht="15.75" x14ac:dyDescent="0.25">
      <c r="B243" s="38">
        <v>238</v>
      </c>
      <c r="C243" s="33" t="s">
        <v>263</v>
      </c>
      <c r="D243" s="14"/>
      <c r="E243" s="5"/>
      <c r="F243" s="19">
        <f>38</f>
        <v>38</v>
      </c>
      <c r="G243" s="5"/>
      <c r="H243" s="15">
        <v>80</v>
      </c>
      <c r="I243" s="15">
        <f t="shared" si="9"/>
        <v>3040</v>
      </c>
    </row>
    <row r="244" spans="2:9" ht="15.75" x14ac:dyDescent="0.25">
      <c r="B244" s="38">
        <v>239</v>
      </c>
      <c r="C244" s="33" t="s">
        <v>264</v>
      </c>
      <c r="D244" s="14"/>
      <c r="E244" s="5"/>
      <c r="F244" s="19"/>
      <c r="G244" s="5"/>
      <c r="H244" s="15"/>
      <c r="I244" s="15">
        <f t="shared" si="9"/>
        <v>0</v>
      </c>
    </row>
    <row r="245" spans="2:9" ht="15.75" x14ac:dyDescent="0.25">
      <c r="B245" s="38">
        <v>240</v>
      </c>
      <c r="C245" s="33" t="s">
        <v>181</v>
      </c>
      <c r="D245" s="14"/>
      <c r="E245" s="5"/>
      <c r="F245" s="19"/>
      <c r="G245" s="5"/>
      <c r="H245" s="15"/>
      <c r="I245" s="15">
        <f t="shared" si="9"/>
        <v>0</v>
      </c>
    </row>
    <row r="246" spans="2:9" ht="15.75" x14ac:dyDescent="0.25">
      <c r="B246" s="38">
        <v>241</v>
      </c>
      <c r="C246" s="33" t="s">
        <v>315</v>
      </c>
      <c r="D246" s="14"/>
      <c r="E246" s="5"/>
      <c r="F246" s="19"/>
      <c r="G246" s="5"/>
      <c r="H246" s="15"/>
      <c r="I246" s="15">
        <f t="shared" si="9"/>
        <v>0</v>
      </c>
    </row>
    <row r="247" spans="2:9" ht="15.75" x14ac:dyDescent="0.25">
      <c r="B247" s="38">
        <v>242</v>
      </c>
      <c r="C247" s="33" t="s">
        <v>268</v>
      </c>
      <c r="D247" s="14"/>
      <c r="E247" s="5"/>
      <c r="F247" s="19"/>
      <c r="G247" s="5"/>
      <c r="H247" s="15"/>
      <c r="I247" s="15">
        <f t="shared" si="9"/>
        <v>0</v>
      </c>
    </row>
    <row r="248" spans="2:9" ht="15.75" x14ac:dyDescent="0.25">
      <c r="B248" s="38">
        <v>243</v>
      </c>
      <c r="C248" s="33" t="s">
        <v>214</v>
      </c>
      <c r="D248" s="14"/>
      <c r="E248" s="5"/>
      <c r="F248" s="19"/>
      <c r="G248" s="5"/>
      <c r="H248" s="15"/>
      <c r="I248" s="15">
        <f t="shared" si="9"/>
        <v>0</v>
      </c>
    </row>
    <row r="249" spans="2:9" ht="15.75" x14ac:dyDescent="0.25">
      <c r="B249" s="38">
        <v>244</v>
      </c>
      <c r="C249" s="33" t="s">
        <v>395</v>
      </c>
      <c r="D249" s="14"/>
      <c r="E249" s="5"/>
      <c r="F249" s="19"/>
      <c r="G249" s="5"/>
      <c r="H249" s="15"/>
      <c r="I249" s="15">
        <f t="shared" si="9"/>
        <v>0</v>
      </c>
    </row>
    <row r="250" spans="2:9" ht="15.75" x14ac:dyDescent="0.25">
      <c r="B250" s="38">
        <v>245</v>
      </c>
      <c r="C250" s="33" t="s">
        <v>209</v>
      </c>
      <c r="D250" s="14"/>
      <c r="E250" s="5"/>
      <c r="F250" s="19">
        <f>1194+1000+493.7+58+22.02+14.64</f>
        <v>2782.3599999999997</v>
      </c>
      <c r="G250" s="5"/>
      <c r="H250" s="15">
        <v>60</v>
      </c>
      <c r="I250" s="15">
        <f t="shared" si="9"/>
        <v>166941.59999999998</v>
      </c>
    </row>
    <row r="251" spans="2:9" ht="15.75" x14ac:dyDescent="0.25">
      <c r="B251" s="38">
        <v>246</v>
      </c>
      <c r="C251" s="33" t="s">
        <v>370</v>
      </c>
      <c r="D251" s="14"/>
      <c r="E251" s="5"/>
      <c r="F251" s="19">
        <f>4.3+5.32+2.32</f>
        <v>11.940000000000001</v>
      </c>
      <c r="G251" s="5"/>
      <c r="H251" s="15">
        <v>140</v>
      </c>
      <c r="I251" s="15">
        <f t="shared" si="9"/>
        <v>1671.6000000000001</v>
      </c>
    </row>
    <row r="252" spans="2:9" ht="15.75" x14ac:dyDescent="0.25">
      <c r="B252" s="38">
        <v>247</v>
      </c>
      <c r="C252" s="33" t="s">
        <v>270</v>
      </c>
      <c r="D252" s="14"/>
      <c r="E252" s="5"/>
      <c r="F252" s="19">
        <f>5.94+1.88</f>
        <v>7.82</v>
      </c>
      <c r="G252" s="5"/>
      <c r="H252" s="15">
        <v>145</v>
      </c>
      <c r="I252" s="15">
        <f t="shared" si="9"/>
        <v>1133.9000000000001</v>
      </c>
    </row>
    <row r="253" spans="2:9" ht="15.75" x14ac:dyDescent="0.25">
      <c r="B253" s="38">
        <v>248</v>
      </c>
      <c r="C253" s="33" t="s">
        <v>271</v>
      </c>
      <c r="D253" s="14"/>
      <c r="E253" s="5"/>
      <c r="F253" s="19">
        <f>4.3</f>
        <v>4.3</v>
      </c>
      <c r="G253" s="5"/>
      <c r="H253" s="15">
        <v>100</v>
      </c>
      <c r="I253" s="15">
        <f t="shared" si="9"/>
        <v>430</v>
      </c>
    </row>
    <row r="254" spans="2:9" ht="15.75" x14ac:dyDescent="0.25">
      <c r="B254" s="38">
        <v>249</v>
      </c>
      <c r="C254" s="33" t="s">
        <v>272</v>
      </c>
      <c r="D254" s="14"/>
      <c r="E254" s="5"/>
      <c r="F254" s="19"/>
      <c r="G254" s="5"/>
      <c r="H254" s="15"/>
      <c r="I254" s="15">
        <f t="shared" si="9"/>
        <v>0</v>
      </c>
    </row>
    <row r="255" spans="2:9" ht="15.75" x14ac:dyDescent="0.25">
      <c r="B255" s="38">
        <v>250</v>
      </c>
      <c r="C255" s="33" t="s">
        <v>273</v>
      </c>
      <c r="D255" s="14"/>
      <c r="E255" s="5"/>
      <c r="F255" s="19">
        <f>39.5+3.22</f>
        <v>42.72</v>
      </c>
      <c r="G255" s="5"/>
      <c r="H255" s="15">
        <v>120</v>
      </c>
      <c r="I255" s="15">
        <f t="shared" si="9"/>
        <v>5126.3999999999996</v>
      </c>
    </row>
    <row r="256" spans="2:9" ht="15.75" x14ac:dyDescent="0.25">
      <c r="B256" s="38">
        <v>251</v>
      </c>
      <c r="C256" s="33" t="s">
        <v>274</v>
      </c>
      <c r="D256" s="14"/>
      <c r="E256" s="5"/>
      <c r="F256" s="19">
        <f>40+9.16+5.32</f>
        <v>54.48</v>
      </c>
      <c r="G256" s="5"/>
      <c r="H256" s="15">
        <v>105</v>
      </c>
      <c r="I256" s="15">
        <f>F256*H256</f>
        <v>5720.4</v>
      </c>
    </row>
    <row r="257" spans="2:9" ht="15.75" x14ac:dyDescent="0.25">
      <c r="B257" s="38">
        <v>252</v>
      </c>
      <c r="C257" s="33" t="s">
        <v>267</v>
      </c>
      <c r="D257" s="14"/>
      <c r="E257" s="5"/>
      <c r="F257" s="19"/>
      <c r="G257" s="5"/>
      <c r="H257" s="15"/>
      <c r="I257" s="15">
        <f t="shared" ref="I257:I266" si="10">F257*H257</f>
        <v>0</v>
      </c>
    </row>
    <row r="258" spans="2:9" ht="15.75" x14ac:dyDescent="0.25">
      <c r="B258" s="38">
        <v>253</v>
      </c>
      <c r="C258" s="33" t="s">
        <v>275</v>
      </c>
      <c r="D258" s="14"/>
      <c r="E258" s="5"/>
      <c r="F258" s="19"/>
      <c r="G258" s="5"/>
      <c r="H258" s="15"/>
      <c r="I258" s="15">
        <f t="shared" si="10"/>
        <v>0</v>
      </c>
    </row>
    <row r="259" spans="2:9" ht="15.75" x14ac:dyDescent="0.25">
      <c r="B259" s="38">
        <v>254</v>
      </c>
      <c r="C259" s="33" t="s">
        <v>208</v>
      </c>
      <c r="D259" s="14"/>
      <c r="E259" s="5"/>
      <c r="F259" s="19">
        <f>13.68+1.72</f>
        <v>15.4</v>
      </c>
      <c r="G259" s="5"/>
      <c r="H259" s="15">
        <v>125</v>
      </c>
      <c r="I259" s="15">
        <f t="shared" si="10"/>
        <v>1925</v>
      </c>
    </row>
    <row r="260" spans="2:9" ht="15.75" x14ac:dyDescent="0.25">
      <c r="B260" s="38">
        <v>255</v>
      </c>
      <c r="C260" s="33" t="s">
        <v>215</v>
      </c>
      <c r="D260" s="14"/>
      <c r="E260" s="5"/>
      <c r="F260" s="19"/>
      <c r="G260" s="5"/>
      <c r="H260" s="15"/>
      <c r="I260" s="15">
        <f t="shared" si="10"/>
        <v>0</v>
      </c>
    </row>
    <row r="261" spans="2:9" ht="15.75" x14ac:dyDescent="0.25">
      <c r="B261" s="38">
        <v>256</v>
      </c>
      <c r="C261" s="33" t="s">
        <v>277</v>
      </c>
      <c r="D261" s="14"/>
      <c r="E261" s="5"/>
      <c r="F261" s="19"/>
      <c r="G261" s="5"/>
      <c r="H261" s="15"/>
      <c r="I261" s="15">
        <f t="shared" si="10"/>
        <v>0</v>
      </c>
    </row>
    <row r="262" spans="2:9" ht="15.75" x14ac:dyDescent="0.25">
      <c r="B262" s="38">
        <v>257</v>
      </c>
      <c r="C262" s="33" t="s">
        <v>229</v>
      </c>
      <c r="D262" s="14"/>
      <c r="E262" s="5"/>
      <c r="F262" s="19"/>
      <c r="G262" s="5"/>
      <c r="H262" s="15"/>
      <c r="I262" s="15">
        <f t="shared" si="10"/>
        <v>0</v>
      </c>
    </row>
    <row r="263" spans="2:9" ht="15.75" x14ac:dyDescent="0.25">
      <c r="B263" s="38">
        <v>258</v>
      </c>
      <c r="C263" s="33" t="s">
        <v>203</v>
      </c>
      <c r="D263" s="14"/>
      <c r="E263" s="5"/>
      <c r="F263" s="19">
        <f>12.36</f>
        <v>12.36</v>
      </c>
      <c r="G263" s="5"/>
      <c r="H263" s="15">
        <v>76</v>
      </c>
      <c r="I263" s="15">
        <f t="shared" si="10"/>
        <v>939.3599999999999</v>
      </c>
    </row>
    <row r="264" spans="2:9" ht="15.75" x14ac:dyDescent="0.25">
      <c r="B264" s="38">
        <v>259</v>
      </c>
      <c r="C264" s="33" t="s">
        <v>278</v>
      </c>
      <c r="D264" s="14"/>
      <c r="E264" s="5"/>
      <c r="F264" s="19">
        <f>8.8+22.5+24.76</f>
        <v>56.06</v>
      </c>
      <c r="G264" s="5"/>
      <c r="H264" s="15">
        <v>90</v>
      </c>
      <c r="I264" s="15">
        <f t="shared" si="10"/>
        <v>5045.4000000000005</v>
      </c>
    </row>
    <row r="265" spans="2:9" ht="15.75" x14ac:dyDescent="0.25">
      <c r="B265" s="38">
        <v>260</v>
      </c>
      <c r="C265" s="33" t="s">
        <v>174</v>
      </c>
      <c r="D265" s="14"/>
      <c r="E265" s="5"/>
      <c r="F265" s="19">
        <f>114</f>
        <v>114</v>
      </c>
      <c r="G265" s="5"/>
      <c r="H265" s="15">
        <v>88</v>
      </c>
      <c r="I265" s="15">
        <f t="shared" si="10"/>
        <v>10032</v>
      </c>
    </row>
    <row r="266" spans="2:9" ht="15.75" x14ac:dyDescent="0.25">
      <c r="B266" s="38">
        <v>261</v>
      </c>
      <c r="C266" s="33" t="s">
        <v>279</v>
      </c>
      <c r="D266" s="14"/>
      <c r="E266" s="5"/>
      <c r="F266" s="19"/>
      <c r="G266" s="5"/>
      <c r="H266" s="15"/>
      <c r="I266" s="15">
        <f t="shared" si="10"/>
        <v>0</v>
      </c>
    </row>
    <row r="267" spans="2:9" ht="15.75" x14ac:dyDescent="0.25">
      <c r="B267" s="38">
        <v>262</v>
      </c>
      <c r="C267" s="33" t="s">
        <v>276</v>
      </c>
      <c r="D267" s="14"/>
      <c r="E267" s="5"/>
      <c r="F267" s="19"/>
      <c r="G267" s="5"/>
      <c r="H267" s="15"/>
      <c r="I267" s="15">
        <f t="shared" si="9"/>
        <v>0</v>
      </c>
    </row>
    <row r="268" spans="2:9" ht="15.75" x14ac:dyDescent="0.25">
      <c r="B268" s="38">
        <v>263</v>
      </c>
      <c r="C268" s="33" t="s">
        <v>275</v>
      </c>
      <c r="D268" s="14"/>
      <c r="E268" s="5"/>
      <c r="F268" s="19">
        <f>3+2.8</f>
        <v>5.8</v>
      </c>
      <c r="G268" s="5"/>
      <c r="H268" s="15">
        <v>145</v>
      </c>
      <c r="I268" s="15">
        <f t="shared" si="9"/>
        <v>841</v>
      </c>
    </row>
    <row r="269" spans="2:9" ht="15.75" x14ac:dyDescent="0.25">
      <c r="B269" s="38">
        <v>264</v>
      </c>
      <c r="C269" s="33" t="s">
        <v>269</v>
      </c>
      <c r="D269" s="14"/>
      <c r="E269" s="5"/>
      <c r="F269" s="19"/>
      <c r="G269" s="5"/>
      <c r="H269" s="15"/>
      <c r="I269" s="15">
        <f t="shared" si="9"/>
        <v>0</v>
      </c>
    </row>
    <row r="270" spans="2:9" ht="15.75" x14ac:dyDescent="0.25">
      <c r="B270" s="38">
        <v>265</v>
      </c>
      <c r="C270" s="33" t="s">
        <v>395</v>
      </c>
      <c r="D270" s="14"/>
      <c r="E270" s="5"/>
      <c r="F270" s="19">
        <f>17+13.8+5.7+1.64</f>
        <v>38.14</v>
      </c>
      <c r="G270" s="5"/>
      <c r="H270" s="15">
        <v>125</v>
      </c>
      <c r="I270" s="15">
        <f t="shared" si="9"/>
        <v>4767.5</v>
      </c>
    </row>
    <row r="271" spans="2:9" ht="15.75" x14ac:dyDescent="0.25">
      <c r="B271" s="38">
        <v>266</v>
      </c>
      <c r="C271" s="33" t="s">
        <v>280</v>
      </c>
      <c r="D271" s="14"/>
      <c r="E271" s="5"/>
      <c r="F271" s="19"/>
      <c r="G271" s="5"/>
      <c r="H271" s="15"/>
      <c r="I271" s="15">
        <f t="shared" si="9"/>
        <v>0</v>
      </c>
    </row>
    <row r="272" spans="2:9" ht="15.75" x14ac:dyDescent="0.25">
      <c r="B272" s="38">
        <v>267</v>
      </c>
      <c r="C272" s="33" t="s">
        <v>263</v>
      </c>
      <c r="D272" s="14"/>
      <c r="E272" s="5"/>
      <c r="F272" s="19"/>
      <c r="G272" s="5"/>
      <c r="H272" s="15"/>
      <c r="I272" s="15">
        <f t="shared" si="9"/>
        <v>0</v>
      </c>
    </row>
    <row r="273" spans="2:9" ht="15.75" x14ac:dyDescent="0.25">
      <c r="B273" s="38">
        <v>268</v>
      </c>
      <c r="C273" s="33" t="s">
        <v>213</v>
      </c>
      <c r="D273" s="14"/>
      <c r="E273" s="5"/>
      <c r="F273" s="19"/>
      <c r="G273" s="5"/>
      <c r="H273" s="15"/>
      <c r="I273" s="15">
        <f t="shared" si="9"/>
        <v>0</v>
      </c>
    </row>
    <row r="274" spans="2:9" ht="15.75" x14ac:dyDescent="0.25">
      <c r="B274" s="38">
        <v>269</v>
      </c>
      <c r="C274" s="33" t="s">
        <v>220</v>
      </c>
      <c r="D274" s="14"/>
      <c r="E274" s="5"/>
      <c r="F274" s="19"/>
      <c r="G274" s="5"/>
      <c r="H274" s="15"/>
      <c r="I274" s="15">
        <f t="shared" si="9"/>
        <v>0</v>
      </c>
    </row>
    <row r="275" spans="2:9" ht="15.75" x14ac:dyDescent="0.25">
      <c r="B275" s="38">
        <v>270</v>
      </c>
      <c r="C275" s="33" t="s">
        <v>5</v>
      </c>
      <c r="D275" s="14"/>
      <c r="E275" s="5"/>
      <c r="F275" s="19"/>
      <c r="G275" s="5"/>
      <c r="H275" s="15"/>
      <c r="I275" s="15">
        <f t="shared" si="9"/>
        <v>0</v>
      </c>
    </row>
    <row r="276" spans="2:9" ht="15.75" x14ac:dyDescent="0.25">
      <c r="B276" s="38">
        <v>271</v>
      </c>
      <c r="C276" s="33" t="s">
        <v>281</v>
      </c>
      <c r="D276" s="14"/>
      <c r="E276" s="5"/>
      <c r="F276" s="19"/>
      <c r="G276" s="5"/>
      <c r="H276" s="15"/>
      <c r="I276" s="15">
        <f t="shared" si="9"/>
        <v>0</v>
      </c>
    </row>
    <row r="277" spans="2:9" ht="15.75" x14ac:dyDescent="0.25">
      <c r="B277" s="38">
        <v>272</v>
      </c>
      <c r="C277" s="33" t="s">
        <v>422</v>
      </c>
      <c r="D277" s="14"/>
      <c r="E277" s="5"/>
      <c r="F277" s="19">
        <f>9.24</f>
        <v>9.24</v>
      </c>
      <c r="G277" s="5"/>
      <c r="H277" s="15">
        <v>220</v>
      </c>
      <c r="I277" s="15">
        <f t="shared" si="9"/>
        <v>2032.8</v>
      </c>
    </row>
    <row r="278" spans="2:9" ht="15.75" x14ac:dyDescent="0.25">
      <c r="B278" s="38">
        <v>273</v>
      </c>
      <c r="C278" s="33" t="s">
        <v>341</v>
      </c>
      <c r="D278" s="14"/>
      <c r="E278" s="5"/>
      <c r="F278" s="19">
        <f>60+15</f>
        <v>75</v>
      </c>
      <c r="G278" s="5"/>
      <c r="H278" s="15">
        <v>140</v>
      </c>
      <c r="I278" s="15">
        <f t="shared" si="9"/>
        <v>10500</v>
      </c>
    </row>
    <row r="279" spans="2:9" ht="15.75" x14ac:dyDescent="0.25">
      <c r="B279" s="38">
        <v>274</v>
      </c>
      <c r="C279" s="33" t="s">
        <v>71</v>
      </c>
      <c r="D279" s="14"/>
      <c r="E279" s="5"/>
      <c r="F279" s="19"/>
      <c r="G279" s="5"/>
      <c r="H279" s="15"/>
      <c r="I279" s="15">
        <f t="shared" si="9"/>
        <v>0</v>
      </c>
    </row>
    <row r="280" spans="2:9" ht="15.75" x14ac:dyDescent="0.25">
      <c r="B280" s="38">
        <v>275</v>
      </c>
      <c r="C280" s="33" t="s">
        <v>365</v>
      </c>
      <c r="D280" s="14"/>
      <c r="E280" s="5"/>
      <c r="F280" s="19">
        <f>9.5</f>
        <v>9.5</v>
      </c>
      <c r="G280" s="5"/>
      <c r="H280" s="15">
        <v>125</v>
      </c>
      <c r="I280" s="15">
        <f t="shared" si="9"/>
        <v>1187.5</v>
      </c>
    </row>
    <row r="281" spans="2:9" ht="15.75" x14ac:dyDescent="0.25">
      <c r="B281" s="38">
        <v>276</v>
      </c>
      <c r="C281" s="33" t="s">
        <v>282</v>
      </c>
      <c r="D281" s="14"/>
      <c r="E281" s="5"/>
      <c r="F281" s="19"/>
      <c r="G281" s="5"/>
      <c r="H281" s="15"/>
      <c r="I281" s="15">
        <f t="shared" si="9"/>
        <v>0</v>
      </c>
    </row>
    <row r="282" spans="2:9" ht="15.75" x14ac:dyDescent="0.25">
      <c r="B282" s="38">
        <v>277</v>
      </c>
      <c r="C282" s="33" t="s">
        <v>283</v>
      </c>
      <c r="D282" s="14"/>
      <c r="E282" s="5"/>
      <c r="F282" s="19">
        <f>60+15</f>
        <v>75</v>
      </c>
      <c r="G282" s="5"/>
      <c r="H282" s="15">
        <v>115</v>
      </c>
      <c r="I282" s="15">
        <f t="shared" si="9"/>
        <v>8625</v>
      </c>
    </row>
    <row r="283" spans="2:9" ht="15.75" x14ac:dyDescent="0.25">
      <c r="B283" s="38">
        <v>278</v>
      </c>
      <c r="C283" s="33" t="s">
        <v>284</v>
      </c>
      <c r="D283" s="14"/>
      <c r="E283" s="5"/>
      <c r="F283" s="19">
        <v>2</v>
      </c>
      <c r="G283" s="5"/>
      <c r="H283" s="15">
        <v>65</v>
      </c>
      <c r="I283" s="15">
        <f t="shared" ref="I283:I346" si="11">F283*H283</f>
        <v>130</v>
      </c>
    </row>
    <row r="284" spans="2:9" ht="15.75" x14ac:dyDescent="0.25">
      <c r="B284" s="38">
        <v>279</v>
      </c>
      <c r="C284" s="33" t="s">
        <v>209</v>
      </c>
      <c r="D284" s="14"/>
      <c r="E284" s="5"/>
      <c r="F284" s="19"/>
      <c r="G284" s="5"/>
      <c r="H284" s="15"/>
      <c r="I284" s="15">
        <f t="shared" si="11"/>
        <v>0</v>
      </c>
    </row>
    <row r="285" spans="2:9" ht="15.75" x14ac:dyDescent="0.25">
      <c r="B285" s="38">
        <v>280</v>
      </c>
      <c r="C285" s="33" t="s">
        <v>364</v>
      </c>
      <c r="D285" s="14"/>
      <c r="E285" s="5"/>
      <c r="F285" s="19">
        <f>77.5</f>
        <v>77.5</v>
      </c>
      <c r="G285" s="5"/>
      <c r="H285" s="15">
        <v>110</v>
      </c>
      <c r="I285" s="15">
        <f t="shared" si="11"/>
        <v>8525</v>
      </c>
    </row>
    <row r="286" spans="2:9" ht="15.75" x14ac:dyDescent="0.25">
      <c r="B286" s="38">
        <v>281</v>
      </c>
      <c r="C286" s="33" t="s">
        <v>219</v>
      </c>
      <c r="D286" s="14"/>
      <c r="E286" s="5"/>
      <c r="F286" s="19">
        <f>89.8+15.9</f>
        <v>105.7</v>
      </c>
      <c r="G286" s="5"/>
      <c r="H286" s="15">
        <v>62</v>
      </c>
      <c r="I286" s="15">
        <f t="shared" si="11"/>
        <v>6553.4000000000005</v>
      </c>
    </row>
    <row r="287" spans="2:9" ht="15.75" x14ac:dyDescent="0.25">
      <c r="B287" s="38">
        <v>282</v>
      </c>
      <c r="C287" s="33" t="s">
        <v>414</v>
      </c>
      <c r="D287" s="14"/>
      <c r="E287" s="5"/>
      <c r="F287" s="19">
        <f>14+1.2</f>
        <v>15.2</v>
      </c>
      <c r="G287" s="5"/>
      <c r="H287" s="15">
        <v>442</v>
      </c>
      <c r="I287" s="15">
        <f t="shared" si="11"/>
        <v>6718.4</v>
      </c>
    </row>
    <row r="288" spans="2:9" ht="15.75" x14ac:dyDescent="0.25">
      <c r="B288" s="38">
        <v>283</v>
      </c>
      <c r="C288" s="33" t="s">
        <v>178</v>
      </c>
      <c r="D288" s="14"/>
      <c r="E288" s="5"/>
      <c r="F288" s="19">
        <f>96.18+5.6+71.79</f>
        <v>173.57</v>
      </c>
      <c r="G288" s="5"/>
      <c r="H288" s="15">
        <v>204</v>
      </c>
      <c r="I288" s="15">
        <f t="shared" si="11"/>
        <v>35408.28</v>
      </c>
    </row>
    <row r="289" spans="2:9" ht="15.75" x14ac:dyDescent="0.25">
      <c r="B289" s="38">
        <v>284</v>
      </c>
      <c r="C289" s="33" t="s">
        <v>285</v>
      </c>
      <c r="D289" s="14"/>
      <c r="E289" s="5"/>
      <c r="F289" s="19"/>
      <c r="G289" s="5"/>
      <c r="H289" s="15"/>
      <c r="I289" s="15">
        <f t="shared" si="11"/>
        <v>0</v>
      </c>
    </row>
    <row r="290" spans="2:9" ht="15.75" x14ac:dyDescent="0.25">
      <c r="B290" s="38">
        <v>285</v>
      </c>
      <c r="C290" s="33" t="s">
        <v>286</v>
      </c>
      <c r="D290" s="14"/>
      <c r="E290" s="5"/>
      <c r="F290" s="19">
        <f>16+3+108</f>
        <v>127</v>
      </c>
      <c r="G290" s="5"/>
      <c r="H290" s="15">
        <v>138</v>
      </c>
      <c r="I290" s="15">
        <f t="shared" si="11"/>
        <v>17526</v>
      </c>
    </row>
    <row r="291" spans="2:9" ht="15.75" x14ac:dyDescent="0.25">
      <c r="B291" s="38">
        <v>286</v>
      </c>
      <c r="C291" s="33" t="s">
        <v>287</v>
      </c>
      <c r="D291" s="14"/>
      <c r="E291" s="5"/>
      <c r="F291" s="19"/>
      <c r="G291" s="5"/>
      <c r="H291" s="15"/>
      <c r="I291" s="15">
        <f t="shared" si="11"/>
        <v>0</v>
      </c>
    </row>
    <row r="292" spans="2:9" ht="15.75" x14ac:dyDescent="0.25">
      <c r="B292" s="38">
        <v>287</v>
      </c>
      <c r="C292" s="33" t="s">
        <v>228</v>
      </c>
      <c r="D292" s="14"/>
      <c r="E292" s="5"/>
      <c r="F292" s="19">
        <f>326.64+49.5</f>
        <v>376.14</v>
      </c>
      <c r="G292" s="5"/>
      <c r="H292" s="15">
        <v>106</v>
      </c>
      <c r="I292" s="15">
        <f t="shared" si="11"/>
        <v>39870.839999999997</v>
      </c>
    </row>
    <row r="293" spans="2:9" ht="15.75" x14ac:dyDescent="0.25">
      <c r="B293" s="38">
        <v>288</v>
      </c>
      <c r="C293" s="33" t="s">
        <v>267</v>
      </c>
      <c r="D293" s="14"/>
      <c r="E293" s="5"/>
      <c r="F293" s="19"/>
      <c r="G293" s="5"/>
      <c r="H293" s="15"/>
      <c r="I293" s="15">
        <f t="shared" si="11"/>
        <v>0</v>
      </c>
    </row>
    <row r="294" spans="2:9" ht="15.75" x14ac:dyDescent="0.25">
      <c r="B294" s="38">
        <v>289</v>
      </c>
      <c r="C294" s="33" t="s">
        <v>237</v>
      </c>
      <c r="D294" s="14"/>
      <c r="E294" s="5"/>
      <c r="F294" s="19">
        <f>15.5+40</f>
        <v>55.5</v>
      </c>
      <c r="G294" s="5"/>
      <c r="H294" s="15">
        <v>90</v>
      </c>
      <c r="I294" s="15">
        <f t="shared" si="11"/>
        <v>4995</v>
      </c>
    </row>
    <row r="295" spans="2:9" ht="15.75" x14ac:dyDescent="0.25">
      <c r="B295" s="38">
        <v>290</v>
      </c>
      <c r="C295" s="33" t="s">
        <v>288</v>
      </c>
      <c r="D295" s="14"/>
      <c r="E295" s="5"/>
      <c r="F295" s="19"/>
      <c r="G295" s="5"/>
      <c r="H295" s="15"/>
      <c r="I295" s="15">
        <f t="shared" si="11"/>
        <v>0</v>
      </c>
    </row>
    <row r="296" spans="2:9" ht="15.75" x14ac:dyDescent="0.25">
      <c r="B296" s="38">
        <v>291</v>
      </c>
      <c r="C296" s="33" t="s">
        <v>235</v>
      </c>
      <c r="D296" s="14"/>
      <c r="E296" s="5"/>
      <c r="F296" s="19"/>
      <c r="G296" s="5"/>
      <c r="H296" s="15"/>
      <c r="I296" s="15">
        <f t="shared" si="11"/>
        <v>0</v>
      </c>
    </row>
    <row r="297" spans="2:9" ht="15.75" x14ac:dyDescent="0.25">
      <c r="B297" s="38">
        <v>292</v>
      </c>
      <c r="C297" s="33" t="s">
        <v>289</v>
      </c>
      <c r="D297" s="14"/>
      <c r="E297" s="5"/>
      <c r="F297" s="19">
        <f>6.88</f>
        <v>6.88</v>
      </c>
      <c r="G297" s="5"/>
      <c r="H297" s="15"/>
      <c r="I297" s="15">
        <f t="shared" si="11"/>
        <v>0</v>
      </c>
    </row>
    <row r="298" spans="2:9" ht="15.75" x14ac:dyDescent="0.25">
      <c r="B298" s="38">
        <v>293</v>
      </c>
      <c r="C298" s="33" t="s">
        <v>234</v>
      </c>
      <c r="D298" s="14"/>
      <c r="E298" s="5"/>
      <c r="F298" s="19"/>
      <c r="G298" s="5"/>
      <c r="H298" s="15"/>
      <c r="I298" s="15">
        <f t="shared" si="11"/>
        <v>0</v>
      </c>
    </row>
    <row r="299" spans="2:9" ht="15.75" x14ac:dyDescent="0.25">
      <c r="B299" s="38">
        <v>294</v>
      </c>
      <c r="C299" s="33" t="s">
        <v>255</v>
      </c>
      <c r="D299" s="14"/>
      <c r="E299" s="5"/>
      <c r="F299" s="19"/>
      <c r="G299" s="5"/>
      <c r="H299" s="15"/>
      <c r="I299" s="15">
        <f t="shared" si="11"/>
        <v>0</v>
      </c>
    </row>
    <row r="300" spans="2:9" ht="15.75" x14ac:dyDescent="0.25">
      <c r="B300" s="38">
        <v>295</v>
      </c>
      <c r="C300" s="33" t="s">
        <v>363</v>
      </c>
      <c r="D300" s="14"/>
      <c r="E300" s="5"/>
      <c r="F300" s="19">
        <f>47+73.5+103+18.5+95</f>
        <v>337</v>
      </c>
      <c r="G300" s="5"/>
      <c r="H300" s="15">
        <v>90</v>
      </c>
      <c r="I300" s="15">
        <f t="shared" si="11"/>
        <v>30330</v>
      </c>
    </row>
    <row r="301" spans="2:9" ht="15.75" x14ac:dyDescent="0.25">
      <c r="B301" s="38">
        <v>296</v>
      </c>
      <c r="C301" s="33" t="s">
        <v>288</v>
      </c>
      <c r="D301" s="14"/>
      <c r="E301" s="5"/>
      <c r="F301" s="19">
        <f>19</f>
        <v>19</v>
      </c>
      <c r="G301" s="5"/>
      <c r="H301" s="15">
        <v>90</v>
      </c>
      <c r="I301" s="15">
        <f t="shared" si="11"/>
        <v>1710</v>
      </c>
    </row>
    <row r="302" spans="2:9" ht="15.75" x14ac:dyDescent="0.25">
      <c r="B302" s="38">
        <v>297</v>
      </c>
      <c r="C302" s="33" t="s">
        <v>228</v>
      </c>
      <c r="D302" s="14"/>
      <c r="E302" s="5"/>
      <c r="F302" s="19"/>
      <c r="G302" s="5"/>
      <c r="H302" s="15"/>
      <c r="I302" s="15">
        <f t="shared" si="11"/>
        <v>0</v>
      </c>
    </row>
    <row r="303" spans="2:9" ht="15.75" x14ac:dyDescent="0.25">
      <c r="B303" s="38">
        <v>298</v>
      </c>
      <c r="C303" s="33" t="s">
        <v>180</v>
      </c>
      <c r="D303" s="14"/>
      <c r="E303" s="5"/>
      <c r="F303" s="19">
        <f>17.78+1.84</f>
        <v>19.62</v>
      </c>
      <c r="G303" s="5"/>
      <c r="H303" s="15">
        <v>350</v>
      </c>
      <c r="I303" s="15">
        <f t="shared" si="11"/>
        <v>6867</v>
      </c>
    </row>
    <row r="304" spans="2:9" ht="15.75" x14ac:dyDescent="0.25">
      <c r="B304" s="38">
        <v>299</v>
      </c>
      <c r="C304" s="33" t="s">
        <v>376</v>
      </c>
      <c r="D304" s="14"/>
      <c r="E304" s="5"/>
      <c r="F304" s="19">
        <f>14.5</f>
        <v>14.5</v>
      </c>
      <c r="G304" s="5"/>
      <c r="H304" s="15">
        <v>435</v>
      </c>
      <c r="I304" s="15">
        <f t="shared" si="11"/>
        <v>6307.5</v>
      </c>
    </row>
    <row r="305" spans="2:9" ht="15.75" x14ac:dyDescent="0.25">
      <c r="B305" s="38">
        <v>300</v>
      </c>
      <c r="C305" s="33" t="s">
        <v>172</v>
      </c>
      <c r="D305" s="14"/>
      <c r="E305" s="5"/>
      <c r="F305" s="19">
        <f>59.5</f>
        <v>59.5</v>
      </c>
      <c r="G305" s="5"/>
      <c r="H305" s="15">
        <v>204</v>
      </c>
      <c r="I305" s="15">
        <f t="shared" si="11"/>
        <v>12138</v>
      </c>
    </row>
    <row r="306" spans="2:9" ht="15.75" x14ac:dyDescent="0.25">
      <c r="B306" s="38">
        <v>301</v>
      </c>
      <c r="C306" s="33" t="s">
        <v>290</v>
      </c>
      <c r="D306" s="14"/>
      <c r="E306" s="5"/>
      <c r="F306" s="19">
        <f>2.6</f>
        <v>2.6</v>
      </c>
      <c r="G306" s="5"/>
      <c r="H306" s="15">
        <v>442</v>
      </c>
      <c r="I306" s="15">
        <f t="shared" si="11"/>
        <v>1149.2</v>
      </c>
    </row>
    <row r="307" spans="2:9" ht="15.75" x14ac:dyDescent="0.25">
      <c r="B307" s="38">
        <v>302</v>
      </c>
      <c r="C307" s="33" t="s">
        <v>291</v>
      </c>
      <c r="D307" s="14"/>
      <c r="E307" s="5"/>
      <c r="F307" s="19"/>
      <c r="G307" s="5"/>
      <c r="H307" s="15"/>
      <c r="I307" s="15">
        <f t="shared" si="11"/>
        <v>0</v>
      </c>
    </row>
    <row r="308" spans="2:9" ht="15.75" x14ac:dyDescent="0.25">
      <c r="B308" s="38">
        <v>303</v>
      </c>
      <c r="C308" s="33" t="s">
        <v>292</v>
      </c>
      <c r="D308" s="14"/>
      <c r="E308" s="5"/>
      <c r="F308" s="19"/>
      <c r="G308" s="5"/>
      <c r="H308" s="15"/>
      <c r="I308" s="15">
        <f t="shared" si="11"/>
        <v>0</v>
      </c>
    </row>
    <row r="309" spans="2:9" ht="15.75" x14ac:dyDescent="0.25">
      <c r="B309" s="38">
        <v>304</v>
      </c>
      <c r="C309" s="33" t="s">
        <v>293</v>
      </c>
      <c r="D309" s="14"/>
      <c r="E309" s="5"/>
      <c r="F309" s="19">
        <f>24.92+3.84</f>
        <v>28.76</v>
      </c>
      <c r="G309" s="5"/>
      <c r="H309" s="15">
        <v>198</v>
      </c>
      <c r="I309" s="15">
        <f t="shared" si="11"/>
        <v>5694.4800000000005</v>
      </c>
    </row>
    <row r="310" spans="2:9" ht="15.75" x14ac:dyDescent="0.25">
      <c r="B310" s="38">
        <v>305</v>
      </c>
      <c r="C310" s="33" t="s">
        <v>294</v>
      </c>
      <c r="D310" s="14"/>
      <c r="E310" s="5"/>
      <c r="F310" s="19">
        <f>472+30.5+22.5</f>
        <v>525</v>
      </c>
      <c r="G310" s="5"/>
      <c r="H310" s="15">
        <v>130</v>
      </c>
      <c r="I310" s="15">
        <f t="shared" si="11"/>
        <v>68250</v>
      </c>
    </row>
    <row r="311" spans="2:9" ht="15.75" x14ac:dyDescent="0.25">
      <c r="B311" s="38">
        <v>306</v>
      </c>
      <c r="C311" s="33" t="s">
        <v>295</v>
      </c>
      <c r="D311" s="14"/>
      <c r="E311" s="5"/>
      <c r="F311" s="19">
        <f>10.88</f>
        <v>10.88</v>
      </c>
      <c r="G311" s="5"/>
      <c r="H311" s="15">
        <v>184</v>
      </c>
      <c r="I311" s="15">
        <f t="shared" si="11"/>
        <v>2001.92</v>
      </c>
    </row>
    <row r="312" spans="2:9" ht="15.75" x14ac:dyDescent="0.25">
      <c r="B312" s="38">
        <v>307</v>
      </c>
      <c r="C312" s="33" t="s">
        <v>296</v>
      </c>
      <c r="D312" s="14"/>
      <c r="E312" s="5"/>
      <c r="F312" s="19">
        <f>203.5+22.5+544</f>
        <v>770</v>
      </c>
      <c r="G312" s="5"/>
      <c r="H312" s="15">
        <v>350</v>
      </c>
      <c r="I312" s="15">
        <f t="shared" si="11"/>
        <v>269500</v>
      </c>
    </row>
    <row r="313" spans="2:9" ht="15.75" x14ac:dyDescent="0.25">
      <c r="B313" s="38">
        <v>308</v>
      </c>
      <c r="C313" s="33" t="s">
        <v>277</v>
      </c>
      <c r="D313" s="14"/>
      <c r="E313" s="5"/>
      <c r="F313" s="19"/>
      <c r="G313" s="5"/>
      <c r="H313" s="15"/>
      <c r="I313" s="15">
        <f t="shared" si="11"/>
        <v>0</v>
      </c>
    </row>
    <row r="314" spans="2:9" ht="15.75" x14ac:dyDescent="0.25">
      <c r="B314" s="38">
        <v>309</v>
      </c>
      <c r="C314" s="33" t="s">
        <v>297</v>
      </c>
      <c r="D314" s="14"/>
      <c r="E314" s="5"/>
      <c r="F314" s="19">
        <f>8.16</f>
        <v>8.16</v>
      </c>
      <c r="G314" s="5"/>
      <c r="H314" s="15">
        <v>155</v>
      </c>
      <c r="I314" s="15">
        <f t="shared" si="11"/>
        <v>1264.8</v>
      </c>
    </row>
    <row r="315" spans="2:9" ht="15.75" x14ac:dyDescent="0.25">
      <c r="B315" s="38">
        <v>310</v>
      </c>
      <c r="C315" s="33" t="s">
        <v>180</v>
      </c>
      <c r="D315" s="14"/>
      <c r="E315" s="5"/>
      <c r="F315" s="19"/>
      <c r="G315" s="5"/>
      <c r="H315" s="15"/>
      <c r="I315" s="15">
        <f t="shared" si="11"/>
        <v>0</v>
      </c>
    </row>
    <row r="316" spans="2:9" ht="15.75" x14ac:dyDescent="0.25">
      <c r="B316" s="38">
        <v>311</v>
      </c>
      <c r="C316" s="33" t="s">
        <v>375</v>
      </c>
      <c r="D316" s="14"/>
      <c r="E316" s="5"/>
      <c r="F316" s="19">
        <f>558+489+206+22.5</f>
        <v>1275.5</v>
      </c>
      <c r="G316" s="5"/>
      <c r="H316" s="15">
        <v>204</v>
      </c>
      <c r="I316" s="15">
        <f t="shared" si="11"/>
        <v>260202</v>
      </c>
    </row>
    <row r="317" spans="2:9" ht="15.75" x14ac:dyDescent="0.25">
      <c r="B317" s="38">
        <v>312</v>
      </c>
      <c r="C317" s="33" t="s">
        <v>298</v>
      </c>
      <c r="D317" s="14"/>
      <c r="E317" s="5"/>
      <c r="F317" s="19"/>
      <c r="G317" s="5"/>
      <c r="H317" s="15"/>
      <c r="I317" s="15">
        <f t="shared" si="11"/>
        <v>0</v>
      </c>
    </row>
    <row r="318" spans="2:9" ht="15.75" x14ac:dyDescent="0.25">
      <c r="B318" s="38">
        <v>313</v>
      </c>
      <c r="C318" s="33" t="s">
        <v>425</v>
      </c>
      <c r="D318" s="14"/>
      <c r="E318" s="5"/>
      <c r="F318" s="19">
        <f>4.28</f>
        <v>4.28</v>
      </c>
      <c r="G318" s="5"/>
      <c r="H318" s="15">
        <v>580</v>
      </c>
      <c r="I318" s="15">
        <f t="shared" si="11"/>
        <v>2482.4</v>
      </c>
    </row>
    <row r="319" spans="2:9" ht="15.75" x14ac:dyDescent="0.25">
      <c r="B319" s="38">
        <v>314</v>
      </c>
      <c r="C319" s="33" t="s">
        <v>299</v>
      </c>
      <c r="D319" s="14"/>
      <c r="E319" s="5"/>
      <c r="F319" s="19">
        <f>0.64</f>
        <v>0.64</v>
      </c>
      <c r="G319" s="5"/>
      <c r="H319" s="15">
        <v>850</v>
      </c>
      <c r="I319" s="15">
        <f t="shared" si="11"/>
        <v>544</v>
      </c>
    </row>
    <row r="320" spans="2:9" ht="15.75" x14ac:dyDescent="0.25">
      <c r="B320" s="38">
        <v>315</v>
      </c>
      <c r="C320" s="33" t="s">
        <v>423</v>
      </c>
      <c r="D320" s="14"/>
      <c r="E320" s="5"/>
      <c r="F320" s="19">
        <f>1.36</f>
        <v>1.36</v>
      </c>
      <c r="G320" s="5"/>
      <c r="H320" s="15">
        <v>900</v>
      </c>
      <c r="I320" s="15">
        <f t="shared" si="11"/>
        <v>1224</v>
      </c>
    </row>
    <row r="321" spans="2:9" ht="15.75" x14ac:dyDescent="0.25">
      <c r="B321" s="38">
        <v>316</v>
      </c>
      <c r="C321" s="33" t="s">
        <v>300</v>
      </c>
      <c r="D321" s="14"/>
      <c r="E321" s="5"/>
      <c r="F321" s="19">
        <f>523.5</f>
        <v>523.5</v>
      </c>
      <c r="G321" s="5"/>
      <c r="H321" s="15">
        <v>204</v>
      </c>
      <c r="I321" s="15">
        <f t="shared" si="11"/>
        <v>106794</v>
      </c>
    </row>
    <row r="322" spans="2:9" ht="15.75" x14ac:dyDescent="0.25">
      <c r="B322" s="38">
        <v>317</v>
      </c>
      <c r="C322" s="33" t="s">
        <v>290</v>
      </c>
      <c r="D322" s="14"/>
      <c r="E322" s="5"/>
      <c r="F322" s="19"/>
      <c r="G322" s="5"/>
      <c r="H322" s="15"/>
      <c r="I322" s="15">
        <f t="shared" si="11"/>
        <v>0</v>
      </c>
    </row>
    <row r="323" spans="2:9" ht="15.75" x14ac:dyDescent="0.25">
      <c r="B323" s="38">
        <v>318</v>
      </c>
      <c r="C323" s="33" t="s">
        <v>301</v>
      </c>
      <c r="D323" s="14"/>
      <c r="E323" s="5"/>
      <c r="F323" s="19">
        <f>166.5+3.6</f>
        <v>170.1</v>
      </c>
      <c r="G323" s="5"/>
      <c r="H323" s="15">
        <v>5204</v>
      </c>
      <c r="I323" s="15">
        <f t="shared" si="11"/>
        <v>885200.4</v>
      </c>
    </row>
    <row r="324" spans="2:9" ht="15.75" x14ac:dyDescent="0.25">
      <c r="B324" s="38">
        <v>319</v>
      </c>
      <c r="C324" s="33" t="s">
        <v>302</v>
      </c>
      <c r="D324" s="14"/>
      <c r="E324" s="5"/>
      <c r="F324" s="19">
        <f>36.5+0.746+3.62</f>
        <v>40.866</v>
      </c>
      <c r="G324" s="5"/>
      <c r="H324" s="15">
        <v>220</v>
      </c>
      <c r="I324" s="15">
        <f t="shared" si="11"/>
        <v>8990.52</v>
      </c>
    </row>
    <row r="325" spans="2:9" ht="15.75" x14ac:dyDescent="0.25">
      <c r="B325" s="38">
        <v>320</v>
      </c>
      <c r="C325" s="33" t="s">
        <v>303</v>
      </c>
      <c r="D325" s="14"/>
      <c r="E325" s="5"/>
      <c r="F325" s="19"/>
      <c r="G325" s="5"/>
      <c r="H325" s="15"/>
      <c r="I325" s="15">
        <f t="shared" si="11"/>
        <v>0</v>
      </c>
    </row>
    <row r="326" spans="2:9" ht="15.75" x14ac:dyDescent="0.25">
      <c r="B326" s="38">
        <v>321</v>
      </c>
      <c r="C326" s="33" t="s">
        <v>304</v>
      </c>
      <c r="D326" s="14"/>
      <c r="E326" s="5"/>
      <c r="F326" s="19"/>
      <c r="G326" s="5"/>
      <c r="H326" s="15"/>
      <c r="I326" s="15">
        <f t="shared" si="11"/>
        <v>0</v>
      </c>
    </row>
    <row r="327" spans="2:9" ht="15.75" x14ac:dyDescent="0.25">
      <c r="B327" s="38">
        <v>322</v>
      </c>
      <c r="C327" s="33" t="s">
        <v>305</v>
      </c>
      <c r="D327" s="14"/>
      <c r="E327" s="5"/>
      <c r="F327" s="19"/>
      <c r="G327" s="5"/>
      <c r="H327" s="15"/>
      <c r="I327" s="15">
        <f t="shared" si="11"/>
        <v>0</v>
      </c>
    </row>
    <row r="328" spans="2:9" ht="15.75" x14ac:dyDescent="0.25">
      <c r="B328" s="38">
        <v>323</v>
      </c>
      <c r="C328" s="33" t="s">
        <v>306</v>
      </c>
      <c r="D328" s="14"/>
      <c r="E328" s="5"/>
      <c r="F328" s="19"/>
      <c r="G328" s="5"/>
      <c r="H328" s="15"/>
      <c r="I328" s="15">
        <f t="shared" si="11"/>
        <v>0</v>
      </c>
    </row>
    <row r="329" spans="2:9" ht="15.75" x14ac:dyDescent="0.25">
      <c r="B329" s="38">
        <v>324</v>
      </c>
      <c r="C329" s="33" t="s">
        <v>307</v>
      </c>
      <c r="D329" s="14"/>
      <c r="E329" s="5"/>
      <c r="F329" s="19"/>
      <c r="G329" s="5"/>
      <c r="H329" s="15"/>
      <c r="I329" s="15">
        <f t="shared" si="11"/>
        <v>0</v>
      </c>
    </row>
    <row r="330" spans="2:9" ht="15.75" x14ac:dyDescent="0.25">
      <c r="B330" s="38">
        <v>325</v>
      </c>
      <c r="C330" s="33" t="s">
        <v>306</v>
      </c>
      <c r="D330" s="14"/>
      <c r="E330" s="5"/>
      <c r="F330" s="19"/>
      <c r="G330" s="5"/>
      <c r="H330" s="15"/>
      <c r="I330" s="15">
        <f t="shared" si="11"/>
        <v>0</v>
      </c>
    </row>
    <row r="331" spans="2:9" ht="15.75" x14ac:dyDescent="0.25">
      <c r="B331" s="38">
        <v>326</v>
      </c>
      <c r="C331" s="33" t="s">
        <v>178</v>
      </c>
      <c r="D331" s="14"/>
      <c r="E331" s="5"/>
      <c r="F331" s="19"/>
      <c r="G331" s="5"/>
      <c r="H331" s="15"/>
      <c r="I331" s="15">
        <f t="shared" si="11"/>
        <v>0</v>
      </c>
    </row>
    <row r="332" spans="2:9" ht="15.75" x14ac:dyDescent="0.25">
      <c r="B332" s="38">
        <v>327</v>
      </c>
      <c r="C332" s="33" t="s">
        <v>308</v>
      </c>
      <c r="D332" s="14"/>
      <c r="E332" s="5"/>
      <c r="F332" s="19">
        <f>7.48</f>
        <v>7.48</v>
      </c>
      <c r="G332" s="5"/>
      <c r="H332" s="15">
        <v>430</v>
      </c>
      <c r="I332" s="15">
        <f t="shared" si="11"/>
        <v>3216.4</v>
      </c>
    </row>
    <row r="333" spans="2:9" ht="15.75" x14ac:dyDescent="0.25">
      <c r="B333" s="38">
        <v>328</v>
      </c>
      <c r="C333" s="33" t="s">
        <v>291</v>
      </c>
      <c r="D333" s="14"/>
      <c r="E333" s="5"/>
      <c r="F333" s="19"/>
      <c r="G333" s="5"/>
      <c r="H333" s="15"/>
      <c r="I333" s="15">
        <f t="shared" si="11"/>
        <v>0</v>
      </c>
    </row>
    <row r="334" spans="2:9" ht="15.75" x14ac:dyDescent="0.25">
      <c r="B334" s="38">
        <v>329</v>
      </c>
      <c r="C334" s="33" t="s">
        <v>309</v>
      </c>
      <c r="D334" s="14"/>
      <c r="E334" s="5"/>
      <c r="F334" s="19"/>
      <c r="G334" s="5"/>
      <c r="H334" s="15"/>
      <c r="I334" s="15">
        <f t="shared" si="11"/>
        <v>0</v>
      </c>
    </row>
    <row r="335" spans="2:9" ht="15.75" x14ac:dyDescent="0.25">
      <c r="B335" s="38">
        <v>330</v>
      </c>
      <c r="C335" s="33" t="s">
        <v>187</v>
      </c>
      <c r="D335" s="14"/>
      <c r="E335" s="5"/>
      <c r="F335" s="19"/>
      <c r="G335" s="5"/>
      <c r="H335" s="15"/>
      <c r="I335" s="15">
        <f t="shared" si="11"/>
        <v>0</v>
      </c>
    </row>
    <row r="336" spans="2:9" ht="15.75" x14ac:dyDescent="0.25">
      <c r="B336" s="38">
        <v>331</v>
      </c>
      <c r="C336" s="33" t="s">
        <v>310</v>
      </c>
      <c r="D336" s="14"/>
      <c r="E336" s="5"/>
      <c r="F336" s="19"/>
      <c r="G336" s="5"/>
      <c r="H336" s="15"/>
      <c r="I336" s="15">
        <f t="shared" si="11"/>
        <v>0</v>
      </c>
    </row>
    <row r="337" spans="2:9" ht="15.75" x14ac:dyDescent="0.25">
      <c r="B337" s="38">
        <v>332</v>
      </c>
      <c r="C337" s="33" t="s">
        <v>316</v>
      </c>
      <c r="D337" s="14"/>
      <c r="E337" s="5"/>
      <c r="F337" s="19">
        <f>4+13</f>
        <v>17</v>
      </c>
      <c r="G337" s="5"/>
      <c r="H337" s="15">
        <v>30</v>
      </c>
      <c r="I337" s="15">
        <f t="shared" si="11"/>
        <v>510</v>
      </c>
    </row>
    <row r="338" spans="2:9" ht="15.75" x14ac:dyDescent="0.25">
      <c r="B338" s="38">
        <v>333</v>
      </c>
      <c r="C338" s="33" t="s">
        <v>317</v>
      </c>
      <c r="D338" s="14"/>
      <c r="E338" s="5"/>
      <c r="F338" s="19">
        <f>7+23+12</f>
        <v>42</v>
      </c>
      <c r="G338" s="5"/>
      <c r="H338" s="15">
        <v>23</v>
      </c>
      <c r="I338" s="15">
        <f t="shared" si="11"/>
        <v>966</v>
      </c>
    </row>
    <row r="339" spans="2:9" ht="15.75" x14ac:dyDescent="0.25">
      <c r="B339" s="38">
        <v>334</v>
      </c>
      <c r="C339" s="33" t="s">
        <v>318</v>
      </c>
      <c r="D339" s="14"/>
      <c r="E339" s="5"/>
      <c r="F339" s="19">
        <f>2</f>
        <v>2</v>
      </c>
      <c r="G339" s="5"/>
      <c r="H339" s="15">
        <v>18</v>
      </c>
      <c r="I339" s="15">
        <f t="shared" si="11"/>
        <v>36</v>
      </c>
    </row>
    <row r="340" spans="2:9" ht="15.75" x14ac:dyDescent="0.25">
      <c r="B340" s="38">
        <v>335</v>
      </c>
      <c r="C340" s="33" t="s">
        <v>186</v>
      </c>
      <c r="D340" s="14"/>
      <c r="E340" s="5"/>
      <c r="F340" s="19"/>
      <c r="G340" s="5"/>
      <c r="H340" s="15"/>
      <c r="I340" s="15">
        <f t="shared" si="11"/>
        <v>0</v>
      </c>
    </row>
    <row r="341" spans="2:9" ht="15.75" x14ac:dyDescent="0.25">
      <c r="B341" s="38">
        <v>336</v>
      </c>
      <c r="C341" s="33" t="s">
        <v>319</v>
      </c>
      <c r="D341" s="14"/>
      <c r="E341" s="5"/>
      <c r="F341" s="19"/>
      <c r="G341" s="5"/>
      <c r="H341" s="15"/>
      <c r="I341" s="15">
        <f t="shared" si="11"/>
        <v>0</v>
      </c>
    </row>
    <row r="342" spans="2:9" ht="15.75" x14ac:dyDescent="0.25">
      <c r="B342" s="38">
        <v>337</v>
      </c>
      <c r="C342" s="33" t="s">
        <v>320</v>
      </c>
      <c r="D342" s="14"/>
      <c r="E342" s="5"/>
      <c r="F342" s="19"/>
      <c r="G342" s="5"/>
      <c r="H342" s="15"/>
      <c r="I342" s="15">
        <f t="shared" si="11"/>
        <v>0</v>
      </c>
    </row>
    <row r="343" spans="2:9" ht="15.75" x14ac:dyDescent="0.25">
      <c r="B343" s="38">
        <v>338</v>
      </c>
      <c r="C343" s="33" t="s">
        <v>321</v>
      </c>
      <c r="D343" s="14"/>
      <c r="E343" s="5"/>
      <c r="F343" s="19"/>
      <c r="G343" s="5"/>
      <c r="H343" s="15"/>
      <c r="I343" s="15">
        <f t="shared" si="11"/>
        <v>0</v>
      </c>
    </row>
    <row r="344" spans="2:9" ht="15.75" x14ac:dyDescent="0.25">
      <c r="B344" s="38">
        <v>339</v>
      </c>
      <c r="C344" s="33" t="s">
        <v>322</v>
      </c>
      <c r="D344" s="14"/>
      <c r="E344" s="5"/>
      <c r="F344" s="19"/>
      <c r="G344" s="5"/>
      <c r="H344" s="15"/>
      <c r="I344" s="15">
        <f t="shared" si="11"/>
        <v>0</v>
      </c>
    </row>
    <row r="345" spans="2:9" ht="15.75" x14ac:dyDescent="0.25">
      <c r="B345" s="38">
        <v>340</v>
      </c>
      <c r="C345" s="33" t="s">
        <v>323</v>
      </c>
      <c r="D345" s="14"/>
      <c r="E345" s="5"/>
      <c r="F345" s="19"/>
      <c r="G345" s="5"/>
      <c r="H345" s="15"/>
      <c r="I345" s="15">
        <f t="shared" si="11"/>
        <v>0</v>
      </c>
    </row>
    <row r="346" spans="2:9" ht="15.75" x14ac:dyDescent="0.25">
      <c r="B346" s="38">
        <v>341</v>
      </c>
      <c r="C346" s="33" t="s">
        <v>324</v>
      </c>
      <c r="D346" s="14"/>
      <c r="E346" s="5"/>
      <c r="F346" s="19"/>
      <c r="G346" s="5"/>
      <c r="H346" s="15"/>
      <c r="I346" s="15">
        <f t="shared" si="11"/>
        <v>0</v>
      </c>
    </row>
    <row r="347" spans="2:9" ht="15.75" x14ac:dyDescent="0.25">
      <c r="B347" s="38">
        <v>342</v>
      </c>
      <c r="C347" s="33" t="s">
        <v>325</v>
      </c>
      <c r="D347" s="14"/>
      <c r="E347" s="5"/>
      <c r="F347" s="19">
        <f>68+2+3</f>
        <v>73</v>
      </c>
      <c r="G347" s="5"/>
      <c r="H347" s="15">
        <v>28</v>
      </c>
      <c r="I347" s="15">
        <f t="shared" ref="I347:I410" si="12">F347*H347</f>
        <v>2044</v>
      </c>
    </row>
    <row r="348" spans="2:9" ht="15.75" x14ac:dyDescent="0.25">
      <c r="B348" s="38">
        <v>343</v>
      </c>
      <c r="C348" s="33" t="s">
        <v>326</v>
      </c>
      <c r="D348" s="14"/>
      <c r="E348" s="5"/>
      <c r="F348" s="19"/>
      <c r="G348" s="5"/>
      <c r="H348" s="15"/>
      <c r="I348" s="15">
        <f t="shared" si="12"/>
        <v>0</v>
      </c>
    </row>
    <row r="349" spans="2:9" ht="15.75" x14ac:dyDescent="0.25">
      <c r="B349" s="38">
        <v>344</v>
      </c>
      <c r="C349" s="33" t="s">
        <v>404</v>
      </c>
      <c r="D349" s="14"/>
      <c r="E349" s="5"/>
      <c r="F349" s="19">
        <f>2+1</f>
        <v>3</v>
      </c>
      <c r="G349" s="5"/>
      <c r="H349" s="15">
        <v>88</v>
      </c>
      <c r="I349" s="15">
        <f t="shared" si="12"/>
        <v>264</v>
      </c>
    </row>
    <row r="350" spans="2:9" ht="15.75" x14ac:dyDescent="0.25">
      <c r="B350" s="38">
        <v>345</v>
      </c>
      <c r="C350" s="33" t="s">
        <v>372</v>
      </c>
      <c r="D350" s="14"/>
      <c r="E350" s="5"/>
      <c r="F350" s="19">
        <v>3</v>
      </c>
      <c r="G350" s="5"/>
      <c r="H350" s="15">
        <v>98</v>
      </c>
      <c r="I350" s="15">
        <f t="shared" si="12"/>
        <v>294</v>
      </c>
    </row>
    <row r="351" spans="2:9" ht="15.75" x14ac:dyDescent="0.25">
      <c r="B351" s="38">
        <v>346</v>
      </c>
      <c r="C351" s="33" t="s">
        <v>373</v>
      </c>
      <c r="D351" s="14"/>
      <c r="E351" s="5"/>
      <c r="F351" s="19">
        <v>5</v>
      </c>
      <c r="G351" s="5"/>
      <c r="H351" s="15">
        <v>98</v>
      </c>
      <c r="I351" s="15">
        <f t="shared" si="12"/>
        <v>490</v>
      </c>
    </row>
    <row r="352" spans="2:9" ht="15.75" x14ac:dyDescent="0.25">
      <c r="B352" s="38">
        <v>347</v>
      </c>
      <c r="C352" s="33" t="s">
        <v>409</v>
      </c>
      <c r="D352" s="14"/>
      <c r="E352" s="5"/>
      <c r="F352" s="19">
        <v>5</v>
      </c>
      <c r="G352" s="5"/>
      <c r="H352" s="15">
        <v>95</v>
      </c>
      <c r="I352" s="15">
        <f t="shared" si="12"/>
        <v>475</v>
      </c>
    </row>
    <row r="353" spans="2:9" ht="15.75" x14ac:dyDescent="0.25">
      <c r="B353" s="38">
        <v>348</v>
      </c>
      <c r="C353" s="33" t="s">
        <v>406</v>
      </c>
      <c r="D353" s="14"/>
      <c r="E353" s="5"/>
      <c r="F353" s="19">
        <v>3</v>
      </c>
      <c r="G353" s="5"/>
      <c r="H353" s="15">
        <v>60</v>
      </c>
      <c r="I353" s="15">
        <f t="shared" si="12"/>
        <v>180</v>
      </c>
    </row>
    <row r="354" spans="2:9" ht="15.75" x14ac:dyDescent="0.25">
      <c r="B354" s="38">
        <v>349</v>
      </c>
      <c r="C354" s="33" t="s">
        <v>361</v>
      </c>
      <c r="D354" s="14"/>
      <c r="E354" s="5"/>
      <c r="F354" s="19"/>
      <c r="G354" s="5"/>
      <c r="H354" s="15"/>
      <c r="I354" s="15">
        <f t="shared" si="12"/>
        <v>0</v>
      </c>
    </row>
    <row r="355" spans="2:9" ht="15.75" x14ac:dyDescent="0.25">
      <c r="B355" s="38">
        <v>350</v>
      </c>
      <c r="C355" s="33" t="s">
        <v>403</v>
      </c>
      <c r="D355" s="14"/>
      <c r="E355" s="5"/>
      <c r="F355" s="19">
        <v>2</v>
      </c>
      <c r="G355" s="5"/>
      <c r="H355" s="15">
        <v>98</v>
      </c>
      <c r="I355" s="15">
        <f t="shared" si="12"/>
        <v>196</v>
      </c>
    </row>
    <row r="356" spans="2:9" ht="15.75" x14ac:dyDescent="0.25">
      <c r="B356" s="38">
        <v>351</v>
      </c>
      <c r="C356" s="33" t="s">
        <v>327</v>
      </c>
      <c r="D356" s="14"/>
      <c r="E356" s="5"/>
      <c r="F356" s="19"/>
      <c r="G356" s="5"/>
      <c r="H356" s="15"/>
      <c r="I356" s="15">
        <f t="shared" si="12"/>
        <v>0</v>
      </c>
    </row>
    <row r="357" spans="2:9" ht="15.75" x14ac:dyDescent="0.25">
      <c r="B357" s="38">
        <v>352</v>
      </c>
      <c r="C357" s="33" t="s">
        <v>328</v>
      </c>
      <c r="D357" s="14"/>
      <c r="E357" s="5"/>
      <c r="F357" s="19"/>
      <c r="G357" s="5"/>
      <c r="H357" s="15"/>
      <c r="I357" s="15">
        <f t="shared" si="12"/>
        <v>0</v>
      </c>
    </row>
    <row r="358" spans="2:9" ht="15.75" x14ac:dyDescent="0.25">
      <c r="B358" s="38">
        <v>353</v>
      </c>
      <c r="C358" s="33" t="s">
        <v>329</v>
      </c>
      <c r="D358" s="14"/>
      <c r="E358" s="5"/>
      <c r="F358" s="19">
        <f>3</f>
        <v>3</v>
      </c>
      <c r="G358" s="5"/>
      <c r="H358" s="15">
        <v>60</v>
      </c>
      <c r="I358" s="15">
        <f t="shared" si="12"/>
        <v>180</v>
      </c>
    </row>
    <row r="359" spans="2:9" ht="15.75" x14ac:dyDescent="0.25">
      <c r="B359" s="38">
        <v>354</v>
      </c>
      <c r="C359" s="33" t="s">
        <v>330</v>
      </c>
      <c r="D359" s="14"/>
      <c r="E359" s="5"/>
      <c r="F359" s="19"/>
      <c r="G359" s="5"/>
      <c r="H359" s="15"/>
      <c r="I359" s="15">
        <f t="shared" si="12"/>
        <v>0</v>
      </c>
    </row>
    <row r="360" spans="2:9" ht="15.75" x14ac:dyDescent="0.25">
      <c r="B360" s="38">
        <v>355</v>
      </c>
      <c r="C360" s="33" t="s">
        <v>331</v>
      </c>
      <c r="D360" s="14"/>
      <c r="E360" s="5"/>
      <c r="F360" s="19"/>
      <c r="G360" s="5"/>
      <c r="H360" s="15"/>
      <c r="I360" s="15">
        <f t="shared" si="12"/>
        <v>0</v>
      </c>
    </row>
    <row r="361" spans="2:9" ht="15.75" x14ac:dyDescent="0.25">
      <c r="B361" s="38">
        <v>356</v>
      </c>
      <c r="C361" s="33" t="s">
        <v>410</v>
      </c>
      <c r="D361" s="14"/>
      <c r="E361" s="5"/>
      <c r="F361" s="19">
        <v>5</v>
      </c>
      <c r="G361" s="5"/>
      <c r="H361" s="15">
        <v>60</v>
      </c>
      <c r="I361" s="15">
        <f t="shared" si="12"/>
        <v>300</v>
      </c>
    </row>
    <row r="362" spans="2:9" ht="15.75" x14ac:dyDescent="0.25">
      <c r="B362" s="38">
        <v>357</v>
      </c>
      <c r="C362" s="33" t="s">
        <v>332</v>
      </c>
      <c r="D362" s="14"/>
      <c r="E362" s="5"/>
      <c r="F362" s="19">
        <v>2</v>
      </c>
      <c r="G362" s="5"/>
      <c r="H362" s="15">
        <v>78</v>
      </c>
      <c r="I362" s="15">
        <f t="shared" si="12"/>
        <v>156</v>
      </c>
    </row>
    <row r="363" spans="2:9" ht="15.75" x14ac:dyDescent="0.25">
      <c r="B363" s="38">
        <v>358</v>
      </c>
      <c r="C363" s="33" t="s">
        <v>374</v>
      </c>
      <c r="D363" s="14"/>
      <c r="E363" s="5"/>
      <c r="F363" s="19">
        <f>1+6</f>
        <v>7</v>
      </c>
      <c r="G363" s="5"/>
      <c r="H363" s="15">
        <v>98</v>
      </c>
      <c r="I363" s="15">
        <f t="shared" si="12"/>
        <v>686</v>
      </c>
    </row>
    <row r="364" spans="2:9" ht="15.75" x14ac:dyDescent="0.25">
      <c r="B364" s="38">
        <v>359</v>
      </c>
      <c r="C364" s="33" t="s">
        <v>334</v>
      </c>
      <c r="D364" s="14"/>
      <c r="E364" s="5"/>
      <c r="F364" s="19">
        <f>4.24</f>
        <v>4.24</v>
      </c>
      <c r="G364" s="5"/>
      <c r="H364" s="15">
        <v>980</v>
      </c>
      <c r="I364" s="15">
        <f t="shared" si="12"/>
        <v>4155.2</v>
      </c>
    </row>
    <row r="365" spans="2:9" ht="15.75" x14ac:dyDescent="0.25">
      <c r="B365" s="38">
        <v>360</v>
      </c>
      <c r="C365" s="33" t="s">
        <v>333</v>
      </c>
      <c r="D365" s="14"/>
      <c r="E365" s="5"/>
      <c r="F365" s="19"/>
      <c r="G365" s="5"/>
      <c r="H365" s="15">
        <v>145</v>
      </c>
      <c r="I365" s="15">
        <f t="shared" si="12"/>
        <v>0</v>
      </c>
    </row>
    <row r="366" spans="2:9" ht="15.75" x14ac:dyDescent="0.25">
      <c r="B366" s="38">
        <v>361</v>
      </c>
      <c r="C366" s="33" t="s">
        <v>182</v>
      </c>
      <c r="D366" s="14"/>
      <c r="E366" s="5"/>
      <c r="F366" s="19"/>
      <c r="G366" s="5"/>
      <c r="H366" s="15"/>
      <c r="I366" s="15">
        <f t="shared" si="12"/>
        <v>0</v>
      </c>
    </row>
    <row r="367" spans="2:9" ht="15.75" x14ac:dyDescent="0.25">
      <c r="B367" s="38">
        <v>362</v>
      </c>
      <c r="C367" s="33" t="s">
        <v>257</v>
      </c>
      <c r="D367" s="14"/>
      <c r="E367" s="5"/>
      <c r="F367" s="19"/>
      <c r="G367" s="5"/>
      <c r="H367" s="15"/>
      <c r="I367" s="15">
        <f t="shared" si="12"/>
        <v>0</v>
      </c>
    </row>
    <row r="368" spans="2:9" ht="15.75" x14ac:dyDescent="0.25">
      <c r="B368" s="38">
        <v>363</v>
      </c>
      <c r="C368" s="33" t="s">
        <v>335</v>
      </c>
      <c r="D368" s="14"/>
      <c r="E368" s="5"/>
      <c r="F368" s="19"/>
      <c r="G368" s="5"/>
      <c r="H368" s="15"/>
      <c r="I368" s="15">
        <f t="shared" si="12"/>
        <v>0</v>
      </c>
    </row>
    <row r="369" spans="2:9" ht="15.75" x14ac:dyDescent="0.25">
      <c r="B369" s="38">
        <v>364</v>
      </c>
      <c r="C369" s="33" t="s">
        <v>215</v>
      </c>
      <c r="D369" s="14"/>
      <c r="E369" s="5"/>
      <c r="F369" s="19">
        <f>104+6.5+79.5+2.44+2.46</f>
        <v>194.9</v>
      </c>
      <c r="G369" s="5"/>
      <c r="H369" s="15">
        <v>120</v>
      </c>
      <c r="I369" s="15">
        <f t="shared" si="12"/>
        <v>23388</v>
      </c>
    </row>
    <row r="370" spans="2:9" ht="15.75" x14ac:dyDescent="0.25">
      <c r="B370" s="38">
        <v>365</v>
      </c>
      <c r="C370" s="33" t="s">
        <v>336</v>
      </c>
      <c r="D370" s="14"/>
      <c r="E370" s="5"/>
      <c r="F370" s="19"/>
      <c r="G370" s="5"/>
      <c r="H370" s="15"/>
      <c r="I370" s="15">
        <f t="shared" si="12"/>
        <v>0</v>
      </c>
    </row>
    <row r="371" spans="2:9" ht="15.75" x14ac:dyDescent="0.25">
      <c r="B371" s="38">
        <v>366</v>
      </c>
      <c r="C371" s="33" t="s">
        <v>367</v>
      </c>
      <c r="D371" s="14"/>
      <c r="E371" s="5"/>
      <c r="F371" s="19">
        <f>23.5+5.96+1.6</f>
        <v>31.060000000000002</v>
      </c>
      <c r="G371" s="5"/>
      <c r="H371" s="15">
        <v>350</v>
      </c>
      <c r="I371" s="15">
        <f t="shared" si="12"/>
        <v>10871</v>
      </c>
    </row>
    <row r="372" spans="2:9" ht="15.75" x14ac:dyDescent="0.25">
      <c r="B372" s="38">
        <v>367</v>
      </c>
      <c r="C372" s="33" t="s">
        <v>337</v>
      </c>
      <c r="D372" s="14"/>
      <c r="E372" s="5"/>
      <c r="F372" s="19"/>
      <c r="G372" s="5"/>
      <c r="H372" s="15"/>
      <c r="I372" s="15">
        <f t="shared" si="12"/>
        <v>0</v>
      </c>
    </row>
    <row r="373" spans="2:9" ht="15.75" x14ac:dyDescent="0.25">
      <c r="B373" s="38">
        <v>368</v>
      </c>
      <c r="C373" s="33" t="s">
        <v>338</v>
      </c>
      <c r="D373" s="14"/>
      <c r="E373" s="5"/>
      <c r="F373" s="19">
        <f>27.12+25.53+4.96+0.52+2.88</f>
        <v>61.010000000000012</v>
      </c>
      <c r="G373" s="5"/>
      <c r="H373" s="15">
        <v>185</v>
      </c>
      <c r="I373" s="15">
        <f t="shared" si="12"/>
        <v>11286.850000000002</v>
      </c>
    </row>
    <row r="374" spans="2:9" ht="15.75" x14ac:dyDescent="0.25">
      <c r="B374" s="38">
        <v>369</v>
      </c>
      <c r="C374" s="33" t="s">
        <v>253</v>
      </c>
      <c r="D374" s="14"/>
      <c r="E374" s="5"/>
      <c r="F374" s="19">
        <f>15+11.8+1</f>
        <v>27.8</v>
      </c>
      <c r="G374" s="5"/>
      <c r="H374" s="15">
        <v>125</v>
      </c>
      <c r="I374" s="15">
        <f t="shared" si="12"/>
        <v>3475</v>
      </c>
    </row>
    <row r="375" spans="2:9" ht="15.75" x14ac:dyDescent="0.25">
      <c r="B375" s="38">
        <v>370</v>
      </c>
      <c r="C375" s="33" t="s">
        <v>339</v>
      </c>
      <c r="D375" s="14"/>
      <c r="E375" s="5"/>
      <c r="F375" s="19">
        <f>18+13.88+13.86+7.58+5.1</f>
        <v>58.42</v>
      </c>
      <c r="G375" s="5"/>
      <c r="H375" s="15">
        <v>93</v>
      </c>
      <c r="I375" s="15">
        <f t="shared" si="12"/>
        <v>5433.06</v>
      </c>
    </row>
    <row r="376" spans="2:9" ht="15.75" x14ac:dyDescent="0.25">
      <c r="B376" s="38">
        <v>371</v>
      </c>
      <c r="C376" s="33" t="s">
        <v>283</v>
      </c>
      <c r="D376" s="14"/>
      <c r="E376" s="5"/>
      <c r="F376" s="19"/>
      <c r="G376" s="5"/>
      <c r="H376" s="15"/>
      <c r="I376" s="15">
        <f t="shared" si="12"/>
        <v>0</v>
      </c>
    </row>
    <row r="377" spans="2:9" ht="15.75" x14ac:dyDescent="0.25">
      <c r="B377" s="38">
        <v>372</v>
      </c>
      <c r="C377" s="33" t="s">
        <v>340</v>
      </c>
      <c r="D377" s="14"/>
      <c r="E377" s="5"/>
      <c r="F377" s="19">
        <f>285.5+295+78</f>
        <v>658.5</v>
      </c>
      <c r="G377" s="5"/>
      <c r="H377" s="15">
        <v>140</v>
      </c>
      <c r="I377" s="15">
        <f t="shared" si="12"/>
        <v>92190</v>
      </c>
    </row>
    <row r="378" spans="2:9" ht="15.75" x14ac:dyDescent="0.25">
      <c r="B378" s="38">
        <v>373</v>
      </c>
      <c r="C378" s="33" t="s">
        <v>267</v>
      </c>
      <c r="D378" s="14"/>
      <c r="E378" s="5"/>
      <c r="F378" s="19"/>
      <c r="G378" s="5"/>
      <c r="H378" s="15"/>
      <c r="I378" s="15">
        <f t="shared" si="12"/>
        <v>0</v>
      </c>
    </row>
    <row r="379" spans="2:9" ht="15.75" x14ac:dyDescent="0.25">
      <c r="B379" s="38">
        <v>374</v>
      </c>
      <c r="C379" s="33" t="s">
        <v>254</v>
      </c>
      <c r="D379" s="14"/>
      <c r="E379" s="5"/>
      <c r="F379" s="19"/>
      <c r="G379" s="5"/>
      <c r="H379" s="15"/>
      <c r="I379" s="15">
        <f t="shared" si="12"/>
        <v>0</v>
      </c>
    </row>
    <row r="380" spans="2:9" ht="15.75" x14ac:dyDescent="0.25">
      <c r="B380" s="38">
        <v>375</v>
      </c>
      <c r="C380" s="33" t="s">
        <v>341</v>
      </c>
      <c r="D380" s="14"/>
      <c r="E380" s="5"/>
      <c r="F380" s="19"/>
      <c r="G380" s="5"/>
      <c r="H380" s="15"/>
      <c r="I380" s="15">
        <f t="shared" si="12"/>
        <v>0</v>
      </c>
    </row>
    <row r="381" spans="2:9" ht="15.75" x14ac:dyDescent="0.25">
      <c r="B381" s="38">
        <v>376</v>
      </c>
      <c r="C381" s="33" t="s">
        <v>342</v>
      </c>
      <c r="D381" s="14"/>
      <c r="E381" s="5"/>
      <c r="F381" s="19">
        <f>30+13</f>
        <v>43</v>
      </c>
      <c r="G381" s="5"/>
      <c r="H381" s="15">
        <v>130</v>
      </c>
      <c r="I381" s="15">
        <f t="shared" si="12"/>
        <v>5590</v>
      </c>
    </row>
    <row r="382" spans="2:9" ht="15.75" x14ac:dyDescent="0.25">
      <c r="B382" s="38">
        <v>377</v>
      </c>
      <c r="C382" s="33" t="s">
        <v>343</v>
      </c>
      <c r="D382" s="14"/>
      <c r="E382" s="5"/>
      <c r="F382" s="19">
        <f>190.54+13.82+7.66+1+4.1</f>
        <v>217.11999999999998</v>
      </c>
      <c r="G382" s="5"/>
      <c r="H382" s="15">
        <v>83</v>
      </c>
      <c r="I382" s="15">
        <f t="shared" si="12"/>
        <v>18020.96</v>
      </c>
    </row>
    <row r="383" spans="2:9" ht="15.75" x14ac:dyDescent="0.25">
      <c r="B383" s="38">
        <v>378</v>
      </c>
      <c r="C383" s="33" t="s">
        <v>344</v>
      </c>
      <c r="D383" s="14"/>
      <c r="E383" s="5"/>
      <c r="F383" s="19"/>
      <c r="G383" s="5"/>
      <c r="H383" s="15"/>
      <c r="I383" s="15">
        <f t="shared" si="12"/>
        <v>0</v>
      </c>
    </row>
    <row r="384" spans="2:9" ht="15.75" x14ac:dyDescent="0.25">
      <c r="B384" s="38">
        <v>379</v>
      </c>
      <c r="C384" s="33" t="s">
        <v>345</v>
      </c>
      <c r="D384" s="14"/>
      <c r="E384" s="5"/>
      <c r="F384" s="19">
        <f>0.79+0.72</f>
        <v>1.51</v>
      </c>
      <c r="G384" s="5"/>
      <c r="H384" s="15">
        <v>685</v>
      </c>
      <c r="I384" s="15">
        <f t="shared" si="12"/>
        <v>1034.3499999999999</v>
      </c>
    </row>
    <row r="385" spans="2:9" ht="15.75" x14ac:dyDescent="0.25">
      <c r="B385" s="38">
        <v>380</v>
      </c>
      <c r="C385" s="33" t="s">
        <v>368</v>
      </c>
      <c r="D385" s="14"/>
      <c r="E385" s="5"/>
      <c r="F385" s="19">
        <f>7.5+65.5+5.62</f>
        <v>78.62</v>
      </c>
      <c r="G385" s="5"/>
      <c r="H385" s="15">
        <v>720</v>
      </c>
      <c r="I385" s="15">
        <f t="shared" si="12"/>
        <v>56606.400000000001</v>
      </c>
    </row>
    <row r="386" spans="2:9" ht="15.75" x14ac:dyDescent="0.25">
      <c r="B386" s="38">
        <v>381</v>
      </c>
      <c r="C386" s="33" t="s">
        <v>346</v>
      </c>
      <c r="D386" s="14"/>
      <c r="E386" s="5"/>
      <c r="F386" s="19">
        <f>0.718</f>
        <v>0.71799999999999997</v>
      </c>
      <c r="G386" s="5"/>
      <c r="H386" s="15">
        <v>660</v>
      </c>
      <c r="I386" s="15">
        <f t="shared" si="12"/>
        <v>473.88</v>
      </c>
    </row>
    <row r="387" spans="2:9" ht="15.75" x14ac:dyDescent="0.25">
      <c r="B387" s="38">
        <v>382</v>
      </c>
      <c r="C387" s="33" t="s">
        <v>347</v>
      </c>
      <c r="D387" s="14"/>
      <c r="E387" s="5"/>
      <c r="F387" s="19">
        <f>3.65</f>
        <v>3.65</v>
      </c>
      <c r="G387" s="5"/>
      <c r="H387" s="15">
        <v>741</v>
      </c>
      <c r="I387" s="15">
        <f t="shared" si="12"/>
        <v>2704.65</v>
      </c>
    </row>
    <row r="388" spans="2:9" ht="15.75" x14ac:dyDescent="0.25">
      <c r="B388" s="38">
        <v>383</v>
      </c>
      <c r="C388" s="33" t="s">
        <v>348</v>
      </c>
      <c r="D388" s="14"/>
      <c r="E388" s="5"/>
      <c r="F388" s="19"/>
      <c r="G388" s="5"/>
      <c r="H388" s="15"/>
      <c r="I388" s="15">
        <f t="shared" si="12"/>
        <v>0</v>
      </c>
    </row>
    <row r="389" spans="2:9" ht="15.75" x14ac:dyDescent="0.25">
      <c r="B389" s="38">
        <v>384</v>
      </c>
      <c r="C389" s="33" t="s">
        <v>349</v>
      </c>
      <c r="D389" s="14"/>
      <c r="E389" s="5"/>
      <c r="F389" s="19">
        <f>5</f>
        <v>5</v>
      </c>
      <c r="G389" s="5"/>
      <c r="H389" s="15">
        <v>345</v>
      </c>
      <c r="I389" s="15">
        <f t="shared" si="12"/>
        <v>1725</v>
      </c>
    </row>
    <row r="390" spans="2:9" ht="15.75" x14ac:dyDescent="0.25">
      <c r="B390" s="38">
        <v>385</v>
      </c>
      <c r="C390" s="33" t="s">
        <v>181</v>
      </c>
      <c r="D390" s="14"/>
      <c r="E390" s="5"/>
      <c r="F390" s="19">
        <f>120.44+51.54+2.02</f>
        <v>174</v>
      </c>
      <c r="G390" s="5"/>
      <c r="H390" s="15">
        <v>112</v>
      </c>
      <c r="I390" s="15">
        <f t="shared" si="12"/>
        <v>19488</v>
      </c>
    </row>
    <row r="391" spans="2:9" ht="15.75" x14ac:dyDescent="0.25">
      <c r="B391" s="38">
        <v>386</v>
      </c>
      <c r="C391" s="33" t="s">
        <v>350</v>
      </c>
      <c r="D391" s="14"/>
      <c r="E391" s="5"/>
      <c r="F391" s="19">
        <f>2.22*8</f>
        <v>17.760000000000002</v>
      </c>
      <c r="G391" s="5"/>
      <c r="H391" s="15">
        <v>565</v>
      </c>
      <c r="I391" s="15">
        <f t="shared" si="12"/>
        <v>10034.400000000001</v>
      </c>
    </row>
    <row r="392" spans="2:9" ht="15.75" x14ac:dyDescent="0.25">
      <c r="B392" s="38">
        <v>387</v>
      </c>
      <c r="C392" s="33" t="s">
        <v>351</v>
      </c>
      <c r="D392" s="14"/>
      <c r="E392" s="5"/>
      <c r="F392" s="19"/>
      <c r="G392" s="5"/>
      <c r="H392" s="15"/>
      <c r="I392" s="15">
        <f t="shared" si="12"/>
        <v>0</v>
      </c>
    </row>
    <row r="393" spans="2:9" ht="15.75" x14ac:dyDescent="0.25">
      <c r="B393" s="38">
        <v>388</v>
      </c>
      <c r="C393" s="33" t="s">
        <v>352</v>
      </c>
      <c r="D393" s="14"/>
      <c r="E393" s="5"/>
      <c r="F393" s="19"/>
      <c r="G393" s="5"/>
      <c r="H393" s="15"/>
      <c r="I393" s="15">
        <f t="shared" si="12"/>
        <v>0</v>
      </c>
    </row>
    <row r="394" spans="2:9" ht="15.75" x14ac:dyDescent="0.25">
      <c r="B394" s="38">
        <v>389</v>
      </c>
      <c r="C394" s="33" t="s">
        <v>353</v>
      </c>
      <c r="D394" s="14"/>
      <c r="E394" s="5"/>
      <c r="F394" s="19">
        <f>16*2.22</f>
        <v>35.520000000000003</v>
      </c>
      <c r="G394" s="5"/>
      <c r="H394" s="15">
        <v>490</v>
      </c>
      <c r="I394" s="15">
        <f t="shared" si="12"/>
        <v>17404.800000000003</v>
      </c>
    </row>
    <row r="395" spans="2:9" ht="15.75" x14ac:dyDescent="0.25">
      <c r="B395" s="38">
        <v>390</v>
      </c>
      <c r="C395" s="33" t="s">
        <v>354</v>
      </c>
      <c r="D395" s="14"/>
      <c r="E395" s="5"/>
      <c r="F395" s="19">
        <f>7*2.22</f>
        <v>15.540000000000001</v>
      </c>
      <c r="G395" s="5"/>
      <c r="H395" s="15">
        <v>530</v>
      </c>
      <c r="I395" s="15">
        <f t="shared" si="12"/>
        <v>8236.2000000000007</v>
      </c>
    </row>
    <row r="396" spans="2:9" ht="15.75" x14ac:dyDescent="0.25">
      <c r="B396" s="38">
        <v>391</v>
      </c>
      <c r="C396" s="33" t="s">
        <v>306</v>
      </c>
      <c r="D396" s="14"/>
      <c r="E396" s="5"/>
      <c r="F396" s="19">
        <f>21</f>
        <v>21</v>
      </c>
      <c r="G396" s="5"/>
      <c r="H396" s="15">
        <v>400</v>
      </c>
      <c r="I396" s="15">
        <f t="shared" si="12"/>
        <v>8400</v>
      </c>
    </row>
    <row r="397" spans="2:9" ht="15.75" x14ac:dyDescent="0.25">
      <c r="B397" s="38">
        <v>392</v>
      </c>
      <c r="C397" s="33" t="s">
        <v>260</v>
      </c>
      <c r="D397" s="14"/>
      <c r="E397" s="5"/>
      <c r="F397" s="19">
        <f>104.65+2.34</f>
        <v>106.99000000000001</v>
      </c>
      <c r="G397" s="5"/>
      <c r="H397" s="15">
        <v>164</v>
      </c>
      <c r="I397" s="15">
        <f t="shared" si="12"/>
        <v>17546.36</v>
      </c>
    </row>
    <row r="398" spans="2:9" ht="15.75" x14ac:dyDescent="0.25">
      <c r="B398" s="38">
        <v>393</v>
      </c>
      <c r="C398" s="33" t="s">
        <v>355</v>
      </c>
      <c r="D398" s="14"/>
      <c r="E398" s="5"/>
      <c r="F398" s="19"/>
      <c r="G398" s="5"/>
      <c r="H398" s="15"/>
      <c r="I398" s="15">
        <f t="shared" si="12"/>
        <v>0</v>
      </c>
    </row>
    <row r="399" spans="2:9" ht="15.75" x14ac:dyDescent="0.25">
      <c r="B399" s="38">
        <v>394</v>
      </c>
      <c r="C399" s="33" t="s">
        <v>356</v>
      </c>
      <c r="D399" s="14"/>
      <c r="E399" s="5"/>
      <c r="F399" s="19"/>
      <c r="G399" s="5"/>
      <c r="H399" s="15"/>
      <c r="I399" s="15">
        <f t="shared" si="12"/>
        <v>0</v>
      </c>
    </row>
    <row r="400" spans="2:9" ht="15.75" x14ac:dyDescent="0.25">
      <c r="B400" s="38">
        <v>395</v>
      </c>
      <c r="C400" s="33" t="s">
        <v>262</v>
      </c>
      <c r="D400" s="14"/>
      <c r="E400" s="5"/>
      <c r="F400" s="19">
        <f>7.5+8.62</f>
        <v>16.119999999999997</v>
      </c>
      <c r="G400" s="5"/>
      <c r="H400" s="15">
        <v>10</v>
      </c>
      <c r="I400" s="15">
        <f t="shared" si="12"/>
        <v>161.19999999999999</v>
      </c>
    </row>
    <row r="401" spans="2:9" ht="15.75" x14ac:dyDescent="0.25">
      <c r="B401" s="38">
        <v>396</v>
      </c>
      <c r="C401" s="33" t="s">
        <v>273</v>
      </c>
      <c r="D401" s="14"/>
      <c r="E401" s="5"/>
      <c r="F401" s="19">
        <f>11.5+15.2+7.12</f>
        <v>33.82</v>
      </c>
      <c r="G401" s="5"/>
      <c r="H401" s="15">
        <v>120</v>
      </c>
      <c r="I401" s="15">
        <f t="shared" si="12"/>
        <v>4058.4</v>
      </c>
    </row>
    <row r="402" spans="2:9" ht="15.75" x14ac:dyDescent="0.25">
      <c r="B402" s="38">
        <v>397</v>
      </c>
      <c r="C402" s="33" t="s">
        <v>369</v>
      </c>
      <c r="D402" s="14"/>
      <c r="E402" s="5"/>
      <c r="F402" s="19">
        <f>504.5+119.5+323.5</f>
        <v>947.5</v>
      </c>
      <c r="G402" s="5"/>
      <c r="H402" s="15">
        <v>198</v>
      </c>
      <c r="I402" s="15">
        <f t="shared" si="12"/>
        <v>187605</v>
      </c>
    </row>
    <row r="403" spans="2:9" ht="15.75" x14ac:dyDescent="0.25">
      <c r="B403" s="38">
        <v>398</v>
      </c>
      <c r="C403" s="33" t="s">
        <v>357</v>
      </c>
      <c r="D403" s="14"/>
      <c r="E403" s="5"/>
      <c r="F403" s="19"/>
      <c r="G403" s="5"/>
      <c r="H403" s="15"/>
      <c r="I403" s="15">
        <f t="shared" si="12"/>
        <v>0</v>
      </c>
    </row>
    <row r="404" spans="2:9" ht="15.75" x14ac:dyDescent="0.25">
      <c r="B404" s="38">
        <v>399</v>
      </c>
      <c r="C404" s="33" t="s">
        <v>319</v>
      </c>
      <c r="D404" s="14"/>
      <c r="E404" s="5"/>
      <c r="F404" s="19"/>
      <c r="G404" s="5"/>
      <c r="H404" s="15"/>
      <c r="I404" s="15">
        <f t="shared" si="12"/>
        <v>0</v>
      </c>
    </row>
    <row r="405" spans="2:9" ht="15.75" x14ac:dyDescent="0.25">
      <c r="B405" s="38">
        <v>400</v>
      </c>
      <c r="C405" s="33" t="s">
        <v>358</v>
      </c>
      <c r="D405" s="14"/>
      <c r="E405" s="5"/>
      <c r="F405" s="19"/>
      <c r="G405" s="5"/>
      <c r="H405" s="15"/>
      <c r="I405" s="15">
        <f t="shared" si="12"/>
        <v>0</v>
      </c>
    </row>
    <row r="406" spans="2:9" ht="15.75" x14ac:dyDescent="0.25">
      <c r="B406" s="38">
        <v>401</v>
      </c>
      <c r="C406" s="33" t="s">
        <v>320</v>
      </c>
      <c r="D406" s="14"/>
      <c r="E406" s="5"/>
      <c r="F406" s="12"/>
      <c r="G406" s="5"/>
      <c r="H406" s="15"/>
      <c r="I406" s="15">
        <f t="shared" si="12"/>
        <v>0</v>
      </c>
    </row>
    <row r="407" spans="2:9" ht="15.75" x14ac:dyDescent="0.25">
      <c r="B407" s="38">
        <v>402</v>
      </c>
      <c r="C407" s="33" t="s">
        <v>371</v>
      </c>
      <c r="D407" s="14"/>
      <c r="E407" s="5"/>
      <c r="F407" s="12">
        <f>14+36</f>
        <v>50</v>
      </c>
      <c r="G407" s="5"/>
      <c r="H407" s="15">
        <v>30</v>
      </c>
      <c r="I407" s="15">
        <f t="shared" si="12"/>
        <v>1500</v>
      </c>
    </row>
    <row r="408" spans="2:9" ht="15.75" x14ac:dyDescent="0.25">
      <c r="B408" s="38">
        <v>403</v>
      </c>
      <c r="C408" s="33" t="s">
        <v>359</v>
      </c>
      <c r="D408" s="14"/>
      <c r="E408" s="5"/>
      <c r="F408" s="12">
        <v>21</v>
      </c>
      <c r="G408" s="5"/>
      <c r="H408" s="15">
        <v>30</v>
      </c>
      <c r="I408" s="15">
        <f t="shared" si="12"/>
        <v>630</v>
      </c>
    </row>
    <row r="409" spans="2:9" ht="15.75" x14ac:dyDescent="0.25">
      <c r="B409" s="38">
        <v>404</v>
      </c>
      <c r="C409" s="33" t="s">
        <v>333</v>
      </c>
      <c r="D409" s="14"/>
      <c r="E409" s="5"/>
      <c r="F409" s="12"/>
      <c r="G409" s="5"/>
      <c r="H409" s="15"/>
      <c r="I409" s="15">
        <f t="shared" si="12"/>
        <v>0</v>
      </c>
    </row>
    <row r="410" spans="2:9" ht="15.75" x14ac:dyDescent="0.25">
      <c r="B410" s="38">
        <v>405</v>
      </c>
      <c r="C410" s="33" t="s">
        <v>317</v>
      </c>
      <c r="D410" s="14"/>
      <c r="E410" s="5"/>
      <c r="F410" s="12"/>
      <c r="G410" s="5"/>
      <c r="H410" s="15"/>
      <c r="I410" s="15">
        <f t="shared" si="12"/>
        <v>0</v>
      </c>
    </row>
    <row r="411" spans="2:9" ht="15.75" x14ac:dyDescent="0.25">
      <c r="B411" s="38">
        <v>406</v>
      </c>
      <c r="C411" s="33" t="s">
        <v>318</v>
      </c>
      <c r="D411" s="14"/>
      <c r="E411" s="5"/>
      <c r="F411" s="12"/>
      <c r="G411" s="5"/>
      <c r="H411" s="15"/>
      <c r="I411" s="15">
        <f t="shared" ref="I411:I474" si="13">F411*H411</f>
        <v>0</v>
      </c>
    </row>
    <row r="412" spans="2:9" ht="15.75" x14ac:dyDescent="0.25">
      <c r="B412" s="38">
        <v>407</v>
      </c>
      <c r="C412" s="33" t="s">
        <v>56</v>
      </c>
      <c r="D412" s="14"/>
      <c r="E412" s="5"/>
      <c r="F412" s="12">
        <f>1032+1067+76.7+56.5+70.15+3.98+16.8</f>
        <v>2323.13</v>
      </c>
      <c r="G412" s="5">
        <f>46+25</f>
        <v>71</v>
      </c>
      <c r="H412" s="15">
        <v>160</v>
      </c>
      <c r="I412" s="15">
        <f t="shared" si="13"/>
        <v>371700.80000000005</v>
      </c>
    </row>
    <row r="413" spans="2:9" ht="15.75" x14ac:dyDescent="0.25">
      <c r="B413" s="38">
        <v>408</v>
      </c>
      <c r="C413" s="33" t="s">
        <v>377</v>
      </c>
      <c r="D413" s="14"/>
      <c r="E413" s="5"/>
      <c r="F413" s="12">
        <f>153+215.5</f>
        <v>368.5</v>
      </c>
      <c r="G413" s="5"/>
      <c r="H413" s="15">
        <v>130</v>
      </c>
      <c r="I413" s="15">
        <f t="shared" si="13"/>
        <v>47905</v>
      </c>
    </row>
    <row r="414" spans="2:9" ht="15.75" x14ac:dyDescent="0.25">
      <c r="B414" s="38">
        <v>409</v>
      </c>
      <c r="C414" s="33" t="s">
        <v>378</v>
      </c>
      <c r="D414" s="14"/>
      <c r="E414" s="5"/>
      <c r="F414" s="12">
        <f>36+6</f>
        <v>42</v>
      </c>
      <c r="G414" s="5"/>
      <c r="H414" s="15">
        <v>140</v>
      </c>
      <c r="I414" s="15">
        <f t="shared" si="13"/>
        <v>5880</v>
      </c>
    </row>
    <row r="415" spans="2:9" ht="15.75" x14ac:dyDescent="0.25">
      <c r="B415" s="38">
        <v>410</v>
      </c>
      <c r="C415" s="33" t="s">
        <v>379</v>
      </c>
      <c r="D415" s="14"/>
      <c r="E415" s="5"/>
      <c r="F415" s="12">
        <f>82</f>
        <v>82</v>
      </c>
      <c r="G415" s="5"/>
      <c r="H415" s="15">
        <v>78</v>
      </c>
      <c r="I415" s="15">
        <f t="shared" si="13"/>
        <v>6396</v>
      </c>
    </row>
    <row r="416" spans="2:9" ht="15.75" x14ac:dyDescent="0.25">
      <c r="B416" s="38">
        <v>411</v>
      </c>
      <c r="C416" s="33" t="s">
        <v>380</v>
      </c>
      <c r="D416" s="14"/>
      <c r="E416" s="5"/>
      <c r="F416" s="12">
        <f>257</f>
        <v>257</v>
      </c>
      <c r="G416" s="5"/>
      <c r="H416" s="15">
        <v>70</v>
      </c>
      <c r="I416" s="15">
        <f t="shared" si="13"/>
        <v>17990</v>
      </c>
    </row>
    <row r="417" spans="2:9" ht="15.75" x14ac:dyDescent="0.25">
      <c r="B417" s="38">
        <v>412</v>
      </c>
      <c r="C417" s="33" t="s">
        <v>381</v>
      </c>
      <c r="D417" s="14"/>
      <c r="E417" s="5"/>
      <c r="F417" s="12">
        <f>3.5</f>
        <v>3.5</v>
      </c>
      <c r="G417" s="5"/>
      <c r="H417" s="15">
        <v>204</v>
      </c>
      <c r="I417" s="15">
        <f t="shared" si="13"/>
        <v>714</v>
      </c>
    </row>
    <row r="418" spans="2:9" ht="15.75" x14ac:dyDescent="0.25">
      <c r="B418" s="38">
        <v>413</v>
      </c>
      <c r="C418" s="33" t="s">
        <v>382</v>
      </c>
      <c r="D418" s="14"/>
      <c r="E418" s="5"/>
      <c r="F418" s="12">
        <f>56.5</f>
        <v>56.5</v>
      </c>
      <c r="G418" s="5"/>
      <c r="H418" s="15">
        <v>102</v>
      </c>
      <c r="I418" s="15">
        <f t="shared" si="13"/>
        <v>5763</v>
      </c>
    </row>
    <row r="419" spans="2:9" ht="15.75" x14ac:dyDescent="0.25">
      <c r="B419" s="38">
        <v>414</v>
      </c>
      <c r="C419" s="33" t="s">
        <v>383</v>
      </c>
      <c r="D419" s="14"/>
      <c r="E419" s="5"/>
      <c r="F419" s="12">
        <f>12+6</f>
        <v>18</v>
      </c>
      <c r="G419" s="5"/>
      <c r="H419" s="15">
        <v>140</v>
      </c>
      <c r="I419" s="15">
        <f t="shared" si="13"/>
        <v>2520</v>
      </c>
    </row>
    <row r="420" spans="2:9" ht="15.75" x14ac:dyDescent="0.25">
      <c r="B420" s="38">
        <v>415</v>
      </c>
      <c r="C420" s="33" t="s">
        <v>384</v>
      </c>
      <c r="D420" s="14"/>
      <c r="E420" s="5"/>
      <c r="F420" s="12">
        <f>75.2</f>
        <v>75.2</v>
      </c>
      <c r="G420" s="5"/>
      <c r="H420" s="15">
        <v>76</v>
      </c>
      <c r="I420" s="15">
        <f t="shared" si="13"/>
        <v>5715.2</v>
      </c>
    </row>
    <row r="421" spans="2:9" ht="15.75" x14ac:dyDescent="0.25">
      <c r="B421" s="38">
        <v>416</v>
      </c>
      <c r="C421" s="33" t="s">
        <v>385</v>
      </c>
      <c r="D421" s="14"/>
      <c r="E421" s="5"/>
      <c r="F421" s="12">
        <f>872.7</f>
        <v>872.7</v>
      </c>
      <c r="G421" s="5"/>
      <c r="H421" s="15">
        <v>47</v>
      </c>
      <c r="I421" s="15">
        <f t="shared" si="13"/>
        <v>41016.9</v>
      </c>
    </row>
    <row r="422" spans="2:9" ht="15.75" x14ac:dyDescent="0.25">
      <c r="B422" s="38">
        <v>417</v>
      </c>
      <c r="C422" s="33" t="s">
        <v>386</v>
      </c>
      <c r="D422" s="14"/>
      <c r="E422" s="5"/>
      <c r="F422" s="12">
        <f>69.5+93.5</f>
        <v>163</v>
      </c>
      <c r="G422" s="5"/>
      <c r="H422" s="15">
        <v>177</v>
      </c>
      <c r="I422" s="15">
        <f t="shared" si="13"/>
        <v>28851</v>
      </c>
    </row>
    <row r="423" spans="2:9" ht="15.75" x14ac:dyDescent="0.25">
      <c r="B423" s="38">
        <v>418</v>
      </c>
      <c r="C423" s="33" t="s">
        <v>387</v>
      </c>
      <c r="D423" s="14"/>
      <c r="E423" s="5"/>
      <c r="F423" s="12">
        <f>169</f>
        <v>169</v>
      </c>
      <c r="G423" s="5"/>
      <c r="H423" s="15">
        <v>48</v>
      </c>
      <c r="I423" s="15">
        <f t="shared" si="13"/>
        <v>8112</v>
      </c>
    </row>
    <row r="424" spans="2:9" ht="15.75" x14ac:dyDescent="0.25">
      <c r="B424" s="38">
        <v>419</v>
      </c>
      <c r="C424" s="33" t="s">
        <v>388</v>
      </c>
      <c r="D424" s="14"/>
      <c r="E424" s="5"/>
      <c r="F424" s="12">
        <f>49.5+171.5</f>
        <v>221</v>
      </c>
      <c r="G424" s="5"/>
      <c r="H424" s="15">
        <v>88</v>
      </c>
      <c r="I424" s="15">
        <f t="shared" si="13"/>
        <v>19448</v>
      </c>
    </row>
    <row r="425" spans="2:9" ht="15.75" x14ac:dyDescent="0.25">
      <c r="B425" s="38">
        <v>420</v>
      </c>
      <c r="C425" s="33" t="s">
        <v>389</v>
      </c>
      <c r="D425" s="14"/>
      <c r="E425" s="5"/>
      <c r="F425" s="12">
        <f>25.5</f>
        <v>25.5</v>
      </c>
      <c r="G425" s="5"/>
      <c r="H425" s="15">
        <v>62</v>
      </c>
      <c r="I425" s="15">
        <f t="shared" si="13"/>
        <v>1581</v>
      </c>
    </row>
    <row r="426" spans="2:9" ht="15.75" x14ac:dyDescent="0.25">
      <c r="B426" s="38">
        <v>421</v>
      </c>
      <c r="C426" s="33" t="s">
        <v>390</v>
      </c>
      <c r="D426" s="14"/>
      <c r="E426" s="5"/>
      <c r="F426" s="12">
        <f>32+0.828</f>
        <v>32.828000000000003</v>
      </c>
      <c r="G426" s="5"/>
      <c r="H426" s="15">
        <v>15</v>
      </c>
      <c r="I426" s="15">
        <f t="shared" si="13"/>
        <v>492.42000000000007</v>
      </c>
    </row>
    <row r="427" spans="2:9" ht="15.75" x14ac:dyDescent="0.25">
      <c r="B427" s="38">
        <v>422</v>
      </c>
      <c r="C427" s="33" t="s">
        <v>391</v>
      </c>
      <c r="D427" s="14"/>
      <c r="E427" s="5"/>
      <c r="F427" s="12">
        <f>446.5</f>
        <v>446.5</v>
      </c>
      <c r="G427" s="5"/>
      <c r="H427" s="15">
        <v>125</v>
      </c>
      <c r="I427" s="15">
        <f t="shared" si="13"/>
        <v>55812.5</v>
      </c>
    </row>
    <row r="428" spans="2:9" ht="15.75" x14ac:dyDescent="0.25">
      <c r="B428" s="38">
        <v>423</v>
      </c>
      <c r="C428" s="33" t="s">
        <v>392</v>
      </c>
      <c r="D428" s="14"/>
      <c r="E428" s="5"/>
      <c r="F428" s="12">
        <f>119</f>
        <v>119</v>
      </c>
      <c r="G428" s="5"/>
      <c r="H428" s="15">
        <v>90</v>
      </c>
      <c r="I428" s="15">
        <f t="shared" si="13"/>
        <v>10710</v>
      </c>
    </row>
    <row r="429" spans="2:9" ht="15.75" x14ac:dyDescent="0.25">
      <c r="B429" s="38">
        <v>424</v>
      </c>
      <c r="C429" s="33" t="s">
        <v>393</v>
      </c>
      <c r="D429" s="14"/>
      <c r="E429" s="5"/>
      <c r="F429" s="12">
        <f>5.5</f>
        <v>5.5</v>
      </c>
      <c r="G429" s="5"/>
      <c r="H429" s="15">
        <v>204</v>
      </c>
      <c r="I429" s="15">
        <f t="shared" si="13"/>
        <v>1122</v>
      </c>
    </row>
    <row r="430" spans="2:9" ht="15.75" x14ac:dyDescent="0.25">
      <c r="B430" s="38">
        <v>425</v>
      </c>
      <c r="C430" s="33" t="s">
        <v>394</v>
      </c>
      <c r="D430" s="14"/>
      <c r="E430" s="5"/>
      <c r="F430" s="12">
        <f>13+6.1</f>
        <v>19.100000000000001</v>
      </c>
      <c r="G430" s="5"/>
      <c r="H430" s="15">
        <v>135</v>
      </c>
      <c r="I430" s="15">
        <f t="shared" si="13"/>
        <v>2578.5</v>
      </c>
    </row>
    <row r="431" spans="2:9" ht="15.75" x14ac:dyDescent="0.25">
      <c r="B431" s="38">
        <v>426</v>
      </c>
      <c r="C431" s="33" t="s">
        <v>396</v>
      </c>
      <c r="D431" s="14"/>
      <c r="E431" s="5"/>
      <c r="F431" s="12">
        <f>49</f>
        <v>49</v>
      </c>
      <c r="G431" s="5"/>
      <c r="H431" s="15">
        <v>140</v>
      </c>
      <c r="I431" s="15">
        <f t="shared" si="13"/>
        <v>6860</v>
      </c>
    </row>
    <row r="432" spans="2:9" ht="15.75" x14ac:dyDescent="0.25">
      <c r="B432" s="38">
        <v>427</v>
      </c>
      <c r="C432" s="33" t="s">
        <v>397</v>
      </c>
      <c r="D432" s="14"/>
      <c r="E432" s="5"/>
      <c r="F432" s="12">
        <v>1</v>
      </c>
      <c r="G432" s="5"/>
      <c r="H432" s="15">
        <v>73</v>
      </c>
      <c r="I432" s="15">
        <f t="shared" si="13"/>
        <v>73</v>
      </c>
    </row>
    <row r="433" spans="2:9" ht="15.75" x14ac:dyDescent="0.25">
      <c r="B433" s="38">
        <v>428</v>
      </c>
      <c r="C433" s="33" t="s">
        <v>398</v>
      </c>
      <c r="D433" s="14"/>
      <c r="E433" s="5"/>
      <c r="F433" s="12">
        <f>6+1</f>
        <v>7</v>
      </c>
      <c r="G433" s="5"/>
      <c r="H433" s="15">
        <v>90</v>
      </c>
      <c r="I433" s="15">
        <f t="shared" si="13"/>
        <v>630</v>
      </c>
    </row>
    <row r="434" spans="2:9" ht="15.75" x14ac:dyDescent="0.25">
      <c r="B434" s="38">
        <v>429</v>
      </c>
      <c r="C434" s="33" t="s">
        <v>407</v>
      </c>
      <c r="D434" s="14"/>
      <c r="E434" s="5"/>
      <c r="F434" s="12">
        <v>1</v>
      </c>
      <c r="G434" s="5"/>
      <c r="H434" s="15">
        <v>90</v>
      </c>
      <c r="I434" s="15">
        <f t="shared" si="13"/>
        <v>90</v>
      </c>
    </row>
    <row r="435" spans="2:9" ht="15.75" x14ac:dyDescent="0.25">
      <c r="B435" s="38">
        <v>430</v>
      </c>
      <c r="C435" s="33" t="s">
        <v>399</v>
      </c>
      <c r="D435" s="14"/>
      <c r="E435" s="5"/>
      <c r="F435" s="12">
        <v>3</v>
      </c>
      <c r="G435" s="5"/>
      <c r="H435" s="15">
        <v>88</v>
      </c>
      <c r="I435" s="15">
        <f t="shared" si="13"/>
        <v>264</v>
      </c>
    </row>
    <row r="436" spans="2:9" ht="15.75" x14ac:dyDescent="0.25">
      <c r="B436" s="38">
        <v>431</v>
      </c>
      <c r="C436" s="33" t="s">
        <v>400</v>
      </c>
      <c r="D436" s="14"/>
      <c r="E436" s="5"/>
      <c r="F436" s="12">
        <f>3+3</f>
        <v>6</v>
      </c>
      <c r="G436" s="5"/>
      <c r="H436" s="15">
        <v>98</v>
      </c>
      <c r="I436" s="15">
        <f t="shared" si="13"/>
        <v>588</v>
      </c>
    </row>
    <row r="437" spans="2:9" ht="15.75" x14ac:dyDescent="0.25">
      <c r="B437" s="38">
        <v>432</v>
      </c>
      <c r="C437" s="33" t="s">
        <v>401</v>
      </c>
      <c r="D437" s="14"/>
      <c r="E437" s="5"/>
      <c r="F437" s="12">
        <v>1</v>
      </c>
      <c r="G437" s="5"/>
      <c r="H437" s="15">
        <v>98</v>
      </c>
      <c r="I437" s="15">
        <f t="shared" si="13"/>
        <v>98</v>
      </c>
    </row>
    <row r="438" spans="2:9" ht="15.75" x14ac:dyDescent="0.25">
      <c r="B438" s="38">
        <v>433</v>
      </c>
      <c r="C438" s="33" t="s">
        <v>402</v>
      </c>
      <c r="D438" s="14"/>
      <c r="E438" s="5"/>
      <c r="F438" s="12">
        <v>4</v>
      </c>
      <c r="G438" s="5"/>
      <c r="H438" s="15">
        <v>90</v>
      </c>
      <c r="I438" s="15">
        <f t="shared" si="13"/>
        <v>360</v>
      </c>
    </row>
    <row r="439" spans="2:9" ht="15.75" x14ac:dyDescent="0.25">
      <c r="B439" s="38">
        <v>434</v>
      </c>
      <c r="C439" s="33" t="s">
        <v>405</v>
      </c>
      <c r="D439" s="14"/>
      <c r="E439" s="5"/>
      <c r="F439" s="12">
        <v>4</v>
      </c>
      <c r="G439" s="5"/>
      <c r="H439" s="15">
        <v>95</v>
      </c>
      <c r="I439" s="15">
        <f t="shared" si="13"/>
        <v>380</v>
      </c>
    </row>
    <row r="440" spans="2:9" ht="15.75" x14ac:dyDescent="0.25">
      <c r="B440" s="38">
        <v>435</v>
      </c>
      <c r="C440" s="33" t="s">
        <v>408</v>
      </c>
      <c r="D440" s="14"/>
      <c r="E440" s="5"/>
      <c r="F440" s="12">
        <v>5</v>
      </c>
      <c r="G440" s="5"/>
      <c r="H440" s="15">
        <v>78</v>
      </c>
      <c r="I440" s="15">
        <f t="shared" si="13"/>
        <v>390</v>
      </c>
    </row>
    <row r="441" spans="2:9" ht="15.75" x14ac:dyDescent="0.25">
      <c r="B441" s="38">
        <v>436</v>
      </c>
      <c r="C441" s="33" t="s">
        <v>411</v>
      </c>
      <c r="D441" s="14"/>
      <c r="E441" s="5"/>
      <c r="F441" s="12">
        <f>74.5</f>
        <v>74.5</v>
      </c>
      <c r="G441" s="5"/>
      <c r="H441" s="15">
        <v>134</v>
      </c>
      <c r="I441" s="15">
        <f t="shared" si="13"/>
        <v>9983</v>
      </c>
    </row>
    <row r="442" spans="2:9" ht="15.75" x14ac:dyDescent="0.25">
      <c r="B442" s="38">
        <v>437</v>
      </c>
      <c r="C442" s="33" t="s">
        <v>412</v>
      </c>
      <c r="D442" s="14"/>
      <c r="E442" s="5"/>
      <c r="F442" s="12">
        <f>385+73.5</f>
        <v>458.5</v>
      </c>
      <c r="G442" s="5"/>
      <c r="H442" s="15">
        <v>34</v>
      </c>
      <c r="I442" s="15">
        <f t="shared" si="13"/>
        <v>15589</v>
      </c>
    </row>
    <row r="443" spans="2:9" ht="15.75" x14ac:dyDescent="0.25">
      <c r="B443" s="38">
        <v>438</v>
      </c>
      <c r="C443" s="33" t="s">
        <v>413</v>
      </c>
      <c r="D443" s="14"/>
      <c r="E443" s="5"/>
      <c r="F443" s="12">
        <f>80.5</f>
        <v>80.5</v>
      </c>
      <c r="G443" s="5"/>
      <c r="H443" s="15">
        <v>145</v>
      </c>
      <c r="I443" s="15">
        <f t="shared" si="13"/>
        <v>11672.5</v>
      </c>
    </row>
    <row r="444" spans="2:9" ht="15.75" x14ac:dyDescent="0.25">
      <c r="B444" s="38">
        <v>439</v>
      </c>
      <c r="C444" s="33" t="s">
        <v>415</v>
      </c>
      <c r="D444" s="14"/>
      <c r="E444" s="5"/>
      <c r="F444" s="12">
        <f>24.5</f>
        <v>24.5</v>
      </c>
      <c r="G444" s="5"/>
      <c r="H444" s="15">
        <v>159</v>
      </c>
      <c r="I444" s="15">
        <f t="shared" si="13"/>
        <v>3895.5</v>
      </c>
    </row>
    <row r="445" spans="2:9" ht="15.75" x14ac:dyDescent="0.25">
      <c r="B445" s="38">
        <v>440</v>
      </c>
      <c r="C445" s="33" t="s">
        <v>416</v>
      </c>
      <c r="D445" s="14"/>
      <c r="E445" s="5"/>
      <c r="F445" s="12">
        <f>49.5</f>
        <v>49.5</v>
      </c>
      <c r="G445" s="5"/>
      <c r="H445" s="15">
        <v>128</v>
      </c>
      <c r="I445" s="15">
        <f t="shared" si="13"/>
        <v>6336</v>
      </c>
    </row>
    <row r="446" spans="2:9" ht="15.75" x14ac:dyDescent="0.25">
      <c r="B446" s="38">
        <v>441</v>
      </c>
      <c r="C446" s="33" t="s">
        <v>417</v>
      </c>
      <c r="D446" s="14"/>
      <c r="E446" s="5"/>
      <c r="F446" s="12">
        <f>28</f>
        <v>28</v>
      </c>
      <c r="G446" s="5"/>
      <c r="H446" s="15">
        <v>150</v>
      </c>
      <c r="I446" s="15">
        <f t="shared" si="13"/>
        <v>4200</v>
      </c>
    </row>
    <row r="447" spans="2:9" ht="15.75" x14ac:dyDescent="0.25">
      <c r="B447" s="38">
        <v>442</v>
      </c>
      <c r="C447" s="33" t="s">
        <v>418</v>
      </c>
      <c r="D447" s="14"/>
      <c r="E447" s="5"/>
      <c r="F447" s="12">
        <f>158+8.064</f>
        <v>166.06399999999999</v>
      </c>
      <c r="G447" s="5"/>
      <c r="H447" s="15">
        <v>92</v>
      </c>
      <c r="I447" s="15">
        <f t="shared" si="13"/>
        <v>15277.887999999999</v>
      </c>
    </row>
    <row r="448" spans="2:9" ht="15.75" x14ac:dyDescent="0.25">
      <c r="B448" s="38">
        <v>443</v>
      </c>
      <c r="C448" s="33" t="s">
        <v>419</v>
      </c>
      <c r="D448" s="14"/>
      <c r="E448" s="5"/>
      <c r="F448" s="12">
        <f>19.5+17.5</f>
        <v>37</v>
      </c>
      <c r="G448" s="5"/>
      <c r="H448" s="15">
        <v>110</v>
      </c>
      <c r="I448" s="15">
        <f t="shared" si="13"/>
        <v>4070</v>
      </c>
    </row>
    <row r="449" spans="2:9" ht="15.75" x14ac:dyDescent="0.25">
      <c r="B449" s="38">
        <v>444</v>
      </c>
      <c r="C449" s="33" t="s">
        <v>420</v>
      </c>
      <c r="D449" s="14"/>
      <c r="E449" s="5"/>
      <c r="F449" s="12">
        <f>127.5</f>
        <v>127.5</v>
      </c>
      <c r="G449" s="5"/>
      <c r="H449" s="15">
        <v>204</v>
      </c>
      <c r="I449" s="15">
        <f t="shared" si="13"/>
        <v>26010</v>
      </c>
    </row>
    <row r="450" spans="2:9" ht="15.75" x14ac:dyDescent="0.25">
      <c r="B450" s="38">
        <v>445</v>
      </c>
      <c r="C450" s="33" t="s">
        <v>421</v>
      </c>
      <c r="D450" s="14"/>
      <c r="E450" s="5"/>
      <c r="F450" s="12">
        <f>81.5</f>
        <v>81.5</v>
      </c>
      <c r="G450" s="5"/>
      <c r="H450" s="15">
        <v>18</v>
      </c>
      <c r="I450" s="15">
        <f t="shared" si="13"/>
        <v>1467</v>
      </c>
    </row>
    <row r="451" spans="2:9" ht="15.75" x14ac:dyDescent="0.25">
      <c r="B451" s="38">
        <v>446</v>
      </c>
      <c r="C451" s="33" t="s">
        <v>424</v>
      </c>
      <c r="D451" s="14"/>
      <c r="E451" s="5"/>
      <c r="F451" s="12">
        <f>4.46</f>
        <v>4.46</v>
      </c>
      <c r="G451" s="5"/>
      <c r="H451" s="15">
        <v>810</v>
      </c>
      <c r="I451" s="15">
        <f t="shared" si="13"/>
        <v>3612.6</v>
      </c>
    </row>
    <row r="452" spans="2:9" ht="15.75" x14ac:dyDescent="0.25">
      <c r="B452" s="38">
        <v>447</v>
      </c>
      <c r="C452" s="33" t="s">
        <v>426</v>
      </c>
      <c r="D452" s="14"/>
      <c r="E452" s="5"/>
      <c r="F452" s="12">
        <v>25.28</v>
      </c>
      <c r="G452" s="5"/>
      <c r="H452" s="15">
        <v>450</v>
      </c>
      <c r="I452" s="15">
        <f t="shared" si="13"/>
        <v>11376</v>
      </c>
    </row>
    <row r="453" spans="2:9" ht="15.75" x14ac:dyDescent="0.25">
      <c r="B453" s="38">
        <v>448</v>
      </c>
      <c r="C453" s="33" t="s">
        <v>428</v>
      </c>
      <c r="D453" s="14"/>
      <c r="E453" s="5"/>
      <c r="F453" s="12">
        <f>5.692+4.05</f>
        <v>9.7420000000000009</v>
      </c>
      <c r="G453" s="5"/>
      <c r="H453" s="15">
        <v>760</v>
      </c>
      <c r="I453" s="15">
        <f t="shared" si="13"/>
        <v>7403.920000000001</v>
      </c>
    </row>
    <row r="454" spans="2:9" ht="15.75" x14ac:dyDescent="0.25">
      <c r="B454" s="38">
        <v>449</v>
      </c>
      <c r="C454" s="33" t="s">
        <v>429</v>
      </c>
      <c r="D454" s="14"/>
      <c r="E454" s="5"/>
      <c r="F454" s="12">
        <f>4</f>
        <v>4</v>
      </c>
      <c r="G454" s="5"/>
      <c r="H454" s="15">
        <v>75</v>
      </c>
      <c r="I454" s="15">
        <f t="shared" si="13"/>
        <v>300</v>
      </c>
    </row>
    <row r="455" spans="2:9" ht="15.75" x14ac:dyDescent="0.25">
      <c r="B455" s="38">
        <v>450</v>
      </c>
      <c r="C455" s="33" t="s">
        <v>430</v>
      </c>
      <c r="D455" s="14"/>
      <c r="E455" s="5"/>
      <c r="F455" s="12">
        <f>5+6</f>
        <v>11</v>
      </c>
      <c r="G455" s="5"/>
      <c r="H455" s="15">
        <v>85</v>
      </c>
      <c r="I455" s="15">
        <f t="shared" si="13"/>
        <v>935</v>
      </c>
    </row>
    <row r="456" spans="2:9" ht="15.75" x14ac:dyDescent="0.25">
      <c r="B456" s="38">
        <v>451</v>
      </c>
      <c r="C456" s="33" t="s">
        <v>435</v>
      </c>
      <c r="D456" s="14"/>
      <c r="E456" s="5"/>
      <c r="F456" s="12">
        <v>3.3719999999999999</v>
      </c>
      <c r="G456" s="5"/>
      <c r="H456" s="15">
        <v>225</v>
      </c>
      <c r="I456" s="15">
        <f t="shared" si="13"/>
        <v>758.69999999999993</v>
      </c>
    </row>
    <row r="457" spans="2:9" ht="15.75" x14ac:dyDescent="0.25">
      <c r="B457" s="38">
        <v>452</v>
      </c>
      <c r="C457" s="33" t="s">
        <v>436</v>
      </c>
      <c r="D457" s="14"/>
      <c r="E457" s="5"/>
      <c r="F457" s="12">
        <v>3</v>
      </c>
      <c r="G457" s="5"/>
      <c r="H457" s="15">
        <v>78</v>
      </c>
      <c r="I457" s="15">
        <f t="shared" si="13"/>
        <v>234</v>
      </c>
    </row>
    <row r="458" spans="2:9" ht="15.75" x14ac:dyDescent="0.25">
      <c r="B458" s="38">
        <v>453</v>
      </c>
      <c r="C458" s="33" t="s">
        <v>437</v>
      </c>
      <c r="D458" s="14"/>
      <c r="E458" s="5"/>
      <c r="F458" s="12">
        <v>3</v>
      </c>
      <c r="G458" s="5"/>
      <c r="H458" s="15">
        <v>86</v>
      </c>
      <c r="I458" s="15">
        <f t="shared" si="13"/>
        <v>258</v>
      </c>
    </row>
    <row r="459" spans="2:9" ht="15.75" x14ac:dyDescent="0.25">
      <c r="B459" s="38">
        <v>454</v>
      </c>
      <c r="C459" s="33" t="s">
        <v>438</v>
      </c>
      <c r="D459" s="14"/>
      <c r="E459" s="5"/>
      <c r="F459" s="12">
        <f>8+7</f>
        <v>15</v>
      </c>
      <c r="G459" s="5"/>
      <c r="H459" s="15">
        <v>75</v>
      </c>
      <c r="I459" s="15">
        <f t="shared" si="13"/>
        <v>1125</v>
      </c>
    </row>
    <row r="460" spans="2:9" ht="15.75" x14ac:dyDescent="0.25">
      <c r="B460" s="38">
        <v>455</v>
      </c>
      <c r="C460" s="33" t="s">
        <v>439</v>
      </c>
      <c r="D460" s="14"/>
      <c r="E460" s="5"/>
      <c r="F460" s="12">
        <f>17.5+118.4+32.5+10.1</f>
        <v>178.5</v>
      </c>
      <c r="G460" s="5"/>
      <c r="H460" s="15">
        <v>370</v>
      </c>
      <c r="I460" s="15">
        <f t="shared" si="13"/>
        <v>66045</v>
      </c>
    </row>
    <row r="461" spans="2:9" ht="15.75" x14ac:dyDescent="0.25">
      <c r="B461" s="38">
        <v>456</v>
      </c>
      <c r="C461" s="33" t="s">
        <v>446</v>
      </c>
      <c r="D461" s="14"/>
      <c r="E461" s="5"/>
      <c r="F461" s="12">
        <f>1.44</f>
        <v>1.44</v>
      </c>
      <c r="G461" s="5"/>
      <c r="H461" s="15">
        <v>80</v>
      </c>
      <c r="I461" s="15">
        <f t="shared" si="13"/>
        <v>115.19999999999999</v>
      </c>
    </row>
    <row r="462" spans="2:9" ht="15.75" x14ac:dyDescent="0.25">
      <c r="B462" s="38">
        <v>457</v>
      </c>
      <c r="C462" s="33" t="s">
        <v>448</v>
      </c>
      <c r="D462" s="14"/>
      <c r="E462" s="5"/>
      <c r="F462" s="12">
        <v>0.48499999999999999</v>
      </c>
      <c r="G462" s="5"/>
      <c r="H462" s="15">
        <v>225</v>
      </c>
      <c r="I462" s="15">
        <f t="shared" si="13"/>
        <v>109.125</v>
      </c>
    </row>
    <row r="463" spans="2:9" ht="15.75" x14ac:dyDescent="0.25">
      <c r="B463" s="38">
        <v>458</v>
      </c>
      <c r="C463" s="33" t="s">
        <v>449</v>
      </c>
      <c r="D463" s="14"/>
      <c r="E463" s="5"/>
      <c r="F463" s="12">
        <v>0.495</v>
      </c>
      <c r="G463" s="5"/>
      <c r="H463" s="15">
        <v>225</v>
      </c>
      <c r="I463" s="15">
        <f t="shared" si="13"/>
        <v>111.375</v>
      </c>
    </row>
    <row r="464" spans="2:9" ht="15.75" x14ac:dyDescent="0.25">
      <c r="B464" s="38">
        <v>459</v>
      </c>
      <c r="C464" s="33" t="s">
        <v>450</v>
      </c>
      <c r="D464" s="14"/>
      <c r="E464" s="5"/>
      <c r="F464" s="12">
        <v>0.505</v>
      </c>
      <c r="G464" s="5"/>
      <c r="H464" s="15">
        <v>225</v>
      </c>
      <c r="I464" s="15">
        <f t="shared" si="13"/>
        <v>113.625</v>
      </c>
    </row>
    <row r="465" spans="2:9" ht="15.75" x14ac:dyDescent="0.25">
      <c r="B465" s="38">
        <v>460</v>
      </c>
      <c r="C465" s="33" t="s">
        <v>451</v>
      </c>
      <c r="D465" s="14"/>
      <c r="E465" s="5"/>
      <c r="F465" s="12">
        <v>0.46500000000000002</v>
      </c>
      <c r="G465" s="5"/>
      <c r="H465" s="15">
        <v>225</v>
      </c>
      <c r="I465" s="15">
        <f t="shared" si="13"/>
        <v>104.625</v>
      </c>
    </row>
    <row r="466" spans="2:9" ht="15.75" x14ac:dyDescent="0.25">
      <c r="B466" s="38">
        <v>461</v>
      </c>
      <c r="C466" s="33" t="s">
        <v>452</v>
      </c>
      <c r="D466" s="14"/>
      <c r="E466" s="5"/>
      <c r="F466" s="12">
        <v>0.215</v>
      </c>
      <c r="G466" s="5"/>
      <c r="H466" s="15">
        <v>225</v>
      </c>
      <c r="I466" s="15">
        <f t="shared" si="13"/>
        <v>48.375</v>
      </c>
    </row>
    <row r="467" spans="2:9" ht="15.75" x14ac:dyDescent="0.25">
      <c r="B467" s="38">
        <v>462</v>
      </c>
      <c r="C467" s="33" t="s">
        <v>453</v>
      </c>
      <c r="D467" s="14"/>
      <c r="E467" s="31"/>
      <c r="F467" s="12">
        <v>0.24</v>
      </c>
      <c r="G467" s="5"/>
      <c r="H467" s="15">
        <v>225</v>
      </c>
      <c r="I467" s="15">
        <f t="shared" si="13"/>
        <v>54</v>
      </c>
    </row>
    <row r="468" spans="2:9" ht="15.75" x14ac:dyDescent="0.25">
      <c r="B468" s="38">
        <v>463</v>
      </c>
      <c r="C468" s="33" t="s">
        <v>450</v>
      </c>
      <c r="D468" s="14"/>
      <c r="E468" s="5"/>
      <c r="F468" s="12">
        <v>0.255</v>
      </c>
      <c r="G468" s="5"/>
      <c r="H468" s="15">
        <v>225</v>
      </c>
      <c r="I468" s="15">
        <f t="shared" si="13"/>
        <v>57.375</v>
      </c>
    </row>
    <row r="469" spans="2:9" ht="15.75" x14ac:dyDescent="0.25">
      <c r="B469" s="38">
        <v>464</v>
      </c>
      <c r="C469" s="33" t="s">
        <v>455</v>
      </c>
      <c r="D469" s="14"/>
      <c r="E469" s="5"/>
      <c r="F469" s="12">
        <f>14</f>
        <v>14</v>
      </c>
      <c r="G469" s="5"/>
      <c r="H469" s="15">
        <v>28</v>
      </c>
      <c r="I469" s="15">
        <f t="shared" si="13"/>
        <v>392</v>
      </c>
    </row>
    <row r="470" spans="2:9" ht="15.75" x14ac:dyDescent="0.25">
      <c r="B470" s="38">
        <v>465</v>
      </c>
      <c r="C470" s="35"/>
      <c r="D470" s="14"/>
      <c r="E470" s="5"/>
      <c r="F470" s="5"/>
      <c r="G470" s="5"/>
      <c r="H470" s="15"/>
      <c r="I470" s="15">
        <f t="shared" si="13"/>
        <v>0</v>
      </c>
    </row>
    <row r="471" spans="2:9" ht="15.75" x14ac:dyDescent="0.25">
      <c r="B471" s="38">
        <v>466</v>
      </c>
      <c r="C471" s="35"/>
      <c r="D471" s="14"/>
      <c r="E471" s="5"/>
      <c r="F471" s="5"/>
      <c r="G471" s="5"/>
      <c r="H471" s="15"/>
      <c r="I471" s="15">
        <f t="shared" si="13"/>
        <v>0</v>
      </c>
    </row>
    <row r="472" spans="2:9" ht="15.75" x14ac:dyDescent="0.25">
      <c r="B472" s="38">
        <v>467</v>
      </c>
      <c r="C472" s="35"/>
      <c r="D472" s="14"/>
      <c r="E472" s="5"/>
      <c r="F472" s="5"/>
      <c r="G472" s="5"/>
      <c r="H472" s="15"/>
      <c r="I472" s="15">
        <f t="shared" si="13"/>
        <v>0</v>
      </c>
    </row>
    <row r="473" spans="2:9" ht="15.75" x14ac:dyDescent="0.25">
      <c r="B473" s="38">
        <v>468</v>
      </c>
      <c r="C473" s="35"/>
      <c r="D473" s="14"/>
      <c r="E473" s="5"/>
      <c r="F473" s="5"/>
      <c r="G473" s="5"/>
      <c r="H473" s="15"/>
      <c r="I473" s="15">
        <f t="shared" si="13"/>
        <v>0</v>
      </c>
    </row>
    <row r="474" spans="2:9" ht="15.75" x14ac:dyDescent="0.25">
      <c r="B474" s="38">
        <v>469</v>
      </c>
      <c r="C474" s="35"/>
      <c r="D474" s="14"/>
      <c r="E474" s="5"/>
      <c r="F474" s="5"/>
      <c r="G474" s="5"/>
      <c r="H474" s="15"/>
      <c r="I474" s="15">
        <f t="shared" si="13"/>
        <v>0</v>
      </c>
    </row>
    <row r="475" spans="2:9" ht="15.75" x14ac:dyDescent="0.25">
      <c r="B475" s="38">
        <v>470</v>
      </c>
      <c r="C475" s="35"/>
      <c r="D475" s="14"/>
      <c r="E475" s="5"/>
      <c r="F475" s="5"/>
      <c r="G475" s="5"/>
      <c r="H475" s="15"/>
      <c r="I475" s="15">
        <f t="shared" ref="I475:I483" si="14">F475*H475</f>
        <v>0</v>
      </c>
    </row>
    <row r="476" spans="2:9" ht="15.75" x14ac:dyDescent="0.25">
      <c r="B476" s="38">
        <v>468</v>
      </c>
      <c r="C476" s="35"/>
      <c r="D476" s="14"/>
      <c r="E476" s="5"/>
      <c r="F476" s="5"/>
      <c r="G476" s="5"/>
      <c r="H476" s="15"/>
      <c r="I476" s="15">
        <f t="shared" si="14"/>
        <v>0</v>
      </c>
    </row>
    <row r="477" spans="2:9" ht="15.75" x14ac:dyDescent="0.25">
      <c r="B477" s="38">
        <v>469</v>
      </c>
      <c r="C477" s="35"/>
      <c r="D477" s="14"/>
      <c r="E477" s="5"/>
      <c r="F477" s="5"/>
      <c r="G477" s="5"/>
      <c r="H477" s="15"/>
      <c r="I477" s="15">
        <f t="shared" si="14"/>
        <v>0</v>
      </c>
    </row>
    <row r="478" spans="2:9" ht="15.75" x14ac:dyDescent="0.25">
      <c r="B478" s="38">
        <v>470</v>
      </c>
      <c r="C478" s="35"/>
      <c r="D478" s="14"/>
      <c r="E478" s="5"/>
      <c r="F478" s="5"/>
      <c r="G478" s="5"/>
      <c r="H478" s="15"/>
      <c r="I478" s="15">
        <f t="shared" si="14"/>
        <v>0</v>
      </c>
    </row>
    <row r="479" spans="2:9" ht="15.75" x14ac:dyDescent="0.25">
      <c r="B479" s="39">
        <v>471</v>
      </c>
      <c r="C479" s="35"/>
      <c r="D479" s="14"/>
      <c r="E479" s="5"/>
      <c r="F479" s="5"/>
      <c r="G479" s="5"/>
      <c r="H479" s="15"/>
      <c r="I479" s="15">
        <f t="shared" si="14"/>
        <v>0</v>
      </c>
    </row>
    <row r="480" spans="2:9" ht="15.75" x14ac:dyDescent="0.25">
      <c r="B480" s="38">
        <v>472</v>
      </c>
      <c r="C480" s="35"/>
      <c r="D480" s="14"/>
      <c r="E480" s="5"/>
      <c r="F480" s="5"/>
      <c r="G480" s="5"/>
      <c r="H480" s="15"/>
      <c r="I480" s="15">
        <f t="shared" si="14"/>
        <v>0</v>
      </c>
    </row>
    <row r="481" spans="2:9" ht="15.75" x14ac:dyDescent="0.25">
      <c r="B481" s="38">
        <v>473</v>
      </c>
      <c r="C481" s="35"/>
      <c r="D481" s="14"/>
      <c r="E481" s="5"/>
      <c r="F481" s="5"/>
      <c r="G481" s="5"/>
      <c r="H481" s="15"/>
      <c r="I481" s="15">
        <f t="shared" si="14"/>
        <v>0</v>
      </c>
    </row>
    <row r="482" spans="2:9" ht="15.75" x14ac:dyDescent="0.25">
      <c r="B482" s="38">
        <v>474</v>
      </c>
      <c r="C482" s="35"/>
      <c r="D482" s="14"/>
      <c r="E482" s="5"/>
      <c r="F482" s="5"/>
      <c r="G482" s="5"/>
      <c r="H482" s="15"/>
      <c r="I482" s="15">
        <f t="shared" si="14"/>
        <v>0</v>
      </c>
    </row>
    <row r="483" spans="2:9" ht="15.75" x14ac:dyDescent="0.25">
      <c r="B483" s="40"/>
      <c r="C483" s="36"/>
      <c r="I483" s="15">
        <f t="shared" si="14"/>
        <v>0</v>
      </c>
    </row>
    <row r="484" spans="2:9" ht="31.5" x14ac:dyDescent="0.5">
      <c r="B484" s="40"/>
      <c r="C484" s="32" t="s">
        <v>11</v>
      </c>
      <c r="D484" s="25"/>
      <c r="E484" s="25"/>
      <c r="F484" s="26">
        <f>SUM(F6:F482)</f>
        <v>22685.190999999999</v>
      </c>
      <c r="G484" s="26">
        <f>SUM(G6:G223)</f>
        <v>0</v>
      </c>
      <c r="H484" s="25"/>
      <c r="I484" s="45">
        <f>SUM(I6:I483)</f>
        <v>4012863.5500000003</v>
      </c>
    </row>
    <row r="485" spans="2:9" ht="15.75" x14ac:dyDescent="0.25">
      <c r="B485" s="40"/>
      <c r="C485" s="36"/>
    </row>
    <row r="486" spans="2:9" ht="18.75" x14ac:dyDescent="0.3">
      <c r="B486" s="40"/>
      <c r="C486" s="59" t="s">
        <v>13</v>
      </c>
      <c r="F486" s="42" t="s">
        <v>14</v>
      </c>
      <c r="G486" s="43" t="s">
        <v>10</v>
      </c>
      <c r="H486" s="44" t="s">
        <v>360</v>
      </c>
    </row>
    <row r="487" spans="2:9" x14ac:dyDescent="0.25">
      <c r="B487" s="40"/>
      <c r="C487" s="60"/>
      <c r="F487" s="62">
        <v>795</v>
      </c>
      <c r="G487" s="62">
        <v>159</v>
      </c>
      <c r="H487" s="64">
        <f>F487+G487</f>
        <v>954</v>
      </c>
    </row>
    <row r="488" spans="2:9" x14ac:dyDescent="0.25">
      <c r="B488" s="40"/>
      <c r="C488" s="61"/>
      <c r="F488" s="63"/>
      <c r="G488" s="63"/>
      <c r="H488" s="64"/>
    </row>
    <row r="489" spans="2:9" ht="15.75" x14ac:dyDescent="0.25">
      <c r="B489" s="40"/>
      <c r="C489" s="36"/>
    </row>
    <row r="490" spans="2:9" ht="15.75" x14ac:dyDescent="0.25">
      <c r="B490" s="40"/>
      <c r="C490" s="36"/>
    </row>
  </sheetData>
  <protectedRanges>
    <protectedRange algorithmName="SHA-512" hashValue="U597kkUQHT7TQolN/9CZogveJ5wz1CN2QHYRZizopIWrLXDCfOGDN6VokmodtcCsYIWq9+An5uQDn2r1oP/i4g==" saltValue="SnA6tyDqU/dOuFXJK2H2AQ==" spinCount="100000" sqref="G6:H8" name="Rango1"/>
  </protectedRanges>
  <mergeCells count="5">
    <mergeCell ref="B4:I4"/>
    <mergeCell ref="C486:C488"/>
    <mergeCell ref="F487:F488"/>
    <mergeCell ref="G487:G488"/>
    <mergeCell ref="H487:H4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8 ENERO 2023</vt:lpstr>
      <vt:lpstr>29-ENERO-2023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cp:lastPrinted>2023-02-10T20:19:07Z</cp:lastPrinted>
  <dcterms:created xsi:type="dcterms:W3CDTF">2021-11-15T12:13:57Z</dcterms:created>
  <dcterms:modified xsi:type="dcterms:W3CDTF">2023-02-10T20:22:03Z</dcterms:modified>
</cp:coreProperties>
</file>