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0" yWindow="0" windowWidth="16710" windowHeight="10305" firstSheet="8" activeTab="10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Hoja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1" l="1"/>
  <c r="M15" i="11" l="1"/>
  <c r="M14" i="11"/>
  <c r="M13" i="11"/>
  <c r="M12" i="11"/>
  <c r="M11" i="11"/>
  <c r="M10" i="11"/>
  <c r="M9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7" i="11"/>
  <c r="M8" i="11"/>
  <c r="M7" i="11"/>
  <c r="P7" i="11"/>
  <c r="P8" i="11"/>
  <c r="P9" i="11"/>
  <c r="Q9" i="11" s="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7" i="11"/>
  <c r="L51" i="11"/>
  <c r="I51" i="11"/>
  <c r="F51" i="11"/>
  <c r="C51" i="11"/>
  <c r="N40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K53" i="11" l="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F79" i="7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F4" i="7" s="1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<sst xmlns="http://schemas.openxmlformats.org/spreadsheetml/2006/main" count="627" uniqueCount="344">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</sst>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7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0" fontId="0" fillId="0" borderId="0" xfId="0" applyFont="1" applyFill="1"/>
    <xf numFmtId="0" fontId="27" fillId="0" borderId="25" xfId="0" applyFont="1" applyFill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Fill="1" applyBorder="1"/>
    <xf numFmtId="44" fontId="3" fillId="0" borderId="8" xfId="1" applyFont="1" applyBorder="1"/>
    <xf numFmtId="164" fontId="3" fillId="0" borderId="57" xfId="0" applyNumberFormat="1" applyFont="1" applyFill="1" applyBorder="1"/>
    <xf numFmtId="49" fontId="3" fillId="0" borderId="58" xfId="0" applyNumberFormat="1" applyFont="1" applyFill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Fill="1" applyBorder="1"/>
    <xf numFmtId="44" fontId="50" fillId="0" borderId="0" xfId="1" applyFont="1"/>
    <xf numFmtId="44" fontId="51" fillId="0" borderId="0" xfId="1" applyFont="1"/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0" fillId="0" borderId="25" xfId="0" applyFill="1" applyBorder="1"/>
    <xf numFmtId="15" fontId="2" fillId="0" borderId="53" xfId="0" applyNumberFormat="1" applyFont="1" applyFill="1" applyBorder="1"/>
    <xf numFmtId="164" fontId="2" fillId="0" borderId="61" xfId="0" applyNumberFormat="1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/>
    </xf>
    <xf numFmtId="44" fontId="3" fillId="0" borderId="63" xfId="1" applyFont="1" applyFill="1" applyBorder="1"/>
    <xf numFmtId="164" fontId="2" fillId="0" borderId="63" xfId="0" applyNumberFormat="1" applyFont="1" applyFill="1" applyBorder="1"/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/>
    <xf numFmtId="49" fontId="2" fillId="0" borderId="25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vertical="center"/>
    </xf>
    <xf numFmtId="0" fontId="16" fillId="0" borderId="21" xfId="0" applyFont="1" applyFill="1" applyBorder="1" applyAlignment="1">
      <alignment vertical="center"/>
    </xf>
    <xf numFmtId="0" fontId="19" fillId="0" borderId="28" xfId="0" applyFont="1" applyFill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CC"/>
      <color rgb="FF0000FF"/>
      <color rgb="FF99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278"/>
      <c r="C1" s="280" t="s">
        <v>28</v>
      </c>
      <c r="D1" s="281"/>
      <c r="E1" s="281"/>
      <c r="F1" s="281"/>
      <c r="G1" s="281"/>
      <c r="H1" s="281"/>
      <c r="I1" s="281"/>
      <c r="J1" s="281"/>
      <c r="K1" s="281"/>
      <c r="L1" s="281"/>
      <c r="M1" s="281"/>
    </row>
    <row r="2" spans="1:18" ht="16.5" thickBot="1" x14ac:dyDescent="0.3">
      <c r="B2" s="279"/>
      <c r="C2" s="3"/>
      <c r="H2" s="5"/>
      <c r="I2" s="6"/>
      <c r="J2" s="7"/>
      <c r="L2" s="8"/>
      <c r="M2" s="6"/>
      <c r="N2" s="9"/>
    </row>
    <row r="3" spans="1:18" ht="21.75" thickBot="1" x14ac:dyDescent="0.35">
      <c r="B3" s="282" t="s">
        <v>0</v>
      </c>
      <c r="C3" s="283"/>
      <c r="D3" s="10"/>
      <c r="E3" s="11"/>
      <c r="F3" s="11"/>
      <c r="H3" s="284" t="s">
        <v>1</v>
      </c>
      <c r="I3" s="284"/>
      <c r="K3" s="13"/>
      <c r="L3" s="13"/>
      <c r="M3" s="14"/>
      <c r="R3" s="289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285" t="s">
        <v>3</v>
      </c>
      <c r="F4" s="286"/>
      <c r="H4" s="287" t="s">
        <v>4</v>
      </c>
      <c r="I4" s="288"/>
      <c r="J4" s="19"/>
      <c r="K4" s="20"/>
      <c r="L4" s="21"/>
      <c r="M4" s="22" t="s">
        <v>5</v>
      </c>
      <c r="N4" s="23" t="s">
        <v>6</v>
      </c>
      <c r="P4" s="296" t="s">
        <v>7</v>
      </c>
      <c r="Q4" s="297"/>
      <c r="R4" s="290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123</v>
      </c>
      <c r="K34" s="81" t="s">
        <v>124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201</v>
      </c>
      <c r="K36" s="182" t="s">
        <v>202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201</v>
      </c>
      <c r="K37" s="81" t="s">
        <v>203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204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205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98">
        <f>SUM(M5:M39)</f>
        <v>1527030</v>
      </c>
      <c r="N40" s="300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99"/>
      <c r="N41" s="301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2" t="s">
        <v>12</v>
      </c>
      <c r="I53" s="303"/>
      <c r="J53" s="119"/>
      <c r="K53" s="304">
        <f>I51+L51</f>
        <v>50143.28</v>
      </c>
      <c r="L53" s="305"/>
      <c r="M53" s="306">
        <f>N40+M40</f>
        <v>1577043</v>
      </c>
      <c r="N53" s="307"/>
      <c r="P53" s="34"/>
      <c r="Q53" s="9"/>
    </row>
    <row r="54" spans="1:17" ht="15.75" x14ac:dyDescent="0.25">
      <c r="D54" s="308" t="s">
        <v>13</v>
      </c>
      <c r="E54" s="308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309" t="s">
        <v>14</v>
      </c>
      <c r="E55" s="309"/>
      <c r="F55" s="115">
        <v>-1419082.77</v>
      </c>
      <c r="I55" s="310" t="s">
        <v>15</v>
      </c>
      <c r="J55" s="311"/>
      <c r="K55" s="312">
        <f>F57+F58+F59</f>
        <v>296963.46999999997</v>
      </c>
      <c r="L55" s="313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314">
        <f>-C4</f>
        <v>-221059.7</v>
      </c>
      <c r="L57" s="315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91" t="s">
        <v>20</v>
      </c>
      <c r="E59" s="292"/>
      <c r="F59" s="134">
        <v>154314.51999999999</v>
      </c>
      <c r="I59" s="293" t="s">
        <v>168</v>
      </c>
      <c r="J59" s="294"/>
      <c r="K59" s="295">
        <f>K55+K57</f>
        <v>75903.76999999996</v>
      </c>
      <c r="L59" s="295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115"/>
  <sheetViews>
    <sheetView topLeftCell="A19" workbookViewId="0">
      <selection activeCell="C42" sqref="C41:C42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64">
        <v>44683</v>
      </c>
      <c r="B3" s="265" t="s">
        <v>281</v>
      </c>
      <c r="C3" s="266">
        <v>12615</v>
      </c>
      <c r="D3" s="267"/>
      <c r="E3" s="266"/>
      <c r="F3" s="158">
        <f>C3-E3</f>
        <v>12615</v>
      </c>
    </row>
    <row r="4" spans="1:7" ht="15.75" x14ac:dyDescent="0.25">
      <c r="A4" s="268">
        <v>44684</v>
      </c>
      <c r="B4" s="269" t="s">
        <v>282</v>
      </c>
      <c r="C4" s="132">
        <v>17596.349999999999</v>
      </c>
      <c r="D4" s="270"/>
      <c r="E4" s="132"/>
      <c r="F4" s="196">
        <f>C4-E4+F3</f>
        <v>30211.35</v>
      </c>
    </row>
    <row r="5" spans="1:7" s="35" customFormat="1" ht="15.75" x14ac:dyDescent="0.25">
      <c r="A5" s="268">
        <v>44684</v>
      </c>
      <c r="B5" s="269" t="s">
        <v>283</v>
      </c>
      <c r="C5" s="132">
        <v>74815.3</v>
      </c>
      <c r="D5" s="270"/>
      <c r="E5" s="132"/>
      <c r="F5" s="196">
        <f t="shared" ref="F5:F68" si="0">C5-E5+F4</f>
        <v>105026.65</v>
      </c>
    </row>
    <row r="6" spans="1:7" ht="18.75" x14ac:dyDescent="0.3">
      <c r="A6" s="268">
        <v>44684</v>
      </c>
      <c r="B6" s="269" t="s">
        <v>284</v>
      </c>
      <c r="C6" s="132">
        <v>41825.300000000003</v>
      </c>
      <c r="D6" s="270"/>
      <c r="E6" s="132"/>
      <c r="F6" s="196">
        <f t="shared" si="0"/>
        <v>146851.95000000001</v>
      </c>
      <c r="G6" s="162"/>
    </row>
    <row r="7" spans="1:7" ht="15.75" x14ac:dyDescent="0.25">
      <c r="A7" s="268">
        <v>44685</v>
      </c>
      <c r="B7" s="269" t="s">
        <v>285</v>
      </c>
      <c r="C7" s="132">
        <v>16650.34</v>
      </c>
      <c r="D7" s="270"/>
      <c r="E7" s="132"/>
      <c r="F7" s="196">
        <f t="shared" si="0"/>
        <v>163502.29</v>
      </c>
    </row>
    <row r="8" spans="1:7" ht="15.75" x14ac:dyDescent="0.25">
      <c r="A8" s="268">
        <v>44686</v>
      </c>
      <c r="B8" s="269" t="s">
        <v>286</v>
      </c>
      <c r="C8" s="132">
        <v>123347.09</v>
      </c>
      <c r="D8" s="270"/>
      <c r="E8" s="132"/>
      <c r="F8" s="196">
        <f t="shared" si="0"/>
        <v>286849.38</v>
      </c>
    </row>
    <row r="9" spans="1:7" ht="15.75" x14ac:dyDescent="0.25">
      <c r="A9" s="268">
        <v>44686</v>
      </c>
      <c r="B9" s="269" t="s">
        <v>287</v>
      </c>
      <c r="C9" s="132">
        <v>8068.6</v>
      </c>
      <c r="D9" s="270"/>
      <c r="E9" s="132"/>
      <c r="F9" s="196">
        <f t="shared" si="0"/>
        <v>294917.98</v>
      </c>
    </row>
    <row r="10" spans="1:7" ht="15.75" x14ac:dyDescent="0.25">
      <c r="A10" s="268">
        <v>44687</v>
      </c>
      <c r="B10" s="269" t="s">
        <v>288</v>
      </c>
      <c r="C10" s="132">
        <v>150685.6</v>
      </c>
      <c r="D10" s="270"/>
      <c r="E10" s="132"/>
      <c r="F10" s="196">
        <f t="shared" si="0"/>
        <v>445603.57999999996</v>
      </c>
    </row>
    <row r="11" spans="1:7" ht="15.75" x14ac:dyDescent="0.25">
      <c r="A11" s="268">
        <v>44687</v>
      </c>
      <c r="B11" s="269" t="s">
        <v>289</v>
      </c>
      <c r="C11" s="132">
        <v>7806</v>
      </c>
      <c r="D11" s="270"/>
      <c r="E11" s="132"/>
      <c r="F11" s="196">
        <f t="shared" si="0"/>
        <v>453409.57999999996</v>
      </c>
    </row>
    <row r="12" spans="1:7" ht="18.75" x14ac:dyDescent="0.3">
      <c r="A12" s="268">
        <v>44688</v>
      </c>
      <c r="B12" s="269" t="s">
        <v>290</v>
      </c>
      <c r="C12" s="132">
        <v>3240</v>
      </c>
      <c r="D12" s="270"/>
      <c r="E12" s="132"/>
      <c r="F12" s="196">
        <f t="shared" si="0"/>
        <v>456649.57999999996</v>
      </c>
      <c r="G12" s="162"/>
    </row>
    <row r="13" spans="1:7" ht="15.75" x14ac:dyDescent="0.25">
      <c r="A13" s="268">
        <v>44688</v>
      </c>
      <c r="B13" s="269" t="s">
        <v>291</v>
      </c>
      <c r="C13" s="132">
        <v>75100.639999999999</v>
      </c>
      <c r="D13" s="270"/>
      <c r="E13" s="132"/>
      <c r="F13" s="196">
        <f t="shared" si="0"/>
        <v>531750.22</v>
      </c>
    </row>
    <row r="14" spans="1:7" ht="15.75" x14ac:dyDescent="0.25">
      <c r="A14" s="268">
        <v>44690</v>
      </c>
      <c r="B14" s="269" t="s">
        <v>292</v>
      </c>
      <c r="C14" s="132">
        <v>119272.64</v>
      </c>
      <c r="D14" s="270"/>
      <c r="E14" s="132"/>
      <c r="F14" s="196">
        <f t="shared" si="0"/>
        <v>651022.86</v>
      </c>
    </row>
    <row r="15" spans="1:7" ht="15.75" x14ac:dyDescent="0.25">
      <c r="A15" s="268">
        <v>44690</v>
      </c>
      <c r="B15" s="269" t="s">
        <v>293</v>
      </c>
      <c r="C15" s="132">
        <v>1299.5999999999999</v>
      </c>
      <c r="D15" s="270"/>
      <c r="E15" s="132"/>
      <c r="F15" s="196">
        <f t="shared" si="0"/>
        <v>652322.46</v>
      </c>
    </row>
    <row r="16" spans="1:7" ht="15.75" x14ac:dyDescent="0.25">
      <c r="A16" s="268">
        <v>44690</v>
      </c>
      <c r="B16" s="269" t="s">
        <v>294</v>
      </c>
      <c r="C16" s="132">
        <v>259440</v>
      </c>
      <c r="D16" s="270"/>
      <c r="E16" s="132"/>
      <c r="F16" s="196">
        <f t="shared" si="0"/>
        <v>911762.46</v>
      </c>
    </row>
    <row r="17" spans="1:7" ht="15.75" x14ac:dyDescent="0.25">
      <c r="A17" s="268">
        <v>44692</v>
      </c>
      <c r="B17" s="269" t="s">
        <v>295</v>
      </c>
      <c r="C17" s="132">
        <v>111401.12</v>
      </c>
      <c r="D17" s="270"/>
      <c r="E17" s="132"/>
      <c r="F17" s="196">
        <f t="shared" si="0"/>
        <v>1023163.58</v>
      </c>
    </row>
    <row r="18" spans="1:7" ht="15.75" x14ac:dyDescent="0.25">
      <c r="A18" s="268">
        <v>44693</v>
      </c>
      <c r="B18" s="269" t="s">
        <v>296</v>
      </c>
      <c r="C18" s="132">
        <v>35804.199999999997</v>
      </c>
      <c r="D18" s="270"/>
      <c r="E18" s="132"/>
      <c r="F18" s="196">
        <f t="shared" si="0"/>
        <v>1058967.78</v>
      </c>
    </row>
    <row r="19" spans="1:7" ht="15.75" x14ac:dyDescent="0.25">
      <c r="A19" s="268">
        <v>44694</v>
      </c>
      <c r="B19" s="269" t="s">
        <v>297</v>
      </c>
      <c r="C19" s="132">
        <v>1607.16</v>
      </c>
      <c r="D19" s="270"/>
      <c r="E19" s="132"/>
      <c r="F19" s="196">
        <f t="shared" si="0"/>
        <v>1060574.94</v>
      </c>
    </row>
    <row r="20" spans="1:7" ht="15.75" x14ac:dyDescent="0.25">
      <c r="A20" s="268">
        <v>44694</v>
      </c>
      <c r="B20" s="269" t="s">
        <v>298</v>
      </c>
      <c r="C20" s="132">
        <v>110870.6</v>
      </c>
      <c r="D20" s="270"/>
      <c r="E20" s="132"/>
      <c r="F20" s="196">
        <f t="shared" si="0"/>
        <v>1171445.54</v>
      </c>
    </row>
    <row r="21" spans="1:7" ht="15.75" x14ac:dyDescent="0.25">
      <c r="A21" s="268">
        <v>44695</v>
      </c>
      <c r="B21" s="269" t="s">
        <v>299</v>
      </c>
      <c r="C21" s="132">
        <v>130766.36</v>
      </c>
      <c r="D21" s="270"/>
      <c r="E21" s="132"/>
      <c r="F21" s="196">
        <f t="shared" si="0"/>
        <v>1302211.9000000001</v>
      </c>
    </row>
    <row r="22" spans="1:7" ht="15.75" x14ac:dyDescent="0.25">
      <c r="A22" s="268">
        <v>44697</v>
      </c>
      <c r="B22" s="269" t="s">
        <v>300</v>
      </c>
      <c r="C22" s="132">
        <v>114866.53</v>
      </c>
      <c r="D22" s="270"/>
      <c r="E22" s="132"/>
      <c r="F22" s="196">
        <f t="shared" si="0"/>
        <v>1417078.4300000002</v>
      </c>
    </row>
    <row r="23" spans="1:7" ht="15.75" x14ac:dyDescent="0.25">
      <c r="A23" s="268">
        <v>44698</v>
      </c>
      <c r="B23" s="269" t="s">
        <v>301</v>
      </c>
      <c r="C23" s="132">
        <v>6227.2</v>
      </c>
      <c r="D23" s="270"/>
      <c r="E23" s="132"/>
      <c r="F23" s="196">
        <f t="shared" si="0"/>
        <v>1423305.6300000001</v>
      </c>
    </row>
    <row r="24" spans="1:7" ht="18.75" x14ac:dyDescent="0.3">
      <c r="A24" s="268">
        <v>44699</v>
      </c>
      <c r="B24" s="269" t="s">
        <v>302</v>
      </c>
      <c r="C24" s="132">
        <v>66522.98</v>
      </c>
      <c r="D24" s="270"/>
      <c r="E24" s="132"/>
      <c r="F24" s="196">
        <f t="shared" si="0"/>
        <v>1489828.61</v>
      </c>
      <c r="G24" s="162"/>
    </row>
    <row r="25" spans="1:7" ht="15.75" x14ac:dyDescent="0.25">
      <c r="A25" s="268">
        <v>44700</v>
      </c>
      <c r="B25" s="269" t="s">
        <v>303</v>
      </c>
      <c r="C25" s="132">
        <v>98570.79</v>
      </c>
      <c r="D25" s="270"/>
      <c r="E25" s="132"/>
      <c r="F25" s="196">
        <f t="shared" si="0"/>
        <v>1588399.4000000001</v>
      </c>
    </row>
    <row r="26" spans="1:7" ht="15.75" x14ac:dyDescent="0.25">
      <c r="A26" s="268">
        <v>44702</v>
      </c>
      <c r="B26" s="269" t="s">
        <v>304</v>
      </c>
      <c r="C26" s="132">
        <v>94991.4</v>
      </c>
      <c r="D26" s="270"/>
      <c r="E26" s="132"/>
      <c r="F26" s="196">
        <f t="shared" si="0"/>
        <v>1683390.8</v>
      </c>
    </row>
    <row r="27" spans="1:7" ht="15.75" x14ac:dyDescent="0.25">
      <c r="A27" s="268">
        <v>44702</v>
      </c>
      <c r="B27" s="269" t="s">
        <v>305</v>
      </c>
      <c r="C27" s="132">
        <v>39581.199999999997</v>
      </c>
      <c r="D27" s="270"/>
      <c r="E27" s="132"/>
      <c r="F27" s="196">
        <f t="shared" si="0"/>
        <v>1722972</v>
      </c>
    </row>
    <row r="28" spans="1:7" ht="15.75" x14ac:dyDescent="0.25">
      <c r="A28" s="268">
        <v>44702</v>
      </c>
      <c r="B28" s="269" t="s">
        <v>306</v>
      </c>
      <c r="C28" s="132">
        <v>83382</v>
      </c>
      <c r="D28" s="270"/>
      <c r="E28" s="132"/>
      <c r="F28" s="196">
        <f t="shared" si="0"/>
        <v>1806354</v>
      </c>
    </row>
    <row r="29" spans="1:7" ht="15.75" x14ac:dyDescent="0.25">
      <c r="A29" s="268">
        <v>44702</v>
      </c>
      <c r="B29" s="269" t="s">
        <v>307</v>
      </c>
      <c r="C29" s="132">
        <v>1534.4</v>
      </c>
      <c r="D29" s="270"/>
      <c r="E29" s="132"/>
      <c r="F29" s="196">
        <f t="shared" si="0"/>
        <v>1807888.4</v>
      </c>
    </row>
    <row r="30" spans="1:7" ht="15.75" x14ac:dyDescent="0.25">
      <c r="A30" s="268">
        <v>44704</v>
      </c>
      <c r="B30" s="269" t="s">
        <v>308</v>
      </c>
      <c r="C30" s="132">
        <v>58225.08</v>
      </c>
      <c r="D30" s="268"/>
      <c r="E30" s="132"/>
      <c r="F30" s="196">
        <f t="shared" si="0"/>
        <v>1866113.48</v>
      </c>
    </row>
    <row r="31" spans="1:7" ht="15.75" x14ac:dyDescent="0.25">
      <c r="A31" s="268">
        <v>44705</v>
      </c>
      <c r="B31" s="269" t="s">
        <v>309</v>
      </c>
      <c r="C31" s="132">
        <v>24879.42</v>
      </c>
      <c r="D31" s="270"/>
      <c r="E31" s="132"/>
      <c r="F31" s="196">
        <f t="shared" si="0"/>
        <v>1890992.9</v>
      </c>
    </row>
    <row r="32" spans="1:7" ht="18.75" x14ac:dyDescent="0.3">
      <c r="A32" s="268">
        <v>44705</v>
      </c>
      <c r="B32" s="269" t="s">
        <v>310</v>
      </c>
      <c r="C32" s="132">
        <v>480</v>
      </c>
      <c r="D32" s="270"/>
      <c r="E32" s="132"/>
      <c r="F32" s="196">
        <f t="shared" si="0"/>
        <v>1891472.9</v>
      </c>
      <c r="G32" s="162"/>
    </row>
    <row r="33" spans="1:6" ht="15.75" x14ac:dyDescent="0.25">
      <c r="A33" s="268">
        <v>44706</v>
      </c>
      <c r="B33" s="269" t="s">
        <v>314</v>
      </c>
      <c r="C33" s="132">
        <v>74281.539999999994</v>
      </c>
      <c r="D33" s="270"/>
      <c r="E33" s="132"/>
      <c r="F33" s="196">
        <f t="shared" si="0"/>
        <v>1965754.44</v>
      </c>
    </row>
    <row r="34" spans="1:6" ht="23.25" customHeight="1" x14ac:dyDescent="0.25">
      <c r="A34" s="268">
        <v>44707</v>
      </c>
      <c r="B34" s="269" t="s">
        <v>315</v>
      </c>
      <c r="C34" s="132">
        <v>152351.15</v>
      </c>
      <c r="D34" s="270"/>
      <c r="E34" s="132"/>
      <c r="F34" s="196">
        <f t="shared" si="0"/>
        <v>2118105.59</v>
      </c>
    </row>
    <row r="35" spans="1:6" ht="18.75" customHeight="1" x14ac:dyDescent="0.25">
      <c r="A35" s="268">
        <v>44709</v>
      </c>
      <c r="B35" s="269" t="s">
        <v>316</v>
      </c>
      <c r="C35" s="132">
        <v>133819.06</v>
      </c>
      <c r="D35" s="270"/>
      <c r="E35" s="132"/>
      <c r="F35" s="196">
        <f t="shared" si="0"/>
        <v>2251924.65</v>
      </c>
    </row>
    <row r="36" spans="1:6" ht="18.75" customHeight="1" x14ac:dyDescent="0.25">
      <c r="A36" s="268"/>
      <c r="B36" s="269"/>
      <c r="C36" s="132"/>
      <c r="D36" s="270"/>
      <c r="E36" s="132"/>
      <c r="F36" s="196">
        <f t="shared" si="0"/>
        <v>2251924.65</v>
      </c>
    </row>
    <row r="37" spans="1:6" ht="18.75" customHeight="1" x14ac:dyDescent="0.25">
      <c r="A37" s="268"/>
      <c r="B37" s="269"/>
      <c r="C37" s="132"/>
      <c r="D37" s="270"/>
      <c r="E37" s="132"/>
      <c r="F37" s="196">
        <f t="shared" si="0"/>
        <v>2251924.65</v>
      </c>
    </row>
    <row r="38" spans="1:6" ht="18.75" customHeight="1" x14ac:dyDescent="0.25">
      <c r="A38" s="268"/>
      <c r="B38" s="269"/>
      <c r="C38" s="132"/>
      <c r="D38" s="270"/>
      <c r="E38" s="132"/>
      <c r="F38" s="196">
        <f t="shared" si="0"/>
        <v>2251924.65</v>
      </c>
    </row>
    <row r="39" spans="1:6" ht="18.75" customHeight="1" x14ac:dyDescent="0.25">
      <c r="A39" s="268"/>
      <c r="B39" s="269"/>
      <c r="C39" s="132"/>
      <c r="D39" s="270"/>
      <c r="E39" s="132"/>
      <c r="F39" s="196">
        <f t="shared" si="0"/>
        <v>2251924.65</v>
      </c>
    </row>
    <row r="40" spans="1:6" ht="18.75" customHeight="1" x14ac:dyDescent="0.25">
      <c r="A40" s="268"/>
      <c r="B40" s="269"/>
      <c r="C40" s="132"/>
      <c r="D40" s="270"/>
      <c r="E40" s="86"/>
      <c r="F40" s="196">
        <f t="shared" si="0"/>
        <v>2251924.65</v>
      </c>
    </row>
    <row r="41" spans="1:6" ht="18.75" customHeight="1" x14ac:dyDescent="0.25">
      <c r="A41" s="268"/>
      <c r="B41" s="269"/>
      <c r="C41" s="132"/>
      <c r="D41" s="270"/>
      <c r="E41" s="86"/>
      <c r="F41" s="196">
        <f t="shared" si="0"/>
        <v>2251924.65</v>
      </c>
    </row>
    <row r="42" spans="1:6" ht="18.75" customHeight="1" x14ac:dyDescent="0.25">
      <c r="A42" s="270"/>
      <c r="B42" s="271"/>
      <c r="C42" s="86"/>
      <c r="D42" s="270"/>
      <c r="E42" s="86"/>
      <c r="F42" s="196">
        <f t="shared" si="0"/>
        <v>2251924.65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2251924.65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2251924.65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2251924.65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2251924.65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2251924.65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2251924.65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2251924.65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2251924.65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2251924.65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2251924.65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2251924.65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2251924.65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2251924.65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2251924.65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2251924.65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2251924.65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2251924.65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2251924.65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2251924.65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2251924.65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2251924.65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2251924.65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2251924.65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2251924.65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2251924.65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2251924.65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2251924.65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2251924.65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2251924.65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2251924.65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2251924.65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2251924.65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2251924.65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2251924.65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2251924.65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2251924.65</v>
      </c>
    </row>
    <row r="79" spans="1:6" ht="19.5" thickBot="1" x14ac:dyDescent="0.35">
      <c r="A79" s="212"/>
      <c r="B79" s="232"/>
      <c r="C79" s="250">
        <f>SUM(C3:C78)</f>
        <v>2251924.65</v>
      </c>
      <c r="D79" s="189"/>
      <c r="E79" s="178">
        <f>SUM(E3:E78)</f>
        <v>0</v>
      </c>
      <c r="F79" s="179">
        <f>F78</f>
        <v>2251924.65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abSelected="1" topLeftCell="D1" workbookViewId="0">
      <selection activeCell="M17" sqref="M17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1" customWidth="1"/>
  </cols>
  <sheetData>
    <row r="1" spans="1:21" ht="23.25" x14ac:dyDescent="0.35">
      <c r="B1" s="278"/>
      <c r="C1" s="280" t="s">
        <v>326</v>
      </c>
      <c r="D1" s="281"/>
      <c r="E1" s="281"/>
      <c r="F1" s="281"/>
      <c r="G1" s="281"/>
      <c r="H1" s="281"/>
      <c r="I1" s="281"/>
      <c r="J1" s="281"/>
      <c r="K1" s="281"/>
      <c r="L1" s="281"/>
      <c r="M1" s="281"/>
    </row>
    <row r="2" spans="1:21" ht="16.5" thickBot="1" x14ac:dyDescent="0.3">
      <c r="B2" s="279"/>
      <c r="C2" s="3"/>
      <c r="H2" s="5"/>
      <c r="I2" s="6"/>
      <c r="J2" s="7"/>
      <c r="L2" s="8"/>
      <c r="M2" s="6"/>
      <c r="N2" s="9"/>
    </row>
    <row r="3" spans="1:21" ht="21.75" thickBot="1" x14ac:dyDescent="0.35">
      <c r="B3" s="282" t="s">
        <v>0</v>
      </c>
      <c r="C3" s="283"/>
      <c r="D3" s="10"/>
      <c r="E3" s="11"/>
      <c r="F3" s="11"/>
      <c r="H3" s="284" t="s">
        <v>1</v>
      </c>
      <c r="I3" s="284"/>
      <c r="K3" s="13"/>
      <c r="L3" s="13"/>
      <c r="M3" s="14"/>
      <c r="R3" s="289" t="s">
        <v>38</v>
      </c>
    </row>
    <row r="4" spans="1:21" ht="20.25" thickTop="1" thickBot="1" x14ac:dyDescent="0.35">
      <c r="A4" s="15" t="s">
        <v>2</v>
      </c>
      <c r="B4" s="16"/>
      <c r="C4" s="17">
        <v>149938.81</v>
      </c>
      <c r="D4" s="18">
        <v>44710</v>
      </c>
      <c r="E4" s="285" t="s">
        <v>3</v>
      </c>
      <c r="F4" s="286"/>
      <c r="H4" s="287" t="s">
        <v>4</v>
      </c>
      <c r="I4" s="288"/>
      <c r="J4" s="19"/>
      <c r="K4" s="20"/>
      <c r="L4" s="21"/>
      <c r="M4" s="22" t="s">
        <v>5</v>
      </c>
      <c r="N4" s="23" t="s">
        <v>6</v>
      </c>
      <c r="P4" s="296" t="s">
        <v>7</v>
      </c>
      <c r="Q4" s="297"/>
      <c r="R4" s="290"/>
    </row>
    <row r="5" spans="1:21" ht="18" thickBot="1" x14ac:dyDescent="0.35">
      <c r="A5" s="24" t="s">
        <v>8</v>
      </c>
      <c r="B5" s="25">
        <v>44711</v>
      </c>
      <c r="C5" s="26">
        <v>0</v>
      </c>
      <c r="D5" s="27"/>
      <c r="E5" s="28">
        <v>44711</v>
      </c>
      <c r="F5" s="29">
        <v>68569</v>
      </c>
      <c r="G5" s="2"/>
      <c r="H5" s="30">
        <v>44711</v>
      </c>
      <c r="I5" s="31">
        <v>92</v>
      </c>
      <c r="J5" s="7"/>
      <c r="K5" s="182"/>
      <c r="L5" s="9"/>
      <c r="M5" s="32">
        <f>56619+11000</f>
        <v>67619</v>
      </c>
      <c r="N5" s="33">
        <v>858</v>
      </c>
      <c r="O5" s="2"/>
      <c r="P5" s="34">
        <f>N5+M5+L5+I5+C5</f>
        <v>68569</v>
      </c>
      <c r="Q5" s="13">
        <f>P5-F5</f>
        <v>0</v>
      </c>
      <c r="R5" s="9"/>
    </row>
    <row r="6" spans="1:21" ht="18" thickBot="1" x14ac:dyDescent="0.35">
      <c r="A6" s="24"/>
      <c r="B6" s="25">
        <v>44712</v>
      </c>
      <c r="C6" s="26">
        <v>0</v>
      </c>
      <c r="D6" s="36"/>
      <c r="E6" s="28">
        <v>44712</v>
      </c>
      <c r="F6" s="29">
        <v>48343</v>
      </c>
      <c r="G6" s="2"/>
      <c r="H6" s="30">
        <v>44712</v>
      </c>
      <c r="I6" s="31">
        <v>10</v>
      </c>
      <c r="J6" s="38"/>
      <c r="K6" s="39"/>
      <c r="L6" s="40"/>
      <c r="M6" s="32">
        <f>20000+40505</f>
        <v>60505</v>
      </c>
      <c r="N6" s="33">
        <v>200</v>
      </c>
      <c r="O6" s="2"/>
      <c r="P6" s="34">
        <f t="shared" ref="P6:P34" si="0">N6+M6+L6+I6+C6</f>
        <v>60715</v>
      </c>
      <c r="Q6" s="13">
        <v>0</v>
      </c>
      <c r="R6" s="184">
        <v>12372</v>
      </c>
    </row>
    <row r="7" spans="1:21" ht="18" thickBot="1" x14ac:dyDescent="0.35">
      <c r="A7" s="24"/>
      <c r="B7" s="25">
        <v>44713</v>
      </c>
      <c r="C7" s="26">
        <v>2830</v>
      </c>
      <c r="D7" s="41" t="s">
        <v>341</v>
      </c>
      <c r="E7" s="28">
        <v>44713</v>
      </c>
      <c r="F7" s="29">
        <v>45188</v>
      </c>
      <c r="G7" s="2"/>
      <c r="H7" s="30">
        <v>44713</v>
      </c>
      <c r="I7" s="31">
        <v>87</v>
      </c>
      <c r="J7" s="38"/>
      <c r="K7" s="42"/>
      <c r="L7" s="40"/>
      <c r="M7" s="32">
        <f>27271+15000</f>
        <v>42271</v>
      </c>
      <c r="N7" s="33">
        <v>0</v>
      </c>
      <c r="O7" s="2"/>
      <c r="P7" s="34">
        <f t="shared" si="0"/>
        <v>45188</v>
      </c>
      <c r="Q7" s="13">
        <f t="shared" ref="Q7:Q40" si="1">P7-F7</f>
        <v>0</v>
      </c>
      <c r="R7" s="9"/>
    </row>
    <row r="8" spans="1:21" ht="18" thickBot="1" x14ac:dyDescent="0.35">
      <c r="A8" s="24"/>
      <c r="B8" s="25">
        <v>44714</v>
      </c>
      <c r="C8" s="26">
        <v>0</v>
      </c>
      <c r="D8" s="41"/>
      <c r="E8" s="28">
        <v>44714</v>
      </c>
      <c r="F8" s="29">
        <v>70879</v>
      </c>
      <c r="G8" s="2"/>
      <c r="H8" s="30">
        <v>44714</v>
      </c>
      <c r="I8" s="31">
        <v>30</v>
      </c>
      <c r="J8" s="44"/>
      <c r="K8" s="45"/>
      <c r="L8" s="40"/>
      <c r="M8" s="32">
        <f>41633+40000</f>
        <v>81633</v>
      </c>
      <c r="N8" s="33">
        <v>1977</v>
      </c>
      <c r="O8" s="2"/>
      <c r="P8" s="34">
        <f t="shared" si="0"/>
        <v>83640</v>
      </c>
      <c r="Q8" s="13">
        <v>0</v>
      </c>
      <c r="R8" s="184">
        <v>12761</v>
      </c>
    </row>
    <row r="9" spans="1:21" ht="18" thickBot="1" x14ac:dyDescent="0.35">
      <c r="A9" s="24"/>
      <c r="B9" s="25">
        <v>44715</v>
      </c>
      <c r="C9" s="26">
        <v>12937</v>
      </c>
      <c r="D9" s="41" t="s">
        <v>49</v>
      </c>
      <c r="E9" s="28">
        <v>44715</v>
      </c>
      <c r="F9" s="29">
        <v>99483</v>
      </c>
      <c r="G9" s="2"/>
      <c r="H9" s="30">
        <v>44715</v>
      </c>
      <c r="I9" s="31">
        <v>123</v>
      </c>
      <c r="J9" s="38"/>
      <c r="K9" s="46"/>
      <c r="L9" s="40"/>
      <c r="M9" s="32">
        <f>61192+25000</f>
        <v>86192</v>
      </c>
      <c r="N9" s="33">
        <v>231</v>
      </c>
      <c r="O9" s="2"/>
      <c r="P9" s="34">
        <f t="shared" si="0"/>
        <v>99483</v>
      </c>
      <c r="Q9" s="13">
        <f t="shared" si="1"/>
        <v>0</v>
      </c>
      <c r="R9" s="9"/>
    </row>
    <row r="10" spans="1:21" ht="18" thickBot="1" x14ac:dyDescent="0.35">
      <c r="A10" s="24"/>
      <c r="B10" s="25">
        <v>44716</v>
      </c>
      <c r="C10" s="26">
        <v>0</v>
      </c>
      <c r="D10" s="36"/>
      <c r="E10" s="28">
        <v>44716</v>
      </c>
      <c r="F10" s="29">
        <v>104709</v>
      </c>
      <c r="G10" s="2"/>
      <c r="H10" s="30">
        <v>44716</v>
      </c>
      <c r="I10" s="31">
        <v>99</v>
      </c>
      <c r="J10" s="38">
        <v>44716</v>
      </c>
      <c r="K10" s="47" t="s">
        <v>342</v>
      </c>
      <c r="L10" s="48">
        <v>9483</v>
      </c>
      <c r="M10" s="32">
        <f>35000+49514+675</f>
        <v>85189</v>
      </c>
      <c r="N10" s="33">
        <v>9938</v>
      </c>
      <c r="O10" s="2"/>
      <c r="P10" s="34">
        <f t="shared" si="0"/>
        <v>104709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44717</v>
      </c>
      <c r="C11" s="26">
        <v>0</v>
      </c>
      <c r="D11" s="36"/>
      <c r="E11" s="28">
        <v>44717</v>
      </c>
      <c r="F11" s="29">
        <v>122844</v>
      </c>
      <c r="G11" s="2"/>
      <c r="H11" s="30">
        <v>44717</v>
      </c>
      <c r="I11" s="31">
        <v>0</v>
      </c>
      <c r="J11" s="44"/>
      <c r="K11" s="49"/>
      <c r="L11" s="40"/>
      <c r="M11" s="32">
        <f>32526+90000</f>
        <v>122526</v>
      </c>
      <c r="N11" s="33">
        <v>318</v>
      </c>
      <c r="O11" s="2"/>
      <c r="P11" s="34">
        <f>N11+M11+L11+I11+C11</f>
        <v>122844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44718</v>
      </c>
      <c r="C12" s="26">
        <v>3600</v>
      </c>
      <c r="D12" s="36" t="s">
        <v>47</v>
      </c>
      <c r="E12" s="28">
        <v>44718</v>
      </c>
      <c r="F12" s="29">
        <v>87892</v>
      </c>
      <c r="G12" s="2"/>
      <c r="H12" s="30">
        <v>44718</v>
      </c>
      <c r="I12" s="31">
        <v>65</v>
      </c>
      <c r="J12" s="38"/>
      <c r="K12" s="50"/>
      <c r="L12" s="40"/>
      <c r="M12" s="32">
        <f>36227+48000</f>
        <v>84227</v>
      </c>
      <c r="N12" s="33">
        <v>0</v>
      </c>
      <c r="O12" s="2"/>
      <c r="P12" s="34">
        <f t="shared" si="0"/>
        <v>87892</v>
      </c>
      <c r="Q12" s="13">
        <f t="shared" si="1"/>
        <v>0</v>
      </c>
      <c r="R12" s="9"/>
    </row>
    <row r="13" spans="1:21" ht="18" thickBot="1" x14ac:dyDescent="0.35">
      <c r="A13" s="24"/>
      <c r="B13" s="25">
        <v>44719</v>
      </c>
      <c r="C13" s="26">
        <v>800</v>
      </c>
      <c r="D13" s="41" t="s">
        <v>133</v>
      </c>
      <c r="E13" s="28">
        <v>44719</v>
      </c>
      <c r="F13" s="29">
        <v>72961</v>
      </c>
      <c r="G13" s="2"/>
      <c r="H13" s="30">
        <v>44719</v>
      </c>
      <c r="I13" s="31">
        <v>127</v>
      </c>
      <c r="J13" s="38"/>
      <c r="K13" s="39"/>
      <c r="L13" s="40"/>
      <c r="M13" s="32">
        <f>33794+20000</f>
        <v>53794</v>
      </c>
      <c r="N13" s="33">
        <v>18240</v>
      </c>
      <c r="O13" s="2"/>
      <c r="P13" s="34">
        <f t="shared" si="0"/>
        <v>72961</v>
      </c>
      <c r="Q13" s="13">
        <f t="shared" si="1"/>
        <v>0</v>
      </c>
      <c r="R13" s="185"/>
    </row>
    <row r="14" spans="1:21" ht="18" thickBot="1" x14ac:dyDescent="0.35">
      <c r="A14" s="24"/>
      <c r="B14" s="25">
        <v>44720</v>
      </c>
      <c r="C14" s="26">
        <v>0</v>
      </c>
      <c r="D14" s="51"/>
      <c r="E14" s="28">
        <v>44720</v>
      </c>
      <c r="F14" s="29">
        <v>43378</v>
      </c>
      <c r="G14" s="2"/>
      <c r="H14" s="30">
        <v>44720</v>
      </c>
      <c r="I14" s="31">
        <v>60</v>
      </c>
      <c r="J14" s="38"/>
      <c r="K14" s="45"/>
      <c r="L14" s="40"/>
      <c r="M14" s="32">
        <f>28218+15000</f>
        <v>43218</v>
      </c>
      <c r="N14" s="33">
        <v>100</v>
      </c>
      <c r="O14" s="2"/>
      <c r="P14" s="34">
        <f t="shared" si="0"/>
        <v>43378</v>
      </c>
      <c r="Q14" s="13">
        <f t="shared" si="1"/>
        <v>0</v>
      </c>
      <c r="R14" s="185"/>
    </row>
    <row r="15" spans="1:21" ht="18" thickBot="1" x14ac:dyDescent="0.35">
      <c r="A15" s="24"/>
      <c r="B15" s="25">
        <v>44721</v>
      </c>
      <c r="C15" s="26">
        <v>0</v>
      </c>
      <c r="D15" s="51"/>
      <c r="E15" s="28">
        <v>44721</v>
      </c>
      <c r="F15" s="29">
        <v>74534</v>
      </c>
      <c r="G15" s="2"/>
      <c r="H15" s="30">
        <v>44721</v>
      </c>
      <c r="I15" s="31">
        <v>31</v>
      </c>
      <c r="J15" s="38"/>
      <c r="K15" s="45"/>
      <c r="L15" s="40"/>
      <c r="M15" s="32">
        <f>15000+59275</f>
        <v>74275</v>
      </c>
      <c r="N15" s="33">
        <v>228</v>
      </c>
      <c r="P15" s="34">
        <f t="shared" si="0"/>
        <v>74534</v>
      </c>
      <c r="Q15" s="13">
        <f t="shared" si="1"/>
        <v>0</v>
      </c>
      <c r="R15" s="9"/>
    </row>
    <row r="16" spans="1:21" ht="18" thickBot="1" x14ac:dyDescent="0.35">
      <c r="A16" s="24"/>
      <c r="B16" s="25">
        <v>44722</v>
      </c>
      <c r="C16" s="26">
        <v>23100</v>
      </c>
      <c r="D16" s="36" t="s">
        <v>49</v>
      </c>
      <c r="E16" s="28">
        <v>44722</v>
      </c>
      <c r="F16" s="29">
        <v>137137</v>
      </c>
      <c r="G16" s="2"/>
      <c r="H16" s="30">
        <v>44722</v>
      </c>
      <c r="I16" s="31">
        <v>208</v>
      </c>
      <c r="J16" s="38"/>
      <c r="K16" s="45"/>
      <c r="L16" s="9"/>
      <c r="M16" s="32">
        <f>83015+30000</f>
        <v>113015</v>
      </c>
      <c r="N16" s="33">
        <v>814</v>
      </c>
      <c r="P16" s="34">
        <f t="shared" si="0"/>
        <v>137137</v>
      </c>
      <c r="Q16" s="13">
        <f t="shared" si="1"/>
        <v>0</v>
      </c>
      <c r="R16" s="9" t="s">
        <v>8</v>
      </c>
    </row>
    <row r="17" spans="1:18" ht="18" thickBot="1" x14ac:dyDescent="0.35">
      <c r="A17" s="24"/>
      <c r="B17" s="25">
        <v>44723</v>
      </c>
      <c r="C17" s="26">
        <v>3430</v>
      </c>
      <c r="D17" s="41" t="s">
        <v>47</v>
      </c>
      <c r="E17" s="28">
        <v>44723</v>
      </c>
      <c r="F17" s="29">
        <v>91767</v>
      </c>
      <c r="G17" s="2"/>
      <c r="H17" s="30">
        <v>44723</v>
      </c>
      <c r="I17" s="31">
        <v>60</v>
      </c>
      <c r="J17" s="38">
        <v>44723</v>
      </c>
      <c r="K17" s="52" t="s">
        <v>343</v>
      </c>
      <c r="L17" s="48">
        <v>9500</v>
      </c>
      <c r="M17" s="32">
        <v>0</v>
      </c>
      <c r="N17" s="33">
        <v>0</v>
      </c>
      <c r="P17" s="34">
        <f t="shared" si="0"/>
        <v>12990</v>
      </c>
      <c r="Q17" s="13">
        <f t="shared" si="1"/>
        <v>-78777</v>
      </c>
      <c r="R17" s="9"/>
    </row>
    <row r="18" spans="1:18" ht="18" thickBot="1" x14ac:dyDescent="0.35">
      <c r="A18" s="24"/>
      <c r="B18" s="25">
        <v>44724</v>
      </c>
      <c r="C18" s="26">
        <v>0</v>
      </c>
      <c r="D18" s="36"/>
      <c r="E18" s="28">
        <v>44724</v>
      </c>
      <c r="F18" s="29"/>
      <c r="G18" s="2"/>
      <c r="H18" s="30">
        <v>44724</v>
      </c>
      <c r="I18" s="31"/>
      <c r="J18" s="38"/>
      <c r="K18" s="53"/>
      <c r="L18" s="40"/>
      <c r="M18" s="32">
        <v>0</v>
      </c>
      <c r="N18" s="33">
        <v>0</v>
      </c>
      <c r="P18" s="34">
        <f t="shared" si="0"/>
        <v>0</v>
      </c>
      <c r="Q18" s="13">
        <f t="shared" si="1"/>
        <v>0</v>
      </c>
      <c r="R18" s="9"/>
    </row>
    <row r="19" spans="1:18" ht="18" thickBot="1" x14ac:dyDescent="0.35">
      <c r="A19" s="24"/>
      <c r="B19" s="25">
        <v>44725</v>
      </c>
      <c r="C19" s="26">
        <v>0</v>
      </c>
      <c r="D19" s="36"/>
      <c r="E19" s="28">
        <v>44725</v>
      </c>
      <c r="F19" s="29"/>
      <c r="G19" s="2"/>
      <c r="H19" s="30">
        <v>44725</v>
      </c>
      <c r="I19" s="31"/>
      <c r="J19" s="38"/>
      <c r="K19" s="54"/>
      <c r="L19" s="55"/>
      <c r="M19" s="32">
        <v>0</v>
      </c>
      <c r="N19" s="33">
        <v>0</v>
      </c>
      <c r="O19" s="2"/>
      <c r="P19" s="34">
        <f t="shared" si="0"/>
        <v>0</v>
      </c>
      <c r="Q19" s="13">
        <f t="shared" si="1"/>
        <v>0</v>
      </c>
      <c r="R19" s="9"/>
    </row>
    <row r="20" spans="1:18" ht="18" thickBot="1" x14ac:dyDescent="0.35">
      <c r="A20" s="24"/>
      <c r="B20" s="25">
        <v>44726</v>
      </c>
      <c r="C20" s="26">
        <v>0</v>
      </c>
      <c r="D20" s="36"/>
      <c r="E20" s="28">
        <v>44726</v>
      </c>
      <c r="F20" s="29"/>
      <c r="G20" s="2"/>
      <c r="H20" s="30">
        <v>44726</v>
      </c>
      <c r="I20" s="31"/>
      <c r="J20" s="38"/>
      <c r="K20" s="56"/>
      <c r="L20" s="48"/>
      <c r="M20" s="32">
        <v>0</v>
      </c>
      <c r="N20" s="33">
        <v>0</v>
      </c>
      <c r="P20" s="34">
        <f t="shared" si="0"/>
        <v>0</v>
      </c>
      <c r="Q20" s="13">
        <f t="shared" si="1"/>
        <v>0</v>
      </c>
      <c r="R20" s="9"/>
    </row>
    <row r="21" spans="1:18" ht="18" thickBot="1" x14ac:dyDescent="0.35">
      <c r="A21" s="24"/>
      <c r="B21" s="25">
        <v>44727</v>
      </c>
      <c r="C21" s="26">
        <v>0</v>
      </c>
      <c r="D21" s="36"/>
      <c r="E21" s="28">
        <v>44727</v>
      </c>
      <c r="F21" s="29"/>
      <c r="G21" s="2"/>
      <c r="H21" s="30">
        <v>44727</v>
      </c>
      <c r="I21" s="31"/>
      <c r="J21" s="38"/>
      <c r="K21" s="57"/>
      <c r="L21" s="48"/>
      <c r="M21" s="32">
        <v>0</v>
      </c>
      <c r="N21" s="33">
        <v>0</v>
      </c>
      <c r="P21" s="34">
        <f t="shared" si="0"/>
        <v>0</v>
      </c>
      <c r="Q21" s="13">
        <f t="shared" si="1"/>
        <v>0</v>
      </c>
      <c r="R21" s="9"/>
    </row>
    <row r="22" spans="1:18" ht="18" thickBot="1" x14ac:dyDescent="0.35">
      <c r="A22" s="24"/>
      <c r="B22" s="25">
        <v>44728</v>
      </c>
      <c r="C22" s="26">
        <v>0</v>
      </c>
      <c r="D22" s="36"/>
      <c r="E22" s="28">
        <v>44728</v>
      </c>
      <c r="F22" s="29"/>
      <c r="G22" s="2"/>
      <c r="H22" s="30">
        <v>44728</v>
      </c>
      <c r="I22" s="31"/>
      <c r="J22" s="38"/>
      <c r="K22" s="45"/>
      <c r="L22" s="58"/>
      <c r="M22" s="32">
        <v>0</v>
      </c>
      <c r="N22" s="33">
        <v>0</v>
      </c>
      <c r="P22" s="34">
        <f t="shared" si="0"/>
        <v>0</v>
      </c>
      <c r="Q22" s="13">
        <f t="shared" si="1"/>
        <v>0</v>
      </c>
      <c r="R22" s="9"/>
    </row>
    <row r="23" spans="1:18" ht="18" thickBot="1" x14ac:dyDescent="0.35">
      <c r="A23" s="24"/>
      <c r="B23" s="25">
        <v>44729</v>
      </c>
      <c r="C23" s="26">
        <v>0</v>
      </c>
      <c r="D23" s="36"/>
      <c r="E23" s="28">
        <v>44729</v>
      </c>
      <c r="F23" s="29"/>
      <c r="G23" s="2"/>
      <c r="H23" s="30">
        <v>44729</v>
      </c>
      <c r="I23" s="31"/>
      <c r="J23" s="59"/>
      <c r="K23" s="60"/>
      <c r="L23" s="48"/>
      <c r="M23" s="32">
        <v>0</v>
      </c>
      <c r="N23" s="33">
        <v>0</v>
      </c>
      <c r="P23" s="34">
        <f t="shared" si="0"/>
        <v>0</v>
      </c>
      <c r="Q23" s="13">
        <f t="shared" si="1"/>
        <v>0</v>
      </c>
      <c r="R23" s="9"/>
    </row>
    <row r="24" spans="1:18" ht="18" thickBot="1" x14ac:dyDescent="0.35">
      <c r="A24" s="24"/>
      <c r="B24" s="25">
        <v>44730</v>
      </c>
      <c r="C24" s="26">
        <v>0</v>
      </c>
      <c r="D24" s="41"/>
      <c r="E24" s="28">
        <v>44730</v>
      </c>
      <c r="F24" s="29"/>
      <c r="G24" s="2"/>
      <c r="H24" s="30">
        <v>44730</v>
      </c>
      <c r="I24" s="31"/>
      <c r="J24" s="181"/>
      <c r="K24" s="62"/>
      <c r="L24" s="63"/>
      <c r="M24" s="32">
        <v>0</v>
      </c>
      <c r="N24" s="33">
        <v>0</v>
      </c>
      <c r="P24" s="34">
        <f t="shared" si="0"/>
        <v>0</v>
      </c>
      <c r="Q24" s="13">
        <f t="shared" si="1"/>
        <v>0</v>
      </c>
      <c r="R24" s="9"/>
    </row>
    <row r="25" spans="1:18" ht="18" thickBot="1" x14ac:dyDescent="0.35">
      <c r="A25" s="24"/>
      <c r="B25" s="25">
        <v>44731</v>
      </c>
      <c r="C25" s="26">
        <v>0</v>
      </c>
      <c r="D25" s="36"/>
      <c r="E25" s="28">
        <v>44731</v>
      </c>
      <c r="F25" s="29"/>
      <c r="G25" s="2"/>
      <c r="H25" s="30">
        <v>44731</v>
      </c>
      <c r="I25" s="31"/>
      <c r="J25" s="64"/>
      <c r="K25" s="65"/>
      <c r="L25" s="66"/>
      <c r="M25" s="32">
        <v>0</v>
      </c>
      <c r="N25" s="33">
        <v>0</v>
      </c>
      <c r="O25" t="s">
        <v>8</v>
      </c>
      <c r="P25" s="34">
        <f t="shared" si="0"/>
        <v>0</v>
      </c>
      <c r="Q25" s="13">
        <f t="shared" si="1"/>
        <v>0</v>
      </c>
      <c r="R25" s="9"/>
    </row>
    <row r="26" spans="1:18" ht="18" thickBot="1" x14ac:dyDescent="0.35">
      <c r="A26" s="24"/>
      <c r="B26" s="25">
        <v>44732</v>
      </c>
      <c r="C26" s="26">
        <v>0</v>
      </c>
      <c r="D26" s="36"/>
      <c r="E26" s="28">
        <v>44732</v>
      </c>
      <c r="F26" s="29"/>
      <c r="G26" s="2"/>
      <c r="H26" s="30">
        <v>44732</v>
      </c>
      <c r="I26" s="31"/>
      <c r="J26" s="38"/>
      <c r="K26" s="62"/>
      <c r="L26" s="48"/>
      <c r="M26" s="32">
        <v>0</v>
      </c>
      <c r="N26" s="33">
        <v>0</v>
      </c>
      <c r="P26" s="34">
        <f t="shared" si="0"/>
        <v>0</v>
      </c>
      <c r="Q26" s="13">
        <f t="shared" si="1"/>
        <v>0</v>
      </c>
      <c r="R26" s="9"/>
    </row>
    <row r="27" spans="1:18" ht="18" thickBot="1" x14ac:dyDescent="0.35">
      <c r="A27" s="24"/>
      <c r="B27" s="25">
        <v>44733</v>
      </c>
      <c r="C27" s="26">
        <v>0</v>
      </c>
      <c r="D27" s="41"/>
      <c r="E27" s="28">
        <v>44733</v>
      </c>
      <c r="F27" s="29"/>
      <c r="G27" s="2"/>
      <c r="H27" s="30">
        <v>44733</v>
      </c>
      <c r="I27" s="31"/>
      <c r="J27" s="67"/>
      <c r="K27" s="68"/>
      <c r="L27" s="66"/>
      <c r="M27" s="32">
        <v>0</v>
      </c>
      <c r="N27" s="33">
        <v>0</v>
      </c>
      <c r="P27" s="34">
        <f t="shared" si="0"/>
        <v>0</v>
      </c>
      <c r="Q27" s="13">
        <f t="shared" si="1"/>
        <v>0</v>
      </c>
      <c r="R27" s="9"/>
    </row>
    <row r="28" spans="1:18" ht="18" thickBot="1" x14ac:dyDescent="0.35">
      <c r="A28" s="24"/>
      <c r="B28" s="25">
        <v>44734</v>
      </c>
      <c r="C28" s="26">
        <v>0</v>
      </c>
      <c r="D28" s="41"/>
      <c r="E28" s="28">
        <v>44734</v>
      </c>
      <c r="F28" s="29"/>
      <c r="G28" s="2"/>
      <c r="H28" s="30">
        <v>44734</v>
      </c>
      <c r="I28" s="31"/>
      <c r="J28" s="69"/>
      <c r="K28" s="70"/>
      <c r="L28" s="66"/>
      <c r="M28" s="32">
        <v>0</v>
      </c>
      <c r="N28" s="33">
        <v>0</v>
      </c>
      <c r="P28" s="34">
        <f t="shared" si="0"/>
        <v>0</v>
      </c>
      <c r="Q28" s="13">
        <f t="shared" si="1"/>
        <v>0</v>
      </c>
      <c r="R28" s="9"/>
    </row>
    <row r="29" spans="1:18" ht="18" thickBot="1" x14ac:dyDescent="0.35">
      <c r="A29" s="24"/>
      <c r="B29" s="25">
        <v>44735</v>
      </c>
      <c r="C29" s="26">
        <v>0</v>
      </c>
      <c r="D29" s="71"/>
      <c r="E29" s="28">
        <v>44735</v>
      </c>
      <c r="F29" s="29"/>
      <c r="G29" s="2"/>
      <c r="H29" s="30">
        <v>44735</v>
      </c>
      <c r="I29" s="31"/>
      <c r="J29" s="67"/>
      <c r="K29" s="72"/>
      <c r="L29" s="66"/>
      <c r="M29" s="32">
        <v>0</v>
      </c>
      <c r="N29" s="33">
        <v>0</v>
      </c>
      <c r="P29" s="34">
        <f t="shared" si="0"/>
        <v>0</v>
      </c>
      <c r="Q29" s="13">
        <f t="shared" si="1"/>
        <v>0</v>
      </c>
      <c r="R29" s="9"/>
    </row>
    <row r="30" spans="1:18" ht="18" thickBot="1" x14ac:dyDescent="0.35">
      <c r="A30" s="24"/>
      <c r="B30" s="25">
        <v>44736</v>
      </c>
      <c r="C30" s="26">
        <v>0</v>
      </c>
      <c r="D30" s="71"/>
      <c r="E30" s="28">
        <v>44736</v>
      </c>
      <c r="F30" s="29"/>
      <c r="G30" s="2"/>
      <c r="H30" s="30">
        <v>44736</v>
      </c>
      <c r="I30" s="31"/>
      <c r="J30" s="73"/>
      <c r="K30" s="74"/>
      <c r="L30" s="75"/>
      <c r="M30" s="32">
        <v>0</v>
      </c>
      <c r="N30" s="33">
        <v>0</v>
      </c>
      <c r="P30" s="34">
        <f t="shared" si="0"/>
        <v>0</v>
      </c>
      <c r="Q30" s="13">
        <f t="shared" si="1"/>
        <v>0</v>
      </c>
      <c r="R30" s="9"/>
    </row>
    <row r="31" spans="1:18" ht="18" thickBot="1" x14ac:dyDescent="0.35">
      <c r="A31" s="24"/>
      <c r="B31" s="25">
        <v>44737</v>
      </c>
      <c r="C31" s="26">
        <v>0</v>
      </c>
      <c r="D31" s="83"/>
      <c r="E31" s="28">
        <v>44737</v>
      </c>
      <c r="F31" s="29"/>
      <c r="G31" s="2"/>
      <c r="H31" s="30">
        <v>44737</v>
      </c>
      <c r="I31" s="31"/>
      <c r="J31" s="73"/>
      <c r="K31" s="76"/>
      <c r="L31" s="77"/>
      <c r="M31" s="32">
        <v>0</v>
      </c>
      <c r="N31" s="33">
        <v>0</v>
      </c>
      <c r="P31" s="34">
        <f t="shared" si="0"/>
        <v>0</v>
      </c>
      <c r="Q31" s="13">
        <f t="shared" si="1"/>
        <v>0</v>
      </c>
      <c r="R31" s="9"/>
    </row>
    <row r="32" spans="1:18" ht="18" thickBot="1" x14ac:dyDescent="0.35">
      <c r="A32" s="24"/>
      <c r="B32" s="25">
        <v>44738</v>
      </c>
      <c r="C32" s="26">
        <v>0</v>
      </c>
      <c r="D32" s="78"/>
      <c r="E32" s="28">
        <v>44738</v>
      </c>
      <c r="F32" s="29"/>
      <c r="G32" s="2"/>
      <c r="H32" s="30">
        <v>44738</v>
      </c>
      <c r="I32" s="31"/>
      <c r="J32" s="73"/>
      <c r="K32" s="74"/>
      <c r="L32" s="75"/>
      <c r="M32" s="32">
        <v>0</v>
      </c>
      <c r="N32" s="33">
        <v>0</v>
      </c>
      <c r="P32" s="34">
        <f t="shared" si="0"/>
        <v>0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>
        <v>44739</v>
      </c>
      <c r="C33" s="26">
        <v>0</v>
      </c>
      <c r="D33" s="79"/>
      <c r="E33" s="28">
        <v>44739</v>
      </c>
      <c r="F33" s="29"/>
      <c r="G33" s="2"/>
      <c r="H33" s="30">
        <v>44739</v>
      </c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9"/>
    </row>
    <row r="34" spans="1:18" ht="18" thickBot="1" x14ac:dyDescent="0.35">
      <c r="A34" s="24"/>
      <c r="B34" s="25">
        <v>44740</v>
      </c>
      <c r="C34" s="26">
        <v>0</v>
      </c>
      <c r="D34" s="78"/>
      <c r="E34" s="28">
        <v>44740</v>
      </c>
      <c r="F34" s="29"/>
      <c r="G34" s="2"/>
      <c r="H34" s="30">
        <v>44740</v>
      </c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9" t="s">
        <v>8</v>
      </c>
    </row>
    <row r="35" spans="1:18" ht="18" thickBot="1" x14ac:dyDescent="0.35">
      <c r="A35" s="24"/>
      <c r="B35" s="25">
        <v>44741</v>
      </c>
      <c r="C35" s="26">
        <v>0</v>
      </c>
      <c r="D35" s="83"/>
      <c r="E35" s="28">
        <v>44741</v>
      </c>
      <c r="F35" s="29"/>
      <c r="G35" s="2"/>
      <c r="H35" s="30">
        <v>44741</v>
      </c>
      <c r="I35" s="31"/>
      <c r="J35" s="73"/>
      <c r="K35" s="76"/>
      <c r="L35" s="80"/>
      <c r="M35" s="32">
        <v>0</v>
      </c>
      <c r="N35" s="33">
        <v>0</v>
      </c>
      <c r="P35" s="34">
        <v>0</v>
      </c>
      <c r="Q35" s="13">
        <f t="shared" si="1"/>
        <v>0</v>
      </c>
      <c r="R35" s="9"/>
    </row>
    <row r="36" spans="1:18" ht="18" thickBot="1" x14ac:dyDescent="0.35">
      <c r="A36" s="24"/>
      <c r="B36" s="25">
        <v>44742</v>
      </c>
      <c r="C36" s="26">
        <v>0</v>
      </c>
      <c r="D36" s="84"/>
      <c r="E36" s="28">
        <v>44742</v>
      </c>
      <c r="F36" s="29"/>
      <c r="G36" s="2"/>
      <c r="H36" s="30">
        <v>44742</v>
      </c>
      <c r="I36" s="31"/>
      <c r="J36" s="73"/>
      <c r="K36" s="221"/>
      <c r="L36" s="80"/>
      <c r="M36" s="32">
        <v>0</v>
      </c>
      <c r="N36" s="33">
        <v>0</v>
      </c>
      <c r="P36" s="34">
        <v>0</v>
      </c>
      <c r="Q36" s="13">
        <f t="shared" si="1"/>
        <v>0</v>
      </c>
      <c r="R36" s="9"/>
    </row>
    <row r="37" spans="1:18" ht="18" thickBot="1" x14ac:dyDescent="0.35">
      <c r="A37" s="24"/>
      <c r="B37" s="25">
        <v>44743</v>
      </c>
      <c r="C37" s="26">
        <v>0</v>
      </c>
      <c r="D37" s="78"/>
      <c r="E37" s="28">
        <v>44743</v>
      </c>
      <c r="F37" s="29"/>
      <c r="G37" s="2"/>
      <c r="H37" s="30">
        <v>44743</v>
      </c>
      <c r="I37" s="31"/>
      <c r="J37" s="73"/>
      <c r="K37" s="76"/>
      <c r="L37" s="80"/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thickBot="1" x14ac:dyDescent="0.35">
      <c r="A38" s="24"/>
      <c r="B38" s="25">
        <v>44744</v>
      </c>
      <c r="C38" s="26">
        <v>0</v>
      </c>
      <c r="D38" s="79"/>
      <c r="E38" s="28">
        <v>44744</v>
      </c>
      <c r="F38" s="29"/>
      <c r="G38" s="2"/>
      <c r="H38" s="30">
        <v>44744</v>
      </c>
      <c r="I38" s="31"/>
      <c r="J38" s="73"/>
      <c r="K38" s="42"/>
      <c r="L38" s="80"/>
      <c r="M38" s="32">
        <v>0</v>
      </c>
      <c r="N38" s="33">
        <v>0</v>
      </c>
      <c r="P38" s="34">
        <v>0</v>
      </c>
      <c r="Q38" s="13">
        <f t="shared" si="1"/>
        <v>0</v>
      </c>
    </row>
    <row r="39" spans="1:18" ht="18" thickBot="1" x14ac:dyDescent="0.35">
      <c r="A39" s="24"/>
      <c r="B39" s="25">
        <v>44745</v>
      </c>
      <c r="C39" s="26">
        <v>0</v>
      </c>
      <c r="D39" s="79"/>
      <c r="E39" s="28">
        <v>44745</v>
      </c>
      <c r="F39" s="85"/>
      <c r="G39" s="2"/>
      <c r="H39" s="30">
        <v>44745</v>
      </c>
      <c r="I39" s="31"/>
      <c r="J39" s="73"/>
      <c r="K39" s="277"/>
      <c r="L39" s="75"/>
      <c r="M39" s="32">
        <v>0</v>
      </c>
      <c r="N39" s="33">
        <v>0</v>
      </c>
      <c r="P39" s="34"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298">
        <f>SUM(M5:M39)</f>
        <v>914464</v>
      </c>
      <c r="N40" s="300">
        <f>SUM(N5:N39)</f>
        <v>32904</v>
      </c>
      <c r="P40" s="34">
        <f>SUM(P5:P39)</f>
        <v>1014040</v>
      </c>
      <c r="Q40" s="13">
        <f t="shared" si="1"/>
        <v>1014040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299"/>
      <c r="N41" s="301"/>
      <c r="P41" s="34"/>
      <c r="Q41" s="9"/>
    </row>
    <row r="42" spans="1:18" ht="17.25" hidden="1" customHeight="1" x14ac:dyDescent="0.3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46697</v>
      </c>
      <c r="D51" s="107"/>
      <c r="E51" s="108" t="s">
        <v>9</v>
      </c>
      <c r="F51" s="109">
        <f>SUM(F5:F50)</f>
        <v>1067684</v>
      </c>
      <c r="G51" s="107"/>
      <c r="H51" s="110" t="s">
        <v>10</v>
      </c>
      <c r="I51" s="111">
        <f>SUM(I5:I50)</f>
        <v>992</v>
      </c>
      <c r="J51" s="112"/>
      <c r="K51" s="113" t="s">
        <v>11</v>
      </c>
      <c r="L51" s="114">
        <f>SUM(L5:L50)</f>
        <v>18983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2" t="s">
        <v>12</v>
      </c>
      <c r="I53" s="303"/>
      <c r="J53" s="119"/>
      <c r="K53" s="304">
        <f>I51+L51</f>
        <v>19975</v>
      </c>
      <c r="L53" s="305"/>
      <c r="M53" s="306">
        <f>N40+M40</f>
        <v>947368</v>
      </c>
      <c r="N53" s="307"/>
      <c r="P53" s="34"/>
      <c r="Q53" s="9"/>
    </row>
    <row r="54" spans="1:17" ht="15.75" x14ac:dyDescent="0.25">
      <c r="D54" s="308" t="s">
        <v>13</v>
      </c>
      <c r="E54" s="308"/>
      <c r="F54" s="120">
        <f>F51-K53-C51</f>
        <v>1001012</v>
      </c>
      <c r="I54" s="121"/>
      <c r="J54" s="122"/>
      <c r="P54" s="34"/>
      <c r="Q54" s="9"/>
    </row>
    <row r="55" spans="1:17" ht="18.75" x14ac:dyDescent="0.3">
      <c r="D55" s="309" t="s">
        <v>14</v>
      </c>
      <c r="E55" s="309"/>
      <c r="F55" s="115">
        <v>0</v>
      </c>
      <c r="I55" s="310" t="s">
        <v>15</v>
      </c>
      <c r="J55" s="311"/>
      <c r="K55" s="312">
        <f>F57+F58+F59</f>
        <v>1001012</v>
      </c>
      <c r="L55" s="313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1001012</v>
      </c>
      <c r="H57" s="24"/>
      <c r="I57" s="129" t="s">
        <v>17</v>
      </c>
      <c r="J57" s="130"/>
      <c r="K57" s="314">
        <f>-C4</f>
        <v>-149938.81</v>
      </c>
      <c r="L57" s="315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/>
      <c r="D59" s="291" t="s">
        <v>20</v>
      </c>
      <c r="E59" s="292"/>
      <c r="F59" s="134">
        <v>0</v>
      </c>
      <c r="I59" s="293" t="s">
        <v>325</v>
      </c>
      <c r="J59" s="294"/>
      <c r="K59" s="295">
        <f>K55+K57</f>
        <v>851073.19</v>
      </c>
      <c r="L59" s="295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B7:C9">
    <sortCondition ref="B7:B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5"/>
  <sheetViews>
    <sheetView workbookViewId="0">
      <selection activeCell="C17" sqref="C17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20.25" customHeight="1" x14ac:dyDescent="0.25">
      <c r="A3" s="264">
        <v>44711</v>
      </c>
      <c r="B3" s="265" t="s">
        <v>327</v>
      </c>
      <c r="C3" s="266">
        <v>180946.3</v>
      </c>
      <c r="D3" s="267"/>
      <c r="E3" s="266"/>
      <c r="F3" s="158">
        <f>C3-E3</f>
        <v>180946.3</v>
      </c>
    </row>
    <row r="4" spans="1:7" ht="15.75" x14ac:dyDescent="0.25">
      <c r="A4" s="268">
        <v>44711</v>
      </c>
      <c r="B4" s="269" t="s">
        <v>328</v>
      </c>
      <c r="C4" s="132">
        <v>1893.9</v>
      </c>
      <c r="D4" s="270"/>
      <c r="E4" s="132"/>
      <c r="F4" s="196">
        <f>C4-E4+F3</f>
        <v>182840.19999999998</v>
      </c>
    </row>
    <row r="5" spans="1:7" s="35" customFormat="1" ht="15.75" x14ac:dyDescent="0.25">
      <c r="A5" s="268">
        <v>44712</v>
      </c>
      <c r="B5" s="269" t="s">
        <v>329</v>
      </c>
      <c r="C5" s="132">
        <v>19341.099999999999</v>
      </c>
      <c r="D5" s="270"/>
      <c r="E5" s="132"/>
      <c r="F5" s="196">
        <f t="shared" ref="F5:F68" si="0">C5-E5+F4</f>
        <v>202181.3</v>
      </c>
    </row>
    <row r="6" spans="1:7" ht="18.75" x14ac:dyDescent="0.3">
      <c r="A6" s="268">
        <v>44713</v>
      </c>
      <c r="B6" s="269" t="s">
        <v>330</v>
      </c>
      <c r="C6" s="132">
        <v>138862.93</v>
      </c>
      <c r="D6" s="270"/>
      <c r="E6" s="132"/>
      <c r="F6" s="196">
        <f t="shared" si="0"/>
        <v>341044.23</v>
      </c>
      <c r="G6" s="162"/>
    </row>
    <row r="7" spans="1:7" ht="15.75" x14ac:dyDescent="0.25">
      <c r="A7" s="268">
        <v>44714</v>
      </c>
      <c r="B7" s="269" t="s">
        <v>331</v>
      </c>
      <c r="C7" s="132">
        <v>92111.02</v>
      </c>
      <c r="D7" s="270"/>
      <c r="E7" s="132"/>
      <c r="F7" s="196">
        <f t="shared" si="0"/>
        <v>433155.25</v>
      </c>
    </row>
    <row r="8" spans="1:7" ht="15.75" x14ac:dyDescent="0.25">
      <c r="A8" s="268">
        <v>44715</v>
      </c>
      <c r="B8" s="269" t="s">
        <v>332</v>
      </c>
      <c r="C8" s="132">
        <v>124289.28</v>
      </c>
      <c r="D8" s="270"/>
      <c r="E8" s="132"/>
      <c r="F8" s="196">
        <f t="shared" si="0"/>
        <v>557444.53</v>
      </c>
    </row>
    <row r="9" spans="1:7" ht="15.75" x14ac:dyDescent="0.25">
      <c r="A9" s="268">
        <v>44716</v>
      </c>
      <c r="B9" s="269" t="s">
        <v>333</v>
      </c>
      <c r="C9" s="132">
        <v>79461.100000000006</v>
      </c>
      <c r="D9" s="270"/>
      <c r="E9" s="132"/>
      <c r="F9" s="196">
        <f t="shared" si="0"/>
        <v>636905.63</v>
      </c>
    </row>
    <row r="10" spans="1:7" ht="15.75" x14ac:dyDescent="0.25">
      <c r="A10" s="268">
        <v>44716</v>
      </c>
      <c r="B10" s="269" t="s">
        <v>334</v>
      </c>
      <c r="C10" s="132">
        <v>3658</v>
      </c>
      <c r="D10" s="270"/>
      <c r="E10" s="132"/>
      <c r="F10" s="196">
        <f t="shared" si="0"/>
        <v>640563.63</v>
      </c>
    </row>
    <row r="11" spans="1:7" ht="15.75" x14ac:dyDescent="0.25">
      <c r="A11" s="268">
        <v>44718</v>
      </c>
      <c r="B11" s="269" t="s">
        <v>335</v>
      </c>
      <c r="C11" s="132">
        <v>3089.44</v>
      </c>
      <c r="D11" s="270"/>
      <c r="E11" s="132"/>
      <c r="F11" s="196">
        <f t="shared" si="0"/>
        <v>643653.06999999995</v>
      </c>
    </row>
    <row r="12" spans="1:7" ht="18.75" x14ac:dyDescent="0.3">
      <c r="A12" s="268">
        <v>44718</v>
      </c>
      <c r="B12" s="269" t="s">
        <v>336</v>
      </c>
      <c r="C12" s="132">
        <v>93919.32</v>
      </c>
      <c r="D12" s="270"/>
      <c r="E12" s="132"/>
      <c r="F12" s="196">
        <f t="shared" si="0"/>
        <v>737572.3899999999</v>
      </c>
      <c r="G12" s="162"/>
    </row>
    <row r="13" spans="1:7" ht="15.75" x14ac:dyDescent="0.25">
      <c r="A13" s="268">
        <v>44718</v>
      </c>
      <c r="B13" s="269" t="s">
        <v>337</v>
      </c>
      <c r="C13" s="132">
        <v>8582.7000000000007</v>
      </c>
      <c r="D13" s="270"/>
      <c r="E13" s="132"/>
      <c r="F13" s="196">
        <f t="shared" si="0"/>
        <v>746155.08999999985</v>
      </c>
    </row>
    <row r="14" spans="1:7" ht="15.75" x14ac:dyDescent="0.25">
      <c r="A14" s="268">
        <v>44719</v>
      </c>
      <c r="B14" s="269" t="s">
        <v>338</v>
      </c>
      <c r="C14" s="132">
        <v>46680.3</v>
      </c>
      <c r="D14" s="270"/>
      <c r="E14" s="132"/>
      <c r="F14" s="196">
        <f t="shared" si="0"/>
        <v>792835.3899999999</v>
      </c>
    </row>
    <row r="15" spans="1:7" ht="15.75" x14ac:dyDescent="0.25">
      <c r="A15" s="268">
        <v>44720</v>
      </c>
      <c r="B15" s="269" t="s">
        <v>339</v>
      </c>
      <c r="C15" s="132">
        <v>112979.51</v>
      </c>
      <c r="D15" s="270"/>
      <c r="E15" s="132"/>
      <c r="F15" s="196">
        <f t="shared" si="0"/>
        <v>905814.89999999991</v>
      </c>
    </row>
    <row r="16" spans="1:7" ht="15.75" x14ac:dyDescent="0.25">
      <c r="A16" s="268">
        <v>44721</v>
      </c>
      <c r="B16" s="269" t="s">
        <v>340</v>
      </c>
      <c r="C16" s="132">
        <v>132421.28</v>
      </c>
      <c r="D16" s="270"/>
      <c r="E16" s="132"/>
      <c r="F16" s="196">
        <f t="shared" si="0"/>
        <v>1038236.1799999999</v>
      </c>
    </row>
    <row r="17" spans="1:7" ht="15.75" x14ac:dyDescent="0.25">
      <c r="A17" s="268"/>
      <c r="B17" s="269"/>
      <c r="C17" s="132"/>
      <c r="D17" s="270"/>
      <c r="E17" s="132"/>
      <c r="F17" s="196">
        <f t="shared" si="0"/>
        <v>1038236.1799999999</v>
      </c>
    </row>
    <row r="18" spans="1:7" ht="15.75" x14ac:dyDescent="0.25">
      <c r="A18" s="268"/>
      <c r="B18" s="269"/>
      <c r="C18" s="132"/>
      <c r="D18" s="270"/>
      <c r="E18" s="132"/>
      <c r="F18" s="196">
        <f t="shared" si="0"/>
        <v>1038236.1799999999</v>
      </c>
    </row>
    <row r="19" spans="1:7" ht="15.75" x14ac:dyDescent="0.25">
      <c r="A19" s="268"/>
      <c r="B19" s="269"/>
      <c r="C19" s="132"/>
      <c r="D19" s="270"/>
      <c r="E19" s="132"/>
      <c r="F19" s="196">
        <f t="shared" si="0"/>
        <v>1038236.1799999999</v>
      </c>
    </row>
    <row r="20" spans="1:7" ht="15.75" x14ac:dyDescent="0.25">
      <c r="A20" s="268"/>
      <c r="B20" s="269"/>
      <c r="C20" s="132"/>
      <c r="D20" s="270"/>
      <c r="E20" s="132"/>
      <c r="F20" s="196">
        <f t="shared" si="0"/>
        <v>1038236.1799999999</v>
      </c>
    </row>
    <row r="21" spans="1:7" ht="15.75" x14ac:dyDescent="0.25">
      <c r="A21" s="268"/>
      <c r="B21" s="269"/>
      <c r="C21" s="132"/>
      <c r="D21" s="270"/>
      <c r="E21" s="132"/>
      <c r="F21" s="196">
        <f t="shared" si="0"/>
        <v>1038236.1799999999</v>
      </c>
    </row>
    <row r="22" spans="1:7" ht="15.75" x14ac:dyDescent="0.25">
      <c r="A22" s="268"/>
      <c r="B22" s="269"/>
      <c r="C22" s="132"/>
      <c r="D22" s="270"/>
      <c r="E22" s="132"/>
      <c r="F22" s="196">
        <f t="shared" si="0"/>
        <v>1038236.1799999999</v>
      </c>
    </row>
    <row r="23" spans="1:7" ht="15.75" x14ac:dyDescent="0.25">
      <c r="A23" s="268"/>
      <c r="B23" s="269"/>
      <c r="C23" s="132"/>
      <c r="D23" s="270"/>
      <c r="E23" s="132"/>
      <c r="F23" s="196">
        <f t="shared" si="0"/>
        <v>1038236.1799999999</v>
      </c>
    </row>
    <row r="24" spans="1:7" ht="18.75" x14ac:dyDescent="0.3">
      <c r="A24" s="268"/>
      <c r="B24" s="269"/>
      <c r="C24" s="132"/>
      <c r="D24" s="270"/>
      <c r="E24" s="132"/>
      <c r="F24" s="196">
        <f t="shared" si="0"/>
        <v>1038236.1799999999</v>
      </c>
      <c r="G24" s="162"/>
    </row>
    <row r="25" spans="1:7" ht="15.75" x14ac:dyDescent="0.25">
      <c r="A25" s="268"/>
      <c r="B25" s="269"/>
      <c r="C25" s="132"/>
      <c r="D25" s="270"/>
      <c r="E25" s="132"/>
      <c r="F25" s="196">
        <f t="shared" si="0"/>
        <v>1038236.1799999999</v>
      </c>
    </row>
    <row r="26" spans="1:7" ht="15.75" x14ac:dyDescent="0.25">
      <c r="A26" s="268"/>
      <c r="B26" s="269"/>
      <c r="C26" s="132"/>
      <c r="D26" s="270"/>
      <c r="E26" s="132"/>
      <c r="F26" s="196">
        <f t="shared" si="0"/>
        <v>1038236.1799999999</v>
      </c>
    </row>
    <row r="27" spans="1:7" ht="15.75" x14ac:dyDescent="0.25">
      <c r="A27" s="268"/>
      <c r="B27" s="269"/>
      <c r="C27" s="132"/>
      <c r="D27" s="270"/>
      <c r="E27" s="132"/>
      <c r="F27" s="196">
        <f t="shared" si="0"/>
        <v>1038236.1799999999</v>
      </c>
    </row>
    <row r="28" spans="1:7" ht="15.75" x14ac:dyDescent="0.25">
      <c r="A28" s="268"/>
      <c r="B28" s="269"/>
      <c r="C28" s="132"/>
      <c r="D28" s="270"/>
      <c r="E28" s="132"/>
      <c r="F28" s="196">
        <f t="shared" si="0"/>
        <v>1038236.1799999999</v>
      </c>
    </row>
    <row r="29" spans="1:7" ht="15.75" x14ac:dyDescent="0.25">
      <c r="A29" s="268"/>
      <c r="B29" s="269"/>
      <c r="C29" s="132"/>
      <c r="D29" s="270"/>
      <c r="E29" s="132"/>
      <c r="F29" s="196">
        <f t="shared" si="0"/>
        <v>1038236.1799999999</v>
      </c>
    </row>
    <row r="30" spans="1:7" ht="15.75" x14ac:dyDescent="0.25">
      <c r="A30" s="268"/>
      <c r="B30" s="269"/>
      <c r="C30" s="132"/>
      <c r="D30" s="268"/>
      <c r="E30" s="132"/>
      <c r="F30" s="196">
        <f t="shared" si="0"/>
        <v>1038236.1799999999</v>
      </c>
    </row>
    <row r="31" spans="1:7" ht="15.75" x14ac:dyDescent="0.25">
      <c r="A31" s="268"/>
      <c r="B31" s="269"/>
      <c r="C31" s="132"/>
      <c r="D31" s="270"/>
      <c r="E31" s="132"/>
      <c r="F31" s="196">
        <f t="shared" si="0"/>
        <v>1038236.1799999999</v>
      </c>
    </row>
    <row r="32" spans="1:7" ht="18.75" x14ac:dyDescent="0.3">
      <c r="A32" s="268"/>
      <c r="B32" s="269"/>
      <c r="C32" s="132"/>
      <c r="D32" s="270"/>
      <c r="E32" s="132"/>
      <c r="F32" s="196">
        <f t="shared" si="0"/>
        <v>1038236.1799999999</v>
      </c>
      <c r="G32" s="162"/>
    </row>
    <row r="33" spans="1:6" ht="15.75" x14ac:dyDescent="0.25">
      <c r="A33" s="268"/>
      <c r="B33" s="269"/>
      <c r="C33" s="132"/>
      <c r="D33" s="270"/>
      <c r="E33" s="132"/>
      <c r="F33" s="196">
        <f t="shared" si="0"/>
        <v>1038236.1799999999</v>
      </c>
    </row>
    <row r="34" spans="1:6" ht="23.25" customHeight="1" x14ac:dyDescent="0.25">
      <c r="A34" s="268"/>
      <c r="B34" s="269"/>
      <c r="C34" s="132"/>
      <c r="D34" s="270"/>
      <c r="E34" s="132"/>
      <c r="F34" s="196">
        <f t="shared" si="0"/>
        <v>1038236.1799999999</v>
      </c>
    </row>
    <row r="35" spans="1:6" ht="18.75" customHeight="1" x14ac:dyDescent="0.25">
      <c r="A35" s="268"/>
      <c r="B35" s="269"/>
      <c r="C35" s="132"/>
      <c r="D35" s="270"/>
      <c r="E35" s="132"/>
      <c r="F35" s="196">
        <f t="shared" si="0"/>
        <v>1038236.1799999999</v>
      </c>
    </row>
    <row r="36" spans="1:6" ht="18.75" customHeight="1" x14ac:dyDescent="0.25">
      <c r="A36" s="268"/>
      <c r="B36" s="269"/>
      <c r="C36" s="132"/>
      <c r="D36" s="270"/>
      <c r="E36" s="132"/>
      <c r="F36" s="196">
        <f t="shared" si="0"/>
        <v>1038236.1799999999</v>
      </c>
    </row>
    <row r="37" spans="1:6" ht="18.75" customHeight="1" x14ac:dyDescent="0.25">
      <c r="A37" s="268"/>
      <c r="B37" s="269"/>
      <c r="C37" s="132"/>
      <c r="D37" s="270"/>
      <c r="E37" s="132"/>
      <c r="F37" s="196">
        <f t="shared" si="0"/>
        <v>1038236.1799999999</v>
      </c>
    </row>
    <row r="38" spans="1:6" ht="18.75" customHeight="1" x14ac:dyDescent="0.25">
      <c r="A38" s="268"/>
      <c r="B38" s="269"/>
      <c r="C38" s="132"/>
      <c r="D38" s="270"/>
      <c r="E38" s="132"/>
      <c r="F38" s="196">
        <f t="shared" si="0"/>
        <v>1038236.1799999999</v>
      </c>
    </row>
    <row r="39" spans="1:6" ht="18.75" customHeight="1" x14ac:dyDescent="0.25">
      <c r="A39" s="268"/>
      <c r="B39" s="269"/>
      <c r="C39" s="132"/>
      <c r="D39" s="270"/>
      <c r="E39" s="132"/>
      <c r="F39" s="196">
        <f t="shared" si="0"/>
        <v>1038236.1799999999</v>
      </c>
    </row>
    <row r="40" spans="1:6" ht="18.75" customHeight="1" x14ac:dyDescent="0.25">
      <c r="A40" s="268"/>
      <c r="B40" s="269"/>
      <c r="C40" s="132"/>
      <c r="D40" s="270"/>
      <c r="E40" s="86"/>
      <c r="F40" s="196">
        <f t="shared" si="0"/>
        <v>1038236.1799999999</v>
      </c>
    </row>
    <row r="41" spans="1:6" ht="18.75" customHeight="1" x14ac:dyDescent="0.25">
      <c r="A41" s="268"/>
      <c r="B41" s="269"/>
      <c r="C41" s="132"/>
      <c r="D41" s="270"/>
      <c r="E41" s="86"/>
      <c r="F41" s="196">
        <f t="shared" si="0"/>
        <v>1038236.1799999999</v>
      </c>
    </row>
    <row r="42" spans="1:6" ht="18.75" customHeight="1" x14ac:dyDescent="0.25">
      <c r="A42" s="270"/>
      <c r="B42" s="271"/>
      <c r="C42" s="86"/>
      <c r="D42" s="270"/>
      <c r="E42" s="86"/>
      <c r="F42" s="196">
        <f t="shared" si="0"/>
        <v>1038236.1799999999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1038236.1799999999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1038236.1799999999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1038236.1799999999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1038236.1799999999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1038236.1799999999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1038236.1799999999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1038236.1799999999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1038236.1799999999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1038236.1799999999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1038236.1799999999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1038236.1799999999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1038236.1799999999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1038236.1799999999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1038236.1799999999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1038236.1799999999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1038236.1799999999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1038236.1799999999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1038236.1799999999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1038236.1799999999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1038236.1799999999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1038236.1799999999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1038236.1799999999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1038236.1799999999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1038236.1799999999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1038236.1799999999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1038236.1799999999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1038236.1799999999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1038236.1799999999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1038236.1799999999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1038236.1799999999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1038236.1799999999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1038236.1799999999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1038236.1799999999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1038236.1799999999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1038236.1799999999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1038236.1799999999</v>
      </c>
    </row>
    <row r="79" spans="1:6" ht="19.5" thickBot="1" x14ac:dyDescent="0.35">
      <c r="A79" s="212"/>
      <c r="B79" s="232"/>
      <c r="C79" s="250">
        <f>SUM(C3:C78)</f>
        <v>1038236.1799999999</v>
      </c>
      <c r="D79" s="189"/>
      <c r="E79" s="178">
        <f>SUM(E3:E78)</f>
        <v>0</v>
      </c>
      <c r="F79" s="179">
        <f>F78</f>
        <v>1038236.1799999999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28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78"/>
      <c r="C1" s="280" t="s">
        <v>125</v>
      </c>
      <c r="D1" s="281"/>
      <c r="E1" s="281"/>
      <c r="F1" s="281"/>
      <c r="G1" s="281"/>
      <c r="H1" s="281"/>
      <c r="I1" s="281"/>
      <c r="J1" s="281"/>
      <c r="K1" s="281"/>
      <c r="L1" s="281"/>
      <c r="M1" s="281"/>
    </row>
    <row r="2" spans="1:21" ht="16.5" thickBot="1" x14ac:dyDescent="0.3">
      <c r="B2" s="279"/>
      <c r="C2" s="3"/>
      <c r="H2" s="5"/>
      <c r="I2" s="6"/>
      <c r="J2" s="7"/>
      <c r="L2" s="8"/>
      <c r="M2" s="6"/>
      <c r="N2" s="9"/>
    </row>
    <row r="3" spans="1:21" ht="21.75" thickBot="1" x14ac:dyDescent="0.35">
      <c r="B3" s="282" t="s">
        <v>0</v>
      </c>
      <c r="C3" s="283"/>
      <c r="D3" s="10"/>
      <c r="E3" s="11"/>
      <c r="F3" s="11"/>
      <c r="H3" s="284" t="s">
        <v>1</v>
      </c>
      <c r="I3" s="284"/>
      <c r="K3" s="13"/>
      <c r="L3" s="13"/>
      <c r="M3" s="14"/>
      <c r="R3" s="289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285" t="s">
        <v>3</v>
      </c>
      <c r="F4" s="286"/>
      <c r="H4" s="287" t="s">
        <v>4</v>
      </c>
      <c r="I4" s="288"/>
      <c r="J4" s="19"/>
      <c r="K4" s="20"/>
      <c r="L4" s="21"/>
      <c r="M4" s="22" t="s">
        <v>5</v>
      </c>
      <c r="N4" s="23" t="s">
        <v>6</v>
      </c>
      <c r="P4" s="296" t="s">
        <v>7</v>
      </c>
      <c r="Q4" s="297"/>
      <c r="R4" s="290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126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127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128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129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130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131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132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5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133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134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124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6" t="s">
        <v>206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204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316">
        <f>SUM(M5:M39)</f>
        <v>1636108</v>
      </c>
      <c r="N40" s="300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99"/>
      <c r="N41" s="301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2" t="s">
        <v>12</v>
      </c>
      <c r="I53" s="303"/>
      <c r="J53" s="119"/>
      <c r="K53" s="304">
        <f>I51+L51</f>
        <v>45634.280000000006</v>
      </c>
      <c r="L53" s="305"/>
      <c r="M53" s="306">
        <f>N40+M40</f>
        <v>1691783</v>
      </c>
      <c r="N53" s="307"/>
      <c r="P53" s="34"/>
      <c r="Q53" s="9"/>
    </row>
    <row r="54" spans="1:17" ht="15.75" x14ac:dyDescent="0.25">
      <c r="D54" s="308" t="s">
        <v>13</v>
      </c>
      <c r="E54" s="308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309" t="s">
        <v>14</v>
      </c>
      <c r="E55" s="309"/>
      <c r="F55" s="115">
        <v>-1631962.77</v>
      </c>
      <c r="I55" s="310" t="s">
        <v>15</v>
      </c>
      <c r="J55" s="311"/>
      <c r="K55" s="312">
        <f>F57+F58+F59</f>
        <v>238822.13999999996</v>
      </c>
      <c r="L55" s="313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314">
        <f>-C4</f>
        <v>-154314.51999999999</v>
      </c>
      <c r="L57" s="315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291" t="s">
        <v>20</v>
      </c>
      <c r="E59" s="292"/>
      <c r="F59" s="134">
        <v>184342.19</v>
      </c>
      <c r="I59" s="293" t="s">
        <v>168</v>
      </c>
      <c r="J59" s="294"/>
      <c r="K59" s="295">
        <f>K55+K57</f>
        <v>84507.619999999966</v>
      </c>
      <c r="L59" s="295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136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137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138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139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140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141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142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143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144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145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146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147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148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149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150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151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152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153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154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155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156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157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158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159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160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161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162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163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164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165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166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167</v>
      </c>
      <c r="C35" s="195">
        <v>96471.72</v>
      </c>
      <c r="D35" s="237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28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78"/>
      <c r="C1" s="280" t="s">
        <v>135</v>
      </c>
      <c r="D1" s="281"/>
      <c r="E1" s="281"/>
      <c r="F1" s="281"/>
      <c r="G1" s="281"/>
      <c r="H1" s="281"/>
      <c r="I1" s="281"/>
      <c r="J1" s="281"/>
      <c r="K1" s="281"/>
      <c r="L1" s="281"/>
      <c r="M1" s="281"/>
    </row>
    <row r="2" spans="1:21" ht="16.5" thickBot="1" x14ac:dyDescent="0.3">
      <c r="B2" s="279"/>
      <c r="C2" s="3"/>
      <c r="H2" s="5"/>
      <c r="I2" s="6"/>
      <c r="J2" s="7"/>
      <c r="L2" s="8"/>
      <c r="M2" s="6"/>
      <c r="N2" s="9"/>
    </row>
    <row r="3" spans="1:21" ht="21.75" thickBot="1" x14ac:dyDescent="0.35">
      <c r="B3" s="282" t="s">
        <v>0</v>
      </c>
      <c r="C3" s="283"/>
      <c r="D3" s="10"/>
      <c r="E3" s="11"/>
      <c r="F3" s="11"/>
      <c r="H3" s="284" t="s">
        <v>1</v>
      </c>
      <c r="I3" s="284"/>
      <c r="K3" s="13"/>
      <c r="L3" s="13"/>
      <c r="M3" s="14"/>
      <c r="R3" s="289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285" t="s">
        <v>3</v>
      </c>
      <c r="F4" s="286"/>
      <c r="H4" s="287" t="s">
        <v>4</v>
      </c>
      <c r="I4" s="288"/>
      <c r="J4" s="19"/>
      <c r="K4" s="20"/>
      <c r="L4" s="21"/>
      <c r="M4" s="22" t="s">
        <v>5</v>
      </c>
      <c r="N4" s="23" t="s">
        <v>6</v>
      </c>
      <c r="P4" s="296" t="s">
        <v>7</v>
      </c>
      <c r="Q4" s="297"/>
      <c r="R4" s="290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191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192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193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194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195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196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194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221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222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223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224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33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44627</v>
      </c>
      <c r="K34" s="272" t="s">
        <v>321</v>
      </c>
      <c r="L34" s="275">
        <v>1195.68</v>
      </c>
      <c r="M34" s="32">
        <v>0</v>
      </c>
      <c r="N34" s="33">
        <v>0</v>
      </c>
      <c r="P34" s="34">
        <f t="shared" si="0"/>
        <v>1195.68</v>
      </c>
      <c r="Q34" s="13">
        <f t="shared" si="1"/>
        <v>1195.68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44629</v>
      </c>
      <c r="K35" s="221" t="s">
        <v>317</v>
      </c>
      <c r="L35" s="80">
        <v>3133.5</v>
      </c>
      <c r="M35" s="220">
        <v>0</v>
      </c>
      <c r="N35" s="33">
        <v>0</v>
      </c>
      <c r="P35" s="34">
        <f t="shared" si="0"/>
        <v>3133.5</v>
      </c>
      <c r="Q35" s="13">
        <f t="shared" si="1"/>
        <v>3133.5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44645</v>
      </c>
      <c r="K36" s="274" t="s">
        <v>318</v>
      </c>
      <c r="L36" s="80">
        <v>1392</v>
      </c>
      <c r="M36" s="220">
        <v>0</v>
      </c>
      <c r="N36" s="33">
        <v>0</v>
      </c>
      <c r="P36" s="34">
        <f t="shared" si="0"/>
        <v>1392</v>
      </c>
      <c r="Q36" s="13">
        <f t="shared" si="1"/>
        <v>1392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44649</v>
      </c>
      <c r="K37" s="273" t="s">
        <v>319</v>
      </c>
      <c r="L37" s="80">
        <v>1749.14</v>
      </c>
      <c r="M37" s="220">
        <v>0</v>
      </c>
      <c r="N37" s="33">
        <v>0</v>
      </c>
      <c r="P37" s="34">
        <f t="shared" si="0"/>
        <v>1749.14</v>
      </c>
      <c r="Q37" s="13">
        <f t="shared" si="1"/>
        <v>1749.14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44649</v>
      </c>
      <c r="K38" s="276" t="s">
        <v>190</v>
      </c>
      <c r="L38" s="80">
        <v>25678</v>
      </c>
      <c r="M38" s="32">
        <v>0</v>
      </c>
      <c r="N38" s="33">
        <v>0</v>
      </c>
      <c r="P38" s="34">
        <f t="shared" si="0"/>
        <v>25678</v>
      </c>
      <c r="Q38" s="13">
        <f t="shared" si="1"/>
        <v>25678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98">
        <f>SUM(M5:M39)</f>
        <v>1793435</v>
      </c>
      <c r="N40" s="300">
        <f>SUM(N5:N39)</f>
        <v>63995</v>
      </c>
      <c r="P40" s="34">
        <f>SUM(P5:P39)</f>
        <v>2014605.0299999998</v>
      </c>
      <c r="Q40" s="13">
        <f t="shared" si="1"/>
        <v>2014605.0299999998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45"/>
      <c r="L41" s="75"/>
      <c r="M41" s="299"/>
      <c r="N41" s="301"/>
      <c r="P41" s="34"/>
      <c r="Q41" s="9"/>
    </row>
    <row r="42" spans="1:18" ht="18" hidden="1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5.75" thickBot="1" x14ac:dyDescent="0.3">
      <c r="A46" s="24"/>
      <c r="B46" s="98"/>
      <c r="C46" s="26">
        <v>0</v>
      </c>
      <c r="D46" s="99"/>
      <c r="E46" s="100"/>
      <c r="F46" s="90"/>
      <c r="H46" s="101"/>
      <c r="I46" s="95"/>
      <c r="J46" s="102"/>
      <c r="K46" s="103"/>
      <c r="L46" s="9"/>
      <c r="M46" s="104"/>
      <c r="N46" s="33"/>
      <c r="P46" s="34"/>
      <c r="Q46" s="9"/>
    </row>
    <row r="47" spans="1:18" ht="16.5" thickBot="1" x14ac:dyDescent="0.3">
      <c r="B47" s="105" t="s">
        <v>9</v>
      </c>
      <c r="C47" s="106">
        <f>SUM(C5:C46)</f>
        <v>66741</v>
      </c>
      <c r="D47" s="107"/>
      <c r="E47" s="108" t="s">
        <v>9</v>
      </c>
      <c r="F47" s="109">
        <f>SUM(F5:F46)</f>
        <v>1981436</v>
      </c>
      <c r="G47" s="107"/>
      <c r="H47" s="110" t="s">
        <v>10</v>
      </c>
      <c r="I47" s="111">
        <f>SUM(I5:I46)</f>
        <v>3700</v>
      </c>
      <c r="J47" s="112"/>
      <c r="K47" s="113" t="s">
        <v>11</v>
      </c>
      <c r="L47" s="114">
        <f>SUM(L5:L46)</f>
        <v>86734.03</v>
      </c>
      <c r="M47" s="115"/>
      <c r="N47" s="115"/>
      <c r="P47" s="34"/>
      <c r="Q47" s="9"/>
    </row>
    <row r="48" spans="1:18" ht="16.5" thickTop="1" thickBot="1" x14ac:dyDescent="0.3">
      <c r="C48" s="3" t="s">
        <v>8</v>
      </c>
      <c r="P48" s="34"/>
      <c r="Q48" s="9"/>
    </row>
    <row r="49" spans="1:17" ht="19.5" thickBot="1" x14ac:dyDescent="0.3">
      <c r="A49" s="117"/>
      <c r="B49" s="118"/>
      <c r="C49" s="1"/>
      <c r="H49" s="302" t="s">
        <v>12</v>
      </c>
      <c r="I49" s="303"/>
      <c r="J49" s="119"/>
      <c r="K49" s="304">
        <f>I47+L47</f>
        <v>90434.03</v>
      </c>
      <c r="L49" s="305"/>
      <c r="M49" s="306">
        <f>N40+M40</f>
        <v>1857430</v>
      </c>
      <c r="N49" s="307"/>
      <c r="P49" s="34"/>
      <c r="Q49" s="9"/>
    </row>
    <row r="50" spans="1:17" ht="15.75" x14ac:dyDescent="0.25">
      <c r="D50" s="308" t="s">
        <v>13</v>
      </c>
      <c r="E50" s="308"/>
      <c r="F50" s="120">
        <f>F47-K49-C47</f>
        <v>1824260.97</v>
      </c>
      <c r="I50" s="121"/>
      <c r="J50" s="122"/>
      <c r="P50" s="34"/>
      <c r="Q50" s="9"/>
    </row>
    <row r="51" spans="1:17" ht="18.75" x14ac:dyDescent="0.3">
      <c r="D51" s="309" t="s">
        <v>14</v>
      </c>
      <c r="E51" s="309"/>
      <c r="F51" s="115">
        <v>-1848136.64</v>
      </c>
      <c r="I51" s="310" t="s">
        <v>15</v>
      </c>
      <c r="J51" s="311"/>
      <c r="K51" s="312">
        <f>F53+F54+F55</f>
        <v>195541.70000000007</v>
      </c>
      <c r="L51" s="313"/>
      <c r="P51" s="34"/>
      <c r="Q51" s="9"/>
    </row>
    <row r="52" spans="1:17" ht="19.5" thickBot="1" x14ac:dyDescent="0.35">
      <c r="D52" s="123"/>
      <c r="E52" s="117"/>
      <c r="F52" s="124">
        <v>0</v>
      </c>
      <c r="I52" s="125"/>
      <c r="J52" s="126"/>
      <c r="K52" s="127"/>
      <c r="L52" s="128"/>
    </row>
    <row r="53" spans="1:17" ht="19.5" thickTop="1" x14ac:dyDescent="0.3">
      <c r="C53" s="4" t="s">
        <v>8</v>
      </c>
      <c r="E53" s="117" t="s">
        <v>16</v>
      </c>
      <c r="F53" s="115">
        <f>SUM(F50:F52)</f>
        <v>-23875.669999999925</v>
      </c>
      <c r="H53" s="24"/>
      <c r="I53" s="129" t="s">
        <v>17</v>
      </c>
      <c r="J53" s="130"/>
      <c r="K53" s="314">
        <f>-C4</f>
        <v>-184342.19</v>
      </c>
      <c r="L53" s="315"/>
    </row>
    <row r="54" spans="1:17" ht="16.5" thickBot="1" x14ac:dyDescent="0.3">
      <c r="D54" s="131" t="s">
        <v>18</v>
      </c>
      <c r="E54" s="117" t="s">
        <v>19</v>
      </c>
      <c r="F54" s="132">
        <v>0</v>
      </c>
    </row>
    <row r="55" spans="1:17" ht="20.25" thickTop="1" thickBot="1" x14ac:dyDescent="0.35">
      <c r="C55" s="133">
        <v>44647</v>
      </c>
      <c r="D55" s="291" t="s">
        <v>20</v>
      </c>
      <c r="E55" s="292"/>
      <c r="F55" s="134">
        <v>219417.37</v>
      </c>
      <c r="I55" s="293" t="s">
        <v>226</v>
      </c>
      <c r="J55" s="294"/>
      <c r="K55" s="295">
        <f>K51+K53</f>
        <v>11199.510000000068</v>
      </c>
      <c r="L55" s="295"/>
    </row>
    <row r="56" spans="1:17" ht="17.25" x14ac:dyDescent="0.3">
      <c r="C56" s="135"/>
      <c r="D56" s="136"/>
      <c r="E56" s="137"/>
      <c r="F56" s="138"/>
      <c r="J56" s="139"/>
    </row>
    <row r="57" spans="1:17" ht="15" customHeight="1" x14ac:dyDescent="0.25">
      <c r="I57" s="140"/>
      <c r="J57" s="140"/>
      <c r="K57" s="141"/>
      <c r="L57" s="141"/>
    </row>
    <row r="58" spans="1:17" ht="16.5" customHeight="1" x14ac:dyDescent="0.25">
      <c r="B58" s="142"/>
      <c r="C58" s="143"/>
      <c r="D58" s="144"/>
      <c r="E58" s="34"/>
      <c r="I58" s="140"/>
      <c r="J58" s="140"/>
      <c r="K58" s="141"/>
      <c r="L58" s="141"/>
      <c r="M58" s="145"/>
      <c r="N58" s="117"/>
    </row>
    <row r="59" spans="1:17" ht="15.75" x14ac:dyDescent="0.25">
      <c r="B59" s="142"/>
      <c r="C59" s="146"/>
      <c r="E59" s="34"/>
      <c r="M59" s="145"/>
      <c r="N59" s="117"/>
    </row>
    <row r="60" spans="1:17" ht="15.75" x14ac:dyDescent="0.25">
      <c r="B60" s="142"/>
      <c r="C60" s="146"/>
      <c r="E60" s="34"/>
      <c r="F60" s="147"/>
      <c r="L60" s="148"/>
      <c r="M60" s="1"/>
    </row>
    <row r="61" spans="1:17" ht="15.75" x14ac:dyDescent="0.25">
      <c r="B61" s="142"/>
      <c r="C61" s="146"/>
      <c r="E61" s="34"/>
      <c r="M61" s="1"/>
    </row>
    <row r="62" spans="1:17" ht="15.75" x14ac:dyDescent="0.25">
      <c r="B62" s="142"/>
      <c r="C62" s="146"/>
      <c r="D62" s="149"/>
      <c r="E62" s="34"/>
      <c r="F62" s="150"/>
      <c r="M62" s="1"/>
    </row>
    <row r="63" spans="1:17" x14ac:dyDescent="0.25">
      <c r="D63" s="149"/>
      <c r="E63" s="151"/>
      <c r="F63" s="34"/>
      <c r="M63" s="1"/>
    </row>
    <row r="64" spans="1:17" x14ac:dyDescent="0.25">
      <c r="D64" s="149"/>
      <c r="E64" s="151"/>
      <c r="F64" s="34"/>
      <c r="M64" s="1"/>
    </row>
    <row r="65" spans="4:13" x14ac:dyDescent="0.25">
      <c r="D65" s="149"/>
      <c r="E65" s="151"/>
      <c r="F65" s="34"/>
      <c r="M65" s="1"/>
    </row>
    <row r="66" spans="4:13" x14ac:dyDescent="0.25">
      <c r="D66" s="149"/>
      <c r="E66" s="151"/>
      <c r="F66" s="34"/>
      <c r="M66" s="1"/>
    </row>
    <row r="67" spans="4:13" x14ac:dyDescent="0.25">
      <c r="D67" s="149"/>
      <c r="E67" s="151"/>
      <c r="F67" s="34"/>
      <c r="M67" s="1"/>
    </row>
    <row r="68" spans="4:13" x14ac:dyDescent="0.25">
      <c r="D68" s="149"/>
      <c r="E68" s="151"/>
      <c r="F68" s="34"/>
      <c r="M68" s="1"/>
    </row>
    <row r="69" spans="4:13" x14ac:dyDescent="0.25">
      <c r="D69" s="149"/>
      <c r="E69" s="151"/>
      <c r="F69" s="34"/>
      <c r="M69" s="1"/>
    </row>
    <row r="70" spans="4:13" x14ac:dyDescent="0.25">
      <c r="D70" s="149"/>
      <c r="E70" s="151"/>
      <c r="F70" s="34"/>
      <c r="M70" s="1"/>
    </row>
    <row r="71" spans="4:13" x14ac:dyDescent="0.25">
      <c r="D71" s="149"/>
      <c r="E71" s="151"/>
      <c r="F71" s="34"/>
      <c r="M71" s="1"/>
    </row>
    <row r="72" spans="4:13" x14ac:dyDescent="0.25">
      <c r="D72" s="149"/>
      <c r="E72" s="151"/>
      <c r="F72" s="34"/>
      <c r="M72" s="1"/>
    </row>
    <row r="73" spans="4:13" x14ac:dyDescent="0.25">
      <c r="D73" s="149"/>
      <c r="E73" s="151"/>
      <c r="F73" s="34"/>
      <c r="M73" s="1"/>
    </row>
    <row r="74" spans="4:13" x14ac:dyDescent="0.25">
      <c r="D74" s="149"/>
      <c r="E74" s="151"/>
      <c r="F74" s="34"/>
    </row>
    <row r="75" spans="4:13" x14ac:dyDescent="0.25">
      <c r="D75" s="149"/>
      <c r="E75" s="149"/>
      <c r="F75" s="150"/>
    </row>
    <row r="76" spans="4:13" x14ac:dyDescent="0.25">
      <c r="D76" s="149"/>
      <c r="E76" s="149"/>
      <c r="F76" s="150"/>
    </row>
    <row r="77" spans="4:13" x14ac:dyDescent="0.25">
      <c r="D77" s="149"/>
      <c r="E77" s="149"/>
      <c r="F77" s="150"/>
    </row>
  </sheetData>
  <sortState ref="J34:L38">
    <sortCondition ref="J34:J38"/>
  </sortState>
  <mergeCells count="21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230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169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170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171</v>
      </c>
      <c r="C5" s="195">
        <v>3848.8</v>
      </c>
      <c r="D5" s="200">
        <v>44624</v>
      </c>
      <c r="E5" s="195">
        <v>3848.8</v>
      </c>
      <c r="F5" s="196">
        <f t="shared" ref="F5:F47" si="0">C5-E5+F4</f>
        <v>0</v>
      </c>
    </row>
    <row r="6" spans="1:7" ht="18.75" x14ac:dyDescent="0.3">
      <c r="A6" s="224">
        <v>44622</v>
      </c>
      <c r="B6" s="194" t="s">
        <v>172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173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174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175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176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177</v>
      </c>
      <c r="C11" s="195">
        <v>23317.8</v>
      </c>
      <c r="D11" s="240">
        <v>44631</v>
      </c>
      <c r="E11" s="241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178</v>
      </c>
      <c r="C12" s="195">
        <v>92582.65</v>
      </c>
      <c r="D12" s="240">
        <v>44631</v>
      </c>
      <c r="E12" s="241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179</v>
      </c>
      <c r="C13" s="195">
        <v>37678.199999999997</v>
      </c>
      <c r="D13" s="240">
        <v>44631</v>
      </c>
      <c r="E13" s="241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180</v>
      </c>
      <c r="C14" s="195">
        <v>71302.149999999994</v>
      </c>
      <c r="D14" s="240">
        <v>44631</v>
      </c>
      <c r="E14" s="241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181</v>
      </c>
      <c r="C15" s="195">
        <v>122152.6</v>
      </c>
      <c r="D15" s="240">
        <v>44631</v>
      </c>
      <c r="E15" s="241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182</v>
      </c>
      <c r="C16" s="195">
        <v>19883.2</v>
      </c>
      <c r="D16" s="240">
        <v>44631</v>
      </c>
      <c r="E16" s="241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183</v>
      </c>
      <c r="C17" s="195">
        <v>76107.320000000007</v>
      </c>
      <c r="D17" s="240">
        <v>44631</v>
      </c>
      <c r="E17" s="241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184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185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186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187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188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189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197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198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199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200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208</v>
      </c>
      <c r="C28" s="195">
        <v>12469.8</v>
      </c>
      <c r="D28" s="242">
        <v>44645</v>
      </c>
      <c r="E28" s="243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209</v>
      </c>
      <c r="C29" s="195">
        <v>99143.25</v>
      </c>
      <c r="D29" s="242">
        <v>44645</v>
      </c>
      <c r="E29" s="243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210</v>
      </c>
      <c r="C30" s="195">
        <v>6625</v>
      </c>
      <c r="D30" s="242">
        <v>44645</v>
      </c>
      <c r="E30" s="243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211</v>
      </c>
      <c r="C31" s="195">
        <v>2445.6</v>
      </c>
      <c r="D31" s="242">
        <v>44645</v>
      </c>
      <c r="E31" s="243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212</v>
      </c>
      <c r="C32" s="195">
        <v>99443</v>
      </c>
      <c r="D32" s="242">
        <v>44645</v>
      </c>
      <c r="E32" s="243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213</v>
      </c>
      <c r="C33" s="195">
        <v>117287.22</v>
      </c>
      <c r="D33" s="242">
        <v>44645</v>
      </c>
      <c r="E33" s="243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214</v>
      </c>
      <c r="C34" s="195">
        <v>27776.2</v>
      </c>
      <c r="D34" s="242">
        <v>44645</v>
      </c>
      <c r="E34" s="243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215</v>
      </c>
      <c r="C35" s="195">
        <v>100979.1</v>
      </c>
      <c r="D35" s="242">
        <v>44645</v>
      </c>
      <c r="E35" s="243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216</v>
      </c>
      <c r="C36" s="195">
        <v>2400</v>
      </c>
      <c r="D36" s="238">
        <v>44652</v>
      </c>
      <c r="E36" s="239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217</v>
      </c>
      <c r="C37" s="195">
        <v>100244.2</v>
      </c>
      <c r="D37" s="238">
        <v>44652</v>
      </c>
      <c r="E37" s="239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218</v>
      </c>
      <c r="C38" s="195">
        <v>400</v>
      </c>
      <c r="D38" s="238">
        <v>44652</v>
      </c>
      <c r="E38" s="239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219</v>
      </c>
      <c r="C39" s="195">
        <v>2696.4</v>
      </c>
      <c r="D39" s="238">
        <v>44652</v>
      </c>
      <c r="E39" s="239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220</v>
      </c>
      <c r="C40" s="195">
        <v>7911.2</v>
      </c>
      <c r="D40" s="238">
        <v>44652</v>
      </c>
      <c r="E40" s="239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v>0</v>
      </c>
    </row>
    <row r="43" spans="1:6" ht="16.5" thickBot="1" x14ac:dyDescent="0.3">
      <c r="A43" s="225"/>
      <c r="B43" s="160"/>
      <c r="C43" s="86"/>
      <c r="D43" s="159"/>
      <c r="E43" s="86"/>
      <c r="F43" s="196">
        <v>0</v>
      </c>
    </row>
    <row r="44" spans="1:6" ht="15" hidden="1" customHeight="1" x14ac:dyDescent="0.25">
      <c r="A44" s="226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226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226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226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226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226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226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226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226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226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226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226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226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226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226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226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226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226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22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22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22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22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22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22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226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226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226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226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226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226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226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226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226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226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228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29"/>
      <c r="B79" s="232"/>
      <c r="C79" s="177">
        <f>SUM(C3:C78)</f>
        <v>1848136.6399999997</v>
      </c>
      <c r="D79" s="189"/>
      <c r="E79" s="178">
        <f>SUM(E3:E78)</f>
        <v>1848136.6399999997</v>
      </c>
      <c r="F79" s="179">
        <f>SUM(F3:F78)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7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278"/>
      <c r="C1" s="280" t="s">
        <v>225</v>
      </c>
      <c r="D1" s="281"/>
      <c r="E1" s="281"/>
      <c r="F1" s="281"/>
      <c r="G1" s="281"/>
      <c r="H1" s="281"/>
      <c r="I1" s="281"/>
      <c r="J1" s="281"/>
      <c r="K1" s="281"/>
      <c r="L1" s="281"/>
      <c r="M1" s="281"/>
    </row>
    <row r="2" spans="1:21" ht="16.5" thickBot="1" x14ac:dyDescent="0.3">
      <c r="B2" s="279"/>
      <c r="C2" s="3"/>
      <c r="H2" s="5"/>
      <c r="I2" s="6"/>
      <c r="J2" s="7"/>
      <c r="L2" s="8"/>
      <c r="M2" s="6"/>
      <c r="N2" s="9"/>
    </row>
    <row r="3" spans="1:21" ht="21.75" thickBot="1" x14ac:dyDescent="0.35">
      <c r="B3" s="282" t="s">
        <v>0</v>
      </c>
      <c r="C3" s="283"/>
      <c r="D3" s="10"/>
      <c r="E3" s="11"/>
      <c r="F3" s="11"/>
      <c r="H3" s="284" t="s">
        <v>1</v>
      </c>
      <c r="I3" s="284"/>
      <c r="K3" s="13"/>
      <c r="L3" s="13"/>
      <c r="M3" s="14"/>
      <c r="R3" s="289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285" t="s">
        <v>3</v>
      </c>
      <c r="F4" s="286"/>
      <c r="H4" s="287" t="s">
        <v>4</v>
      </c>
      <c r="I4" s="288"/>
      <c r="J4" s="19"/>
      <c r="K4" s="20"/>
      <c r="L4" s="21"/>
      <c r="M4" s="22" t="s">
        <v>5</v>
      </c>
      <c r="N4" s="23" t="s">
        <v>6</v>
      </c>
      <c r="P4" s="296" t="s">
        <v>7</v>
      </c>
      <c r="Q4" s="297"/>
      <c r="R4" s="290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  <c r="S6">
        <v>3</v>
      </c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  <c r="S7">
        <v>3</v>
      </c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  <c r="S8">
        <v>9</v>
      </c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  <c r="S9">
        <v>4</v>
      </c>
    </row>
    <row r="10" spans="1:21" ht="18" thickBot="1" x14ac:dyDescent="0.35">
      <c r="A10" s="24"/>
      <c r="B10" s="25">
        <v>44653</v>
      </c>
      <c r="C10" s="26">
        <v>9627</v>
      </c>
      <c r="D10" s="36" t="s">
        <v>227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228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229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  <c r="S13">
        <v>5</v>
      </c>
    </row>
    <row r="14" spans="1:21" ht="18" thickBot="1" x14ac:dyDescent="0.35">
      <c r="A14" s="24"/>
      <c r="B14" s="25">
        <v>44657</v>
      </c>
      <c r="C14" s="26">
        <v>18742</v>
      </c>
      <c r="D14" s="51" t="s">
        <v>230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  <c r="S14">
        <v>3</v>
      </c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  <c r="S15">
        <v>-8</v>
      </c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>
        <v>89894</v>
      </c>
      <c r="G16" s="2"/>
      <c r="H16" s="30">
        <v>44659</v>
      </c>
      <c r="I16" s="31">
        <v>106</v>
      </c>
      <c r="J16" s="38"/>
      <c r="K16" s="45"/>
      <c r="L16" s="9"/>
      <c r="M16" s="32">
        <f>55000+34490</f>
        <v>89490</v>
      </c>
      <c r="N16" s="33">
        <v>300</v>
      </c>
      <c r="P16" s="34">
        <f t="shared" si="0"/>
        <v>89896</v>
      </c>
      <c r="Q16" s="13">
        <f t="shared" si="1"/>
        <v>2</v>
      </c>
      <c r="R16" s="8" t="s">
        <v>8</v>
      </c>
      <c r="S16">
        <v>2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>
        <v>67991</v>
      </c>
      <c r="G17" s="2"/>
      <c r="H17" s="30">
        <v>44660</v>
      </c>
      <c r="I17" s="31">
        <v>158</v>
      </c>
      <c r="J17" s="38">
        <v>44660</v>
      </c>
      <c r="K17" s="52" t="s">
        <v>231</v>
      </c>
      <c r="L17" s="48">
        <v>9800</v>
      </c>
      <c r="M17" s="32">
        <f>30000+18440</f>
        <v>48440</v>
      </c>
      <c r="N17" s="33">
        <v>9597</v>
      </c>
      <c r="P17" s="34">
        <f t="shared" si="0"/>
        <v>67995</v>
      </c>
      <c r="Q17" s="13">
        <f t="shared" si="1"/>
        <v>4</v>
      </c>
      <c r="R17" s="8"/>
      <c r="S17">
        <v>4</v>
      </c>
    </row>
    <row r="18" spans="1:19" ht="18" thickBot="1" x14ac:dyDescent="0.35">
      <c r="A18" s="24"/>
      <c r="B18" s="25">
        <v>44661</v>
      </c>
      <c r="C18" s="26">
        <v>17885</v>
      </c>
      <c r="D18" s="36" t="s">
        <v>232</v>
      </c>
      <c r="E18" s="28">
        <v>44661</v>
      </c>
      <c r="F18" s="29">
        <v>91204</v>
      </c>
      <c r="G18" s="2"/>
      <c r="H18" s="30">
        <v>44661</v>
      </c>
      <c r="I18" s="31">
        <v>35</v>
      </c>
      <c r="J18" s="38"/>
      <c r="K18" s="53"/>
      <c r="L18" s="40"/>
      <c r="M18" s="32">
        <f>50000+11112+10616</f>
        <v>71728</v>
      </c>
      <c r="N18" s="33">
        <v>1556</v>
      </c>
      <c r="P18" s="34">
        <f t="shared" si="0"/>
        <v>91204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>
        <v>60684</v>
      </c>
      <c r="G19" s="2"/>
      <c r="H19" s="30">
        <v>44662</v>
      </c>
      <c r="I19" s="31">
        <v>202</v>
      </c>
      <c r="J19" s="38"/>
      <c r="K19" s="54"/>
      <c r="L19" s="55"/>
      <c r="M19" s="32">
        <f>30100+29613</f>
        <v>59713</v>
      </c>
      <c r="N19" s="33">
        <v>769</v>
      </c>
      <c r="O19" s="2"/>
      <c r="P19" s="34">
        <f t="shared" si="0"/>
        <v>60684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>
        <v>56907</v>
      </c>
      <c r="G20" s="2"/>
      <c r="H20" s="30">
        <v>44663</v>
      </c>
      <c r="I20" s="31">
        <v>28</v>
      </c>
      <c r="J20" s="38"/>
      <c r="K20" s="56"/>
      <c r="L20" s="48"/>
      <c r="M20" s="32">
        <f>30000+26700</f>
        <v>56700</v>
      </c>
      <c r="N20" s="33">
        <v>172</v>
      </c>
      <c r="P20" s="34">
        <f t="shared" si="0"/>
        <v>56900</v>
      </c>
      <c r="Q20" s="61">
        <f t="shared" si="1"/>
        <v>-7</v>
      </c>
      <c r="R20" s="8"/>
      <c r="S20">
        <v>-7</v>
      </c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>
        <v>48470</v>
      </c>
      <c r="G21" s="2"/>
      <c r="H21" s="30">
        <v>44664</v>
      </c>
      <c r="I21" s="31">
        <v>32</v>
      </c>
      <c r="J21" s="38"/>
      <c r="K21" s="57"/>
      <c r="L21" s="48"/>
      <c r="M21" s="32">
        <f>15000+32870</f>
        <v>47870</v>
      </c>
      <c r="N21" s="33">
        <v>569</v>
      </c>
      <c r="P21" s="34">
        <f t="shared" si="0"/>
        <v>48471</v>
      </c>
      <c r="Q21" s="13">
        <f t="shared" si="1"/>
        <v>1</v>
      </c>
      <c r="R21" s="8"/>
      <c r="S21">
        <v>1</v>
      </c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>
        <v>55521</v>
      </c>
      <c r="G22" s="2"/>
      <c r="H22" s="30">
        <v>44665</v>
      </c>
      <c r="I22" s="31">
        <v>108</v>
      </c>
      <c r="J22" s="38"/>
      <c r="K22" s="45"/>
      <c r="L22" s="58"/>
      <c r="M22" s="32">
        <f>15000+39860</f>
        <v>54860</v>
      </c>
      <c r="N22" s="33">
        <v>554</v>
      </c>
      <c r="P22" s="34">
        <f t="shared" si="0"/>
        <v>55522</v>
      </c>
      <c r="Q22" s="13">
        <f t="shared" si="1"/>
        <v>1</v>
      </c>
      <c r="R22" s="8"/>
      <c r="S22">
        <v>1</v>
      </c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>
        <v>23712</v>
      </c>
      <c r="G23" s="2"/>
      <c r="H23" s="30">
        <v>44666</v>
      </c>
      <c r="I23" s="31">
        <v>18</v>
      </c>
      <c r="J23" s="59"/>
      <c r="K23" s="60"/>
      <c r="L23" s="48"/>
      <c r="M23" s="32">
        <v>22970</v>
      </c>
      <c r="N23" s="33">
        <v>724</v>
      </c>
      <c r="P23" s="34">
        <f t="shared" si="0"/>
        <v>23712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44667</v>
      </c>
      <c r="C24" s="26">
        <v>4733</v>
      </c>
      <c r="D24" s="41" t="s">
        <v>233</v>
      </c>
      <c r="E24" s="28">
        <v>44667</v>
      </c>
      <c r="F24" s="29">
        <v>94543</v>
      </c>
      <c r="G24" s="2"/>
      <c r="H24" s="30">
        <v>44667</v>
      </c>
      <c r="I24" s="31">
        <v>44</v>
      </c>
      <c r="J24" s="181">
        <v>44667</v>
      </c>
      <c r="K24" s="62" t="s">
        <v>234</v>
      </c>
      <c r="L24" s="63">
        <v>9800</v>
      </c>
      <c r="M24" s="32">
        <f>25000+42150</f>
        <v>67150</v>
      </c>
      <c r="N24" s="33">
        <v>12817</v>
      </c>
      <c r="P24" s="34">
        <f t="shared" si="0"/>
        <v>94544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44668</v>
      </c>
      <c r="C25" s="26">
        <v>15934</v>
      </c>
      <c r="D25" s="36" t="s">
        <v>232</v>
      </c>
      <c r="E25" s="28">
        <v>44668</v>
      </c>
      <c r="F25" s="29">
        <v>83216</v>
      </c>
      <c r="G25" s="2"/>
      <c r="H25" s="30">
        <v>44668</v>
      </c>
      <c r="I25" s="31">
        <v>0</v>
      </c>
      <c r="J25" s="64"/>
      <c r="K25" s="65"/>
      <c r="L25" s="66"/>
      <c r="M25" s="32">
        <f>17210+50000</f>
        <v>67210</v>
      </c>
      <c r="N25" s="33">
        <v>72</v>
      </c>
      <c r="O25" t="s">
        <v>8</v>
      </c>
      <c r="P25" s="34">
        <f t="shared" si="0"/>
        <v>83216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>
        <v>65304</v>
      </c>
      <c r="G26" s="2"/>
      <c r="H26" s="30">
        <v>44669</v>
      </c>
      <c r="I26" s="31">
        <v>136</v>
      </c>
      <c r="J26" s="38"/>
      <c r="K26" s="62"/>
      <c r="L26" s="48"/>
      <c r="M26" s="32">
        <f>33900+30877</f>
        <v>64777</v>
      </c>
      <c r="N26" s="33">
        <v>391</v>
      </c>
      <c r="P26" s="34">
        <f t="shared" si="0"/>
        <v>65304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>
        <v>63083</v>
      </c>
      <c r="G27" s="2"/>
      <c r="H27" s="30">
        <v>44670</v>
      </c>
      <c r="I27" s="31">
        <v>70</v>
      </c>
      <c r="J27" s="67"/>
      <c r="K27" s="68"/>
      <c r="L27" s="66"/>
      <c r="M27" s="32">
        <f>47800+15000</f>
        <v>62800</v>
      </c>
      <c r="N27" s="33">
        <v>216</v>
      </c>
      <c r="P27" s="34">
        <f t="shared" si="0"/>
        <v>63086</v>
      </c>
      <c r="Q27" s="13">
        <f t="shared" si="1"/>
        <v>3</v>
      </c>
      <c r="R27" s="8"/>
      <c r="S27">
        <v>3</v>
      </c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>
        <v>50512</v>
      </c>
      <c r="G28" s="2"/>
      <c r="H28" s="30">
        <v>44671</v>
      </c>
      <c r="I28" s="31">
        <v>104</v>
      </c>
      <c r="J28" s="69"/>
      <c r="K28" s="70"/>
      <c r="L28" s="66"/>
      <c r="M28" s="32">
        <f>25000+25370</f>
        <v>50370</v>
      </c>
      <c r="N28" s="33">
        <v>40</v>
      </c>
      <c r="P28" s="34">
        <f t="shared" si="0"/>
        <v>50514</v>
      </c>
      <c r="Q28" s="13">
        <f t="shared" si="1"/>
        <v>2</v>
      </c>
      <c r="R28" s="8"/>
      <c r="S28">
        <v>2</v>
      </c>
    </row>
    <row r="29" spans="1:19" ht="18" thickBot="1" x14ac:dyDescent="0.35">
      <c r="A29" s="24"/>
      <c r="B29" s="25">
        <v>44672</v>
      </c>
      <c r="C29" s="26">
        <v>2720</v>
      </c>
      <c r="D29" s="71" t="s">
        <v>47</v>
      </c>
      <c r="E29" s="28">
        <v>44672</v>
      </c>
      <c r="F29" s="29">
        <v>77234</v>
      </c>
      <c r="G29" s="2"/>
      <c r="H29" s="30">
        <v>44672</v>
      </c>
      <c r="I29" s="31">
        <v>83</v>
      </c>
      <c r="J29" s="67"/>
      <c r="K29" s="72"/>
      <c r="L29" s="66"/>
      <c r="M29" s="32">
        <f>53460+20000</f>
        <v>73460</v>
      </c>
      <c r="N29" s="33">
        <v>970</v>
      </c>
      <c r="P29" s="34">
        <f t="shared" si="0"/>
        <v>77233</v>
      </c>
      <c r="Q29" s="61">
        <f t="shared" si="1"/>
        <v>-1</v>
      </c>
      <c r="R29" s="8"/>
      <c r="S29">
        <v>-1</v>
      </c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>
        <v>77198</v>
      </c>
      <c r="G30" s="2"/>
      <c r="H30" s="30">
        <v>44673</v>
      </c>
      <c r="I30" s="31">
        <v>39</v>
      </c>
      <c r="J30" s="73"/>
      <c r="K30" s="74"/>
      <c r="L30" s="75"/>
      <c r="M30" s="32">
        <f>30000+46760</f>
        <v>76760</v>
      </c>
      <c r="N30" s="33">
        <v>400</v>
      </c>
      <c r="P30" s="34">
        <f t="shared" si="0"/>
        <v>77199</v>
      </c>
      <c r="Q30" s="13">
        <f t="shared" si="1"/>
        <v>1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>
        <v>117077</v>
      </c>
      <c r="G31" s="2"/>
      <c r="H31" s="30">
        <v>44674</v>
      </c>
      <c r="I31" s="31">
        <v>84</v>
      </c>
      <c r="J31" s="73">
        <v>44674</v>
      </c>
      <c r="K31" s="76" t="s">
        <v>235</v>
      </c>
      <c r="L31" s="77">
        <v>9800</v>
      </c>
      <c r="M31" s="32">
        <f>45000+53783</f>
        <v>98783</v>
      </c>
      <c r="N31" s="33">
        <v>8410</v>
      </c>
      <c r="P31" s="34">
        <f t="shared" si="0"/>
        <v>117077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19698</v>
      </c>
      <c r="D32" s="78" t="s">
        <v>236</v>
      </c>
      <c r="E32" s="28">
        <v>44675</v>
      </c>
      <c r="F32" s="29">
        <v>107499</v>
      </c>
      <c r="G32" s="2"/>
      <c r="H32" s="30">
        <v>44675</v>
      </c>
      <c r="I32" s="31">
        <v>0</v>
      </c>
      <c r="J32" s="73"/>
      <c r="K32" s="74"/>
      <c r="L32" s="75"/>
      <c r="M32" s="32">
        <f>55000+29608</f>
        <v>84608</v>
      </c>
      <c r="N32" s="33">
        <v>3193</v>
      </c>
      <c r="P32" s="34">
        <f t="shared" si="0"/>
        <v>107499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>
        <v>44676</v>
      </c>
      <c r="C33" s="26">
        <v>3120</v>
      </c>
      <c r="D33" s="79" t="s">
        <v>47</v>
      </c>
      <c r="E33" s="28">
        <v>44676</v>
      </c>
      <c r="F33" s="29">
        <v>73868</v>
      </c>
      <c r="G33" s="2"/>
      <c r="H33" s="30">
        <v>44676</v>
      </c>
      <c r="I33" s="31">
        <v>125</v>
      </c>
      <c r="J33" s="73"/>
      <c r="K33" s="76"/>
      <c r="L33" s="80"/>
      <c r="M33" s="32">
        <f>40000+30090</f>
        <v>70090</v>
      </c>
      <c r="N33" s="33">
        <v>530</v>
      </c>
      <c r="P33" s="34">
        <f t="shared" si="0"/>
        <v>73865</v>
      </c>
      <c r="Q33" s="61">
        <f t="shared" si="1"/>
        <v>-3</v>
      </c>
      <c r="R33" s="8"/>
    </row>
    <row r="34" spans="1:18" ht="18" thickBot="1" x14ac:dyDescent="0.35">
      <c r="A34" s="24"/>
      <c r="B34" s="25">
        <v>44677</v>
      </c>
      <c r="C34" s="26">
        <v>810</v>
      </c>
      <c r="D34" s="78" t="s">
        <v>36</v>
      </c>
      <c r="E34" s="28">
        <v>44677</v>
      </c>
      <c r="F34" s="29">
        <v>42606</v>
      </c>
      <c r="G34" s="2"/>
      <c r="H34" s="30">
        <v>44677</v>
      </c>
      <c r="I34" s="31">
        <v>52</v>
      </c>
      <c r="J34" s="73"/>
      <c r="K34" s="81"/>
      <c r="L34" s="82"/>
      <c r="M34" s="32">
        <f>26744+15000</f>
        <v>41744</v>
      </c>
      <c r="N34" s="33">
        <v>0</v>
      </c>
      <c r="P34" s="34">
        <f t="shared" si="0"/>
        <v>42606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>
        <v>44907</v>
      </c>
      <c r="G35" s="2"/>
      <c r="H35" s="30">
        <v>44678</v>
      </c>
      <c r="I35" s="31">
        <v>83</v>
      </c>
      <c r="J35" s="73"/>
      <c r="K35" s="76"/>
      <c r="L35" s="80"/>
      <c r="M35" s="32">
        <f>29024+15800</f>
        <v>44824</v>
      </c>
      <c r="N35" s="33">
        <v>0</v>
      </c>
      <c r="P35" s="34">
        <f t="shared" si="0"/>
        <v>44907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>
        <v>62031</v>
      </c>
      <c r="G36" s="2"/>
      <c r="H36" s="30">
        <v>44679</v>
      </c>
      <c r="I36" s="31">
        <v>2956</v>
      </c>
      <c r="J36" s="73"/>
      <c r="K36" s="42"/>
      <c r="L36" s="80"/>
      <c r="M36" s="220">
        <f>20000+39000</f>
        <v>59000</v>
      </c>
      <c r="N36" s="33">
        <v>77</v>
      </c>
      <c r="P36" s="34">
        <f t="shared" si="0"/>
        <v>62033</v>
      </c>
      <c r="Q36" s="13">
        <f t="shared" si="1"/>
        <v>2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>
        <v>88492</v>
      </c>
      <c r="G37" s="2"/>
      <c r="H37" s="30">
        <v>44680</v>
      </c>
      <c r="I37" s="31">
        <v>123</v>
      </c>
      <c r="J37" s="73"/>
      <c r="K37" s="221"/>
      <c r="L37" s="80"/>
      <c r="M37" s="220">
        <f>67640+20000</f>
        <v>87640</v>
      </c>
      <c r="N37" s="33">
        <v>731</v>
      </c>
      <c r="P37" s="34">
        <f t="shared" si="0"/>
        <v>88494</v>
      </c>
      <c r="Q37" s="13">
        <f t="shared" si="1"/>
        <v>2</v>
      </c>
    </row>
    <row r="38" spans="1:18" ht="18" thickBot="1" x14ac:dyDescent="0.35">
      <c r="A38" s="24"/>
      <c r="B38" s="25">
        <v>44681</v>
      </c>
      <c r="C38" s="26">
        <v>3520</v>
      </c>
      <c r="D38" s="79" t="s">
        <v>47</v>
      </c>
      <c r="E38" s="28">
        <v>44681</v>
      </c>
      <c r="F38" s="29">
        <v>79664</v>
      </c>
      <c r="G38" s="2"/>
      <c r="H38" s="30">
        <v>44681</v>
      </c>
      <c r="I38" s="31">
        <v>79</v>
      </c>
      <c r="J38" s="73">
        <v>44681</v>
      </c>
      <c r="K38" s="76" t="s">
        <v>235</v>
      </c>
      <c r="L38" s="80">
        <v>12100</v>
      </c>
      <c r="M38" s="32">
        <f>39110+15000</f>
        <v>54110</v>
      </c>
      <c r="N38" s="33">
        <v>9850</v>
      </c>
      <c r="P38" s="34">
        <f t="shared" si="0"/>
        <v>79659</v>
      </c>
      <c r="Q38" s="61">
        <f t="shared" si="1"/>
        <v>-5</v>
      </c>
    </row>
    <row r="39" spans="1:18" ht="18" thickBot="1" x14ac:dyDescent="0.35">
      <c r="A39" s="24"/>
      <c r="B39" s="25">
        <v>44682</v>
      </c>
      <c r="C39" s="26">
        <v>14731</v>
      </c>
      <c r="D39" s="79" t="s">
        <v>232</v>
      </c>
      <c r="E39" s="28">
        <v>44682</v>
      </c>
      <c r="F39" s="85">
        <v>117267</v>
      </c>
      <c r="G39" s="2"/>
      <c r="H39" s="30">
        <v>44682</v>
      </c>
      <c r="I39" s="31">
        <v>56</v>
      </c>
      <c r="J39" s="73"/>
      <c r="K39" s="76"/>
      <c r="L39" s="75"/>
      <c r="M39" s="32">
        <f>20634+80000</f>
        <v>100634</v>
      </c>
      <c r="N39" s="33">
        <v>1846</v>
      </c>
      <c r="P39" s="34">
        <f t="shared" si="0"/>
        <v>117267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44651</v>
      </c>
      <c r="K40" s="245" t="s">
        <v>204</v>
      </c>
      <c r="L40" s="75">
        <f>927.48+128</f>
        <v>1055.48</v>
      </c>
      <c r="M40" s="298">
        <f>SUM(M5:M39)</f>
        <v>2146671</v>
      </c>
      <c r="N40" s="300">
        <f>SUM(N5:N39)</f>
        <v>68590</v>
      </c>
      <c r="P40" s="34">
        <f>SUM(P5:P39)</f>
        <v>2397134</v>
      </c>
      <c r="Q40" s="13">
        <f t="shared" si="1"/>
        <v>2397134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>
        <v>44658</v>
      </c>
      <c r="K41" s="76" t="s">
        <v>322</v>
      </c>
      <c r="L41" s="75">
        <v>1195.68</v>
      </c>
      <c r="M41" s="299"/>
      <c r="N41" s="301"/>
      <c r="P41" s="34"/>
      <c r="Q41" s="9"/>
    </row>
    <row r="42" spans="1:18" ht="18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>
        <v>44673</v>
      </c>
      <c r="K42" s="76" t="s">
        <v>318</v>
      </c>
      <c r="L42" s="80">
        <v>1392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>
        <v>44676</v>
      </c>
      <c r="K43" s="246" t="s">
        <v>190</v>
      </c>
      <c r="L43" s="80">
        <v>30225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>
        <v>7</v>
      </c>
      <c r="J44" s="73">
        <v>44681</v>
      </c>
      <c r="K44" s="76" t="s">
        <v>320</v>
      </c>
      <c r="L44" s="80">
        <v>1498.61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125974</v>
      </c>
      <c r="D51" s="107"/>
      <c r="E51" s="108" t="s">
        <v>9</v>
      </c>
      <c r="F51" s="109">
        <f>SUM(F5:F50)</f>
        <v>2397126</v>
      </c>
      <c r="G51" s="107"/>
      <c r="H51" s="110" t="s">
        <v>10</v>
      </c>
      <c r="I51" s="111">
        <f>SUM(I5:I50)</f>
        <v>5689</v>
      </c>
      <c r="J51" s="112"/>
      <c r="K51" s="113" t="s">
        <v>11</v>
      </c>
      <c r="L51" s="114">
        <f>SUM(L5:L50)</f>
        <v>85583.77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2" t="s">
        <v>12</v>
      </c>
      <c r="I53" s="303"/>
      <c r="J53" s="119"/>
      <c r="K53" s="304">
        <f>I51+L51</f>
        <v>91272.77</v>
      </c>
      <c r="L53" s="305"/>
      <c r="M53" s="306">
        <f>N40+M40</f>
        <v>2215261</v>
      </c>
      <c r="N53" s="307"/>
      <c r="P53" s="34"/>
      <c r="Q53" s="9"/>
    </row>
    <row r="54" spans="1:17" ht="15.75" x14ac:dyDescent="0.25">
      <c r="D54" s="308" t="s">
        <v>13</v>
      </c>
      <c r="E54" s="308"/>
      <c r="F54" s="120">
        <f>F51-K53-C51</f>
        <v>2179879.23</v>
      </c>
      <c r="I54" s="121"/>
      <c r="J54" s="122"/>
      <c r="P54" s="34"/>
      <c r="Q54" s="9"/>
    </row>
    <row r="55" spans="1:17" ht="18.75" x14ac:dyDescent="0.3">
      <c r="D55" s="309" t="s">
        <v>14</v>
      </c>
      <c r="E55" s="309"/>
      <c r="F55" s="115">
        <v>-2227493.48</v>
      </c>
      <c r="I55" s="310" t="s">
        <v>15</v>
      </c>
      <c r="J55" s="311"/>
      <c r="K55" s="312">
        <f>F57+F58+F59</f>
        <v>261521.34000000003</v>
      </c>
      <c r="L55" s="313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-47614.25</v>
      </c>
      <c r="H57" s="24"/>
      <c r="I57" s="129" t="s">
        <v>17</v>
      </c>
      <c r="J57" s="130"/>
      <c r="K57" s="314">
        <f>-C4</f>
        <v>-219417.37</v>
      </c>
      <c r="L57" s="315"/>
    </row>
    <row r="58" spans="1:17" ht="16.5" thickBot="1" x14ac:dyDescent="0.3">
      <c r="D58" s="131" t="s">
        <v>18</v>
      </c>
      <c r="E58" s="117" t="s">
        <v>19</v>
      </c>
      <c r="F58" s="132">
        <v>11261</v>
      </c>
    </row>
    <row r="59" spans="1:17" ht="20.25" thickTop="1" thickBot="1" x14ac:dyDescent="0.35">
      <c r="C59" s="133">
        <v>44682</v>
      </c>
      <c r="D59" s="291" t="s">
        <v>20</v>
      </c>
      <c r="E59" s="292"/>
      <c r="F59" s="134">
        <v>297874.59000000003</v>
      </c>
      <c r="I59" s="293" t="s">
        <v>168</v>
      </c>
      <c r="J59" s="294"/>
      <c r="K59" s="295">
        <f>K55+K57</f>
        <v>42103.97000000003</v>
      </c>
      <c r="L59" s="295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40:L44">
    <sortCondition ref="J40:J44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15"/>
  <sheetViews>
    <sheetView topLeftCell="A22" workbookViewId="0">
      <selection activeCell="B84" sqref="B84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51">
        <v>44679</v>
      </c>
      <c r="B3" s="252" t="s">
        <v>237</v>
      </c>
      <c r="C3" s="253">
        <v>38714.910000000003</v>
      </c>
      <c r="D3" s="238">
        <v>44652</v>
      </c>
      <c r="E3" s="254">
        <v>38714.910000000003</v>
      </c>
      <c r="F3" s="158">
        <f>C3-E3</f>
        <v>0</v>
      </c>
    </row>
    <row r="4" spans="1:7" ht="15.75" x14ac:dyDescent="0.25">
      <c r="A4" s="251">
        <v>44679</v>
      </c>
      <c r="B4" s="252" t="s">
        <v>238</v>
      </c>
      <c r="C4" s="253">
        <v>7324.6</v>
      </c>
      <c r="D4" s="238">
        <v>44652</v>
      </c>
      <c r="E4" s="254">
        <v>7324.6</v>
      </c>
      <c r="F4" s="196">
        <f>C4-E4+F3</f>
        <v>0</v>
      </c>
    </row>
    <row r="5" spans="1:7" s="35" customFormat="1" ht="15.75" x14ac:dyDescent="0.25">
      <c r="A5" s="251">
        <v>44680</v>
      </c>
      <c r="B5" s="252" t="s">
        <v>239</v>
      </c>
      <c r="C5" s="253">
        <v>794.4</v>
      </c>
      <c r="D5" s="238">
        <v>44652</v>
      </c>
      <c r="E5" s="254">
        <v>794.4</v>
      </c>
      <c r="F5" s="196">
        <f t="shared" ref="F5:F47" si="0">C5-E5+F4</f>
        <v>0</v>
      </c>
    </row>
    <row r="6" spans="1:7" ht="18.75" x14ac:dyDescent="0.3">
      <c r="A6" s="251">
        <v>44681</v>
      </c>
      <c r="B6" s="252" t="s">
        <v>240</v>
      </c>
      <c r="C6" s="253">
        <v>112563.39</v>
      </c>
      <c r="D6" s="238">
        <v>44652</v>
      </c>
      <c r="E6" s="254">
        <v>112563.39</v>
      </c>
      <c r="F6" s="196">
        <f t="shared" si="0"/>
        <v>0</v>
      </c>
      <c r="G6" s="162"/>
    </row>
    <row r="7" spans="1:7" ht="15.75" x14ac:dyDescent="0.25">
      <c r="A7" s="251">
        <v>44681</v>
      </c>
      <c r="B7" s="252" t="s">
        <v>241</v>
      </c>
      <c r="C7" s="253">
        <v>1341.6</v>
      </c>
      <c r="D7" s="238">
        <v>44652</v>
      </c>
      <c r="E7" s="254">
        <v>1341.6</v>
      </c>
      <c r="F7" s="196">
        <f t="shared" si="0"/>
        <v>0</v>
      </c>
    </row>
    <row r="8" spans="1:7" ht="15.75" x14ac:dyDescent="0.25">
      <c r="A8" s="248">
        <v>44652</v>
      </c>
      <c r="B8" s="247" t="s">
        <v>242</v>
      </c>
      <c r="C8" s="115">
        <v>109475.36</v>
      </c>
      <c r="D8" s="238">
        <v>44652</v>
      </c>
      <c r="E8" s="255">
        <v>109475.36</v>
      </c>
      <c r="F8" s="196">
        <f t="shared" si="0"/>
        <v>0</v>
      </c>
    </row>
    <row r="9" spans="1:7" ht="15.75" x14ac:dyDescent="0.25">
      <c r="A9" s="248">
        <v>44653</v>
      </c>
      <c r="B9" s="247" t="s">
        <v>243</v>
      </c>
      <c r="C9" s="115">
        <v>93380.9</v>
      </c>
      <c r="D9" s="240">
        <v>44659</v>
      </c>
      <c r="E9" s="258">
        <v>93380.9</v>
      </c>
      <c r="F9" s="196">
        <f t="shared" si="0"/>
        <v>0</v>
      </c>
    </row>
    <row r="10" spans="1:7" ht="15.75" x14ac:dyDescent="0.25">
      <c r="A10" s="248">
        <v>44655</v>
      </c>
      <c r="B10" s="247" t="s">
        <v>244</v>
      </c>
      <c r="C10" s="115">
        <v>90010.89</v>
      </c>
      <c r="D10" s="240">
        <v>44659</v>
      </c>
      <c r="E10" s="258">
        <v>90010.89</v>
      </c>
      <c r="F10" s="196">
        <f t="shared" si="0"/>
        <v>0</v>
      </c>
    </row>
    <row r="11" spans="1:7" ht="15.75" x14ac:dyDescent="0.25">
      <c r="A11" s="248">
        <v>44656</v>
      </c>
      <c r="B11" s="247" t="s">
        <v>245</v>
      </c>
      <c r="C11" s="115">
        <v>0</v>
      </c>
      <c r="D11" s="202" t="s">
        <v>122</v>
      </c>
      <c r="E11" s="115">
        <v>0</v>
      </c>
      <c r="F11" s="196">
        <f t="shared" si="0"/>
        <v>0</v>
      </c>
    </row>
    <row r="12" spans="1:7" ht="18.75" x14ac:dyDescent="0.3">
      <c r="A12" s="248">
        <v>44656</v>
      </c>
      <c r="B12" s="247" t="s">
        <v>246</v>
      </c>
      <c r="C12" s="115">
        <v>20042.650000000001</v>
      </c>
      <c r="D12" s="240">
        <v>44659</v>
      </c>
      <c r="E12" s="258">
        <v>20042.650000000001</v>
      </c>
      <c r="F12" s="196">
        <f t="shared" si="0"/>
        <v>0</v>
      </c>
      <c r="G12" s="162"/>
    </row>
    <row r="13" spans="1:7" ht="15.75" x14ac:dyDescent="0.25">
      <c r="A13" s="248">
        <v>44657</v>
      </c>
      <c r="B13" s="247" t="s">
        <v>247</v>
      </c>
      <c r="C13" s="115">
        <v>91542.2</v>
      </c>
      <c r="D13" s="240">
        <v>44659</v>
      </c>
      <c r="E13" s="258">
        <v>91542.2</v>
      </c>
      <c r="F13" s="196">
        <f t="shared" si="0"/>
        <v>0</v>
      </c>
    </row>
    <row r="14" spans="1:7" ht="15.75" x14ac:dyDescent="0.25">
      <c r="A14" s="248">
        <v>44658</v>
      </c>
      <c r="B14" s="247" t="s">
        <v>248</v>
      </c>
      <c r="C14" s="115">
        <v>98059.12</v>
      </c>
      <c r="D14" s="240">
        <v>44659</v>
      </c>
      <c r="E14" s="258">
        <v>98059.12</v>
      </c>
      <c r="F14" s="196">
        <f t="shared" si="0"/>
        <v>0</v>
      </c>
    </row>
    <row r="15" spans="1:7" ht="15.75" x14ac:dyDescent="0.25">
      <c r="A15" s="248">
        <v>44659</v>
      </c>
      <c r="B15" s="247" t="s">
        <v>249</v>
      </c>
      <c r="C15" s="115">
        <v>82352.600000000006</v>
      </c>
      <c r="D15" s="200">
        <v>44669</v>
      </c>
      <c r="E15" s="115">
        <v>82352.600000000006</v>
      </c>
      <c r="F15" s="196">
        <f t="shared" si="0"/>
        <v>0</v>
      </c>
    </row>
    <row r="16" spans="1:7" ht="15.75" x14ac:dyDescent="0.25">
      <c r="A16" s="248">
        <v>44660</v>
      </c>
      <c r="B16" s="247" t="s">
        <v>250</v>
      </c>
      <c r="C16" s="115">
        <v>10483.23</v>
      </c>
      <c r="D16" s="200">
        <v>44669</v>
      </c>
      <c r="E16" s="115">
        <v>10483.23</v>
      </c>
      <c r="F16" s="196">
        <f t="shared" si="0"/>
        <v>0</v>
      </c>
    </row>
    <row r="17" spans="1:7" ht="15.75" x14ac:dyDescent="0.25">
      <c r="A17" s="248">
        <v>44660</v>
      </c>
      <c r="B17" s="247" t="s">
        <v>251</v>
      </c>
      <c r="C17" s="115">
        <v>58975.89</v>
      </c>
      <c r="D17" s="200">
        <v>44669</v>
      </c>
      <c r="E17" s="115">
        <v>58975.89</v>
      </c>
      <c r="F17" s="196">
        <f t="shared" si="0"/>
        <v>0</v>
      </c>
    </row>
    <row r="18" spans="1:7" ht="15.75" x14ac:dyDescent="0.25">
      <c r="A18" s="248">
        <v>44660</v>
      </c>
      <c r="B18" s="247" t="s">
        <v>252</v>
      </c>
      <c r="C18" s="115">
        <v>8687</v>
      </c>
      <c r="D18" s="200">
        <v>44669</v>
      </c>
      <c r="E18" s="115">
        <v>8687</v>
      </c>
      <c r="F18" s="196">
        <f t="shared" si="0"/>
        <v>0</v>
      </c>
    </row>
    <row r="19" spans="1:7" ht="15.75" x14ac:dyDescent="0.25">
      <c r="A19" s="248">
        <v>44662</v>
      </c>
      <c r="B19" s="247" t="s">
        <v>253</v>
      </c>
      <c r="C19" s="115">
        <v>66983.399999999994</v>
      </c>
      <c r="D19" s="200">
        <v>44669</v>
      </c>
      <c r="E19" s="115">
        <v>66983.399999999994</v>
      </c>
      <c r="F19" s="196">
        <f t="shared" si="0"/>
        <v>0</v>
      </c>
    </row>
    <row r="20" spans="1:7" ht="15.75" x14ac:dyDescent="0.25">
      <c r="A20" s="248">
        <v>44663</v>
      </c>
      <c r="B20" s="247" t="s">
        <v>254</v>
      </c>
      <c r="C20" s="115">
        <v>35876.1</v>
      </c>
      <c r="D20" s="200">
        <v>44669</v>
      </c>
      <c r="E20" s="115">
        <v>35876.1</v>
      </c>
      <c r="F20" s="196">
        <f t="shared" si="0"/>
        <v>0</v>
      </c>
    </row>
    <row r="21" spans="1:7" ht="15.75" x14ac:dyDescent="0.25">
      <c r="A21" s="248">
        <v>44664</v>
      </c>
      <c r="B21" s="247" t="s">
        <v>255</v>
      </c>
      <c r="C21" s="115">
        <v>68255.100000000006</v>
      </c>
      <c r="D21" s="200">
        <v>44669</v>
      </c>
      <c r="E21" s="115">
        <v>68255.100000000006</v>
      </c>
      <c r="F21" s="196">
        <f t="shared" si="0"/>
        <v>0</v>
      </c>
    </row>
    <row r="22" spans="1:7" ht="15.75" x14ac:dyDescent="0.25">
      <c r="A22" s="248">
        <v>44665</v>
      </c>
      <c r="B22" s="247" t="s">
        <v>256</v>
      </c>
      <c r="C22" s="115">
        <v>82981.11</v>
      </c>
      <c r="D22" s="200">
        <v>44669</v>
      </c>
      <c r="E22" s="115">
        <v>82981.11</v>
      </c>
      <c r="F22" s="196">
        <f t="shared" si="0"/>
        <v>0</v>
      </c>
    </row>
    <row r="23" spans="1:7" ht="15.75" x14ac:dyDescent="0.25">
      <c r="A23" s="248">
        <v>44665</v>
      </c>
      <c r="B23" s="247" t="s">
        <v>257</v>
      </c>
      <c r="C23" s="115">
        <v>8015.15</v>
      </c>
      <c r="D23" s="200">
        <v>44669</v>
      </c>
      <c r="E23" s="115">
        <v>8015.15</v>
      </c>
      <c r="F23" s="196">
        <f t="shared" si="0"/>
        <v>0</v>
      </c>
    </row>
    <row r="24" spans="1:7" ht="18.75" x14ac:dyDescent="0.3">
      <c r="A24" s="248">
        <v>44667</v>
      </c>
      <c r="B24" s="247" t="s">
        <v>258</v>
      </c>
      <c r="C24" s="115">
        <v>113918.95</v>
      </c>
      <c r="D24" s="200">
        <v>44669</v>
      </c>
      <c r="E24" s="115">
        <v>113918.95</v>
      </c>
      <c r="F24" s="196">
        <f t="shared" si="0"/>
        <v>0</v>
      </c>
      <c r="G24" s="162"/>
    </row>
    <row r="25" spans="1:7" ht="15.75" x14ac:dyDescent="0.25">
      <c r="A25" s="248">
        <v>44668</v>
      </c>
      <c r="B25" s="247" t="s">
        <v>259</v>
      </c>
      <c r="C25" s="115">
        <v>610.4</v>
      </c>
      <c r="D25" s="200">
        <v>44669</v>
      </c>
      <c r="E25" s="115">
        <v>610.4</v>
      </c>
      <c r="F25" s="196">
        <f t="shared" si="0"/>
        <v>0</v>
      </c>
    </row>
    <row r="26" spans="1:7" ht="15.75" x14ac:dyDescent="0.25">
      <c r="A26" s="248">
        <v>44669</v>
      </c>
      <c r="B26" s="247" t="s">
        <v>260</v>
      </c>
      <c r="C26" s="115">
        <v>69241.3</v>
      </c>
      <c r="D26" s="200">
        <v>44669</v>
      </c>
      <c r="E26" s="115">
        <v>69241.3</v>
      </c>
      <c r="F26" s="196">
        <f t="shared" si="0"/>
        <v>0</v>
      </c>
    </row>
    <row r="27" spans="1:7" ht="15.75" x14ac:dyDescent="0.25">
      <c r="A27" s="248">
        <v>44670</v>
      </c>
      <c r="B27" s="247" t="s">
        <v>261</v>
      </c>
      <c r="C27" s="115">
        <v>19804.8</v>
      </c>
      <c r="D27" s="256">
        <v>44673</v>
      </c>
      <c r="E27" s="257">
        <v>19804.8</v>
      </c>
      <c r="F27" s="196">
        <f t="shared" si="0"/>
        <v>0</v>
      </c>
    </row>
    <row r="28" spans="1:7" ht="15.75" x14ac:dyDescent="0.25">
      <c r="A28" s="248">
        <v>44671</v>
      </c>
      <c r="B28" s="247" t="s">
        <v>262</v>
      </c>
      <c r="C28" s="115">
        <v>97519.7</v>
      </c>
      <c r="D28" s="256">
        <v>44673</v>
      </c>
      <c r="E28" s="257">
        <v>97519.7</v>
      </c>
      <c r="F28" s="196">
        <f t="shared" si="0"/>
        <v>0</v>
      </c>
    </row>
    <row r="29" spans="1:7" ht="15.75" x14ac:dyDescent="0.25">
      <c r="A29" s="248">
        <v>44672</v>
      </c>
      <c r="B29" s="247" t="s">
        <v>263</v>
      </c>
      <c r="C29" s="115">
        <v>108559.18</v>
      </c>
      <c r="D29" s="256">
        <v>44673</v>
      </c>
      <c r="E29" s="257">
        <v>108559.18</v>
      </c>
      <c r="F29" s="196">
        <f t="shared" si="0"/>
        <v>0</v>
      </c>
    </row>
    <row r="30" spans="1:7" ht="15.75" x14ac:dyDescent="0.25">
      <c r="A30" s="248">
        <v>44673</v>
      </c>
      <c r="B30" s="247" t="s">
        <v>264</v>
      </c>
      <c r="C30" s="115">
        <v>0</v>
      </c>
      <c r="D30" s="249" t="s">
        <v>122</v>
      </c>
      <c r="E30" s="115">
        <v>0</v>
      </c>
      <c r="F30" s="196">
        <f t="shared" si="0"/>
        <v>0</v>
      </c>
    </row>
    <row r="31" spans="1:7" ht="15.75" x14ac:dyDescent="0.25">
      <c r="A31" s="248">
        <v>44673</v>
      </c>
      <c r="B31" s="247" t="s">
        <v>265</v>
      </c>
      <c r="C31" s="115">
        <v>90834.65</v>
      </c>
      <c r="D31" s="256">
        <v>44673</v>
      </c>
      <c r="E31" s="257">
        <v>90834.65</v>
      </c>
      <c r="F31" s="196">
        <f t="shared" si="0"/>
        <v>0</v>
      </c>
    </row>
    <row r="32" spans="1:7" ht="18.75" x14ac:dyDescent="0.3">
      <c r="A32" s="248">
        <v>44673</v>
      </c>
      <c r="B32" s="247" t="s">
        <v>266</v>
      </c>
      <c r="C32" s="115">
        <v>6798</v>
      </c>
      <c r="D32" s="256">
        <v>44673</v>
      </c>
      <c r="E32" s="257">
        <v>6798</v>
      </c>
      <c r="F32" s="196">
        <f t="shared" si="0"/>
        <v>0</v>
      </c>
      <c r="G32" s="162"/>
    </row>
    <row r="33" spans="1:6" ht="15.75" x14ac:dyDescent="0.25">
      <c r="A33" s="248">
        <v>44674</v>
      </c>
      <c r="B33" s="247" t="s">
        <v>267</v>
      </c>
      <c r="C33" s="115">
        <v>106135.36</v>
      </c>
      <c r="D33" s="200">
        <v>44681</v>
      </c>
      <c r="E33" s="115">
        <v>106135.36</v>
      </c>
      <c r="F33" s="196">
        <f t="shared" si="0"/>
        <v>0</v>
      </c>
    </row>
    <row r="34" spans="1:6" ht="15.75" x14ac:dyDescent="0.25">
      <c r="A34" s="248">
        <v>44676</v>
      </c>
      <c r="B34" s="247" t="s">
        <v>268</v>
      </c>
      <c r="C34" s="115">
        <v>53461.2</v>
      </c>
      <c r="D34" s="200">
        <v>44681</v>
      </c>
      <c r="E34" s="115">
        <v>53461.2</v>
      </c>
      <c r="F34" s="196">
        <f t="shared" si="0"/>
        <v>0</v>
      </c>
    </row>
    <row r="35" spans="1:6" ht="15.75" x14ac:dyDescent="0.25">
      <c r="A35" s="248">
        <v>44677</v>
      </c>
      <c r="B35" s="247" t="s">
        <v>269</v>
      </c>
      <c r="C35" s="115">
        <v>106910.84</v>
      </c>
      <c r="D35" s="200">
        <v>44681</v>
      </c>
      <c r="E35" s="115">
        <v>106910.84</v>
      </c>
      <c r="F35" s="196">
        <f t="shared" si="0"/>
        <v>0</v>
      </c>
    </row>
    <row r="36" spans="1:6" ht="15.75" x14ac:dyDescent="0.25">
      <c r="A36" s="248">
        <v>44678</v>
      </c>
      <c r="B36" s="247" t="s">
        <v>270</v>
      </c>
      <c r="C36" s="115">
        <v>73927.600000000006</v>
      </c>
      <c r="D36" s="200">
        <v>44681</v>
      </c>
      <c r="E36" s="115">
        <v>73927.600000000006</v>
      </c>
      <c r="F36" s="196">
        <f t="shared" si="0"/>
        <v>0</v>
      </c>
    </row>
    <row r="37" spans="1:6" ht="15.75" x14ac:dyDescent="0.25">
      <c r="A37" s="248">
        <v>44679</v>
      </c>
      <c r="B37" s="247" t="s">
        <v>271</v>
      </c>
      <c r="C37" s="115">
        <v>94122.1</v>
      </c>
      <c r="D37" s="200">
        <v>44681</v>
      </c>
      <c r="E37" s="115">
        <v>94122.1</v>
      </c>
      <c r="F37" s="196">
        <f t="shared" si="0"/>
        <v>0</v>
      </c>
    </row>
    <row r="38" spans="1:6" ht="15.75" x14ac:dyDescent="0.25">
      <c r="A38" s="248">
        <v>44679</v>
      </c>
      <c r="B38" s="247" t="s">
        <v>272</v>
      </c>
      <c r="C38" s="115">
        <v>3672</v>
      </c>
      <c r="D38" s="200">
        <v>44681</v>
      </c>
      <c r="E38" s="115">
        <v>3672</v>
      </c>
      <c r="F38" s="196">
        <f t="shared" si="0"/>
        <v>0</v>
      </c>
    </row>
    <row r="39" spans="1:6" ht="15.75" x14ac:dyDescent="0.25">
      <c r="A39" s="248">
        <v>44680</v>
      </c>
      <c r="B39" s="247" t="s">
        <v>273</v>
      </c>
      <c r="C39" s="115">
        <v>66412.5</v>
      </c>
      <c r="D39" s="200">
        <v>44681</v>
      </c>
      <c r="E39" s="115">
        <v>66412.5</v>
      </c>
      <c r="F39" s="196">
        <f t="shared" si="0"/>
        <v>0</v>
      </c>
    </row>
    <row r="40" spans="1:6" ht="15.75" x14ac:dyDescent="0.25">
      <c r="A40" s="248" t="s">
        <v>274</v>
      </c>
      <c r="B40" s="247" t="s">
        <v>275</v>
      </c>
      <c r="C40" s="115">
        <v>101114.1</v>
      </c>
      <c r="D40" s="200"/>
      <c r="E40" s="195"/>
      <c r="F40" s="196">
        <f t="shared" si="0"/>
        <v>101114.1</v>
      </c>
    </row>
    <row r="41" spans="1:6" ht="15.75" x14ac:dyDescent="0.25">
      <c r="A41" s="248" t="s">
        <v>274</v>
      </c>
      <c r="B41" s="247" t="s">
        <v>276</v>
      </c>
      <c r="C41" s="115">
        <v>28591.200000000001</v>
      </c>
      <c r="D41" s="200"/>
      <c r="E41" s="195"/>
      <c r="F41" s="196">
        <f t="shared" si="0"/>
        <v>129705.3</v>
      </c>
    </row>
    <row r="42" spans="1:6" ht="15.75" x14ac:dyDescent="0.25">
      <c r="A42" s="211"/>
      <c r="B42" s="194"/>
      <c r="C42" s="195"/>
      <c r="D42" s="200"/>
      <c r="E42" s="195"/>
      <c r="F42" s="196">
        <f t="shared" si="0"/>
        <v>129705.3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129705.3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129705.3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129705.3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129705.3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129705.3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ref="F48:F78" si="1">C48-E48+F47</f>
        <v>129705.3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129705.3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129705.3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129705.3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129705.3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129705.3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129705.3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129705.3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129705.3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129705.3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129705.3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129705.3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129705.3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129705.3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129705.3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129705.3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129705.3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129705.3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129705.3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129705.3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129705.3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129705.3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129705.3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129705.3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129705.3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129705.3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129705.3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129705.3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129705.3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129705.3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129705.3</v>
      </c>
    </row>
    <row r="79" spans="1:6" ht="19.5" thickBot="1" x14ac:dyDescent="0.35">
      <c r="A79" s="212"/>
      <c r="B79" s="232"/>
      <c r="C79" s="250">
        <f>SUM(C3:C78)</f>
        <v>2227493.48</v>
      </c>
      <c r="D79" s="189"/>
      <c r="E79" s="178">
        <f>SUM(E3:E78)</f>
        <v>2097788.1799999997</v>
      </c>
      <c r="F79" s="179">
        <f>F78</f>
        <v>129705.3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3" activePane="bottomRight" state="frozen"/>
      <selection pane="topRight" activeCell="D1" sqref="D1"/>
      <selection pane="bottomLeft" activeCell="A5" sqref="A5"/>
      <selection pane="bottomRight" activeCell="F34" sqref="F34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278"/>
      <c r="C1" s="280" t="s">
        <v>277</v>
      </c>
      <c r="D1" s="281"/>
      <c r="E1" s="281"/>
      <c r="F1" s="281"/>
      <c r="G1" s="281"/>
      <c r="H1" s="281"/>
      <c r="I1" s="281"/>
      <c r="J1" s="281"/>
      <c r="K1" s="281"/>
      <c r="L1" s="281"/>
      <c r="M1" s="281"/>
    </row>
    <row r="2" spans="1:21" ht="16.5" thickBot="1" x14ac:dyDescent="0.3">
      <c r="B2" s="279"/>
      <c r="C2" s="3"/>
      <c r="H2" s="5"/>
      <c r="I2" s="6"/>
      <c r="J2" s="7"/>
      <c r="L2" s="8"/>
      <c r="M2" s="6"/>
      <c r="N2" s="9"/>
    </row>
    <row r="3" spans="1:21" ht="21.75" thickBot="1" x14ac:dyDescent="0.35">
      <c r="B3" s="282" t="s">
        <v>0</v>
      </c>
      <c r="C3" s="283"/>
      <c r="D3" s="10"/>
      <c r="E3" s="11"/>
      <c r="F3" s="11"/>
      <c r="H3" s="284" t="s">
        <v>1</v>
      </c>
      <c r="I3" s="284"/>
      <c r="K3" s="13"/>
      <c r="L3" s="13"/>
      <c r="M3" s="14"/>
      <c r="R3" s="289" t="s">
        <v>38</v>
      </c>
    </row>
    <row r="4" spans="1:21" ht="20.25" thickTop="1" thickBot="1" x14ac:dyDescent="0.35">
      <c r="A4" s="15" t="s">
        <v>2</v>
      </c>
      <c r="B4" s="16"/>
      <c r="C4" s="17">
        <v>297874.59000000003</v>
      </c>
      <c r="D4" s="18">
        <v>44682</v>
      </c>
      <c r="E4" s="285" t="s">
        <v>3</v>
      </c>
      <c r="F4" s="286"/>
      <c r="H4" s="287" t="s">
        <v>4</v>
      </c>
      <c r="I4" s="288"/>
      <c r="J4" s="19"/>
      <c r="K4" s="20"/>
      <c r="L4" s="21"/>
      <c r="M4" s="22" t="s">
        <v>5</v>
      </c>
      <c r="N4" s="23" t="s">
        <v>6</v>
      </c>
      <c r="P4" s="296" t="s">
        <v>7</v>
      </c>
      <c r="Q4" s="297"/>
      <c r="R4" s="290"/>
    </row>
    <row r="5" spans="1:21" ht="18" thickBot="1" x14ac:dyDescent="0.35">
      <c r="A5" s="24" t="s">
        <v>8</v>
      </c>
      <c r="B5" s="25">
        <v>44683</v>
      </c>
      <c r="C5" s="26">
        <v>0</v>
      </c>
      <c r="D5" s="27"/>
      <c r="E5" s="28">
        <v>44683</v>
      </c>
      <c r="F5" s="29">
        <v>59482</v>
      </c>
      <c r="G5" s="2"/>
      <c r="H5" s="30">
        <v>44683</v>
      </c>
      <c r="I5" s="31">
        <v>147</v>
      </c>
      <c r="J5" s="7"/>
      <c r="K5" s="182"/>
      <c r="L5" s="9"/>
      <c r="M5" s="32">
        <f>22600+35936</f>
        <v>58536</v>
      </c>
      <c r="N5" s="33">
        <v>800</v>
      </c>
      <c r="O5" s="2"/>
      <c r="P5" s="34">
        <f>N5+M5+L5+I5+C5</f>
        <v>59483</v>
      </c>
      <c r="Q5" s="13">
        <f>P5-F5</f>
        <v>1</v>
      </c>
      <c r="R5" s="9"/>
    </row>
    <row r="6" spans="1:21" ht="18" thickBot="1" x14ac:dyDescent="0.35">
      <c r="A6" s="24"/>
      <c r="B6" s="25">
        <v>44684</v>
      </c>
      <c r="C6" s="26">
        <v>0</v>
      </c>
      <c r="D6" s="36"/>
      <c r="E6" s="28">
        <v>44684</v>
      </c>
      <c r="F6" s="29">
        <v>78395</v>
      </c>
      <c r="G6" s="2"/>
      <c r="H6" s="30">
        <v>44684</v>
      </c>
      <c r="I6" s="31">
        <v>10</v>
      </c>
      <c r="J6" s="38"/>
      <c r="K6" s="39"/>
      <c r="L6" s="40"/>
      <c r="M6" s="32">
        <f>30000+48311</f>
        <v>78311</v>
      </c>
      <c r="N6" s="33">
        <v>74</v>
      </c>
      <c r="O6" s="2"/>
      <c r="P6" s="34">
        <f t="shared" ref="P6:P34" si="0">N6+M6+L6+I6+C6</f>
        <v>78395</v>
      </c>
      <c r="Q6" s="13">
        <f t="shared" ref="Q6:Q40" si="1">P6-F6</f>
        <v>0</v>
      </c>
      <c r="R6" s="8"/>
      <c r="S6">
        <v>3</v>
      </c>
    </row>
    <row r="7" spans="1:21" ht="18" thickBot="1" x14ac:dyDescent="0.35">
      <c r="A7" s="24"/>
      <c r="B7" s="25">
        <v>44685</v>
      </c>
      <c r="C7" s="26">
        <v>0</v>
      </c>
      <c r="D7" s="41"/>
      <c r="E7" s="28">
        <v>44685</v>
      </c>
      <c r="F7" s="29">
        <v>33167</v>
      </c>
      <c r="G7" s="2"/>
      <c r="H7" s="30">
        <v>44685</v>
      </c>
      <c r="I7" s="31">
        <v>98</v>
      </c>
      <c r="J7" s="38"/>
      <c r="K7" s="42"/>
      <c r="L7" s="40"/>
      <c r="M7" s="32">
        <f>5000+27569</f>
        <v>32569</v>
      </c>
      <c r="N7" s="33">
        <v>500</v>
      </c>
      <c r="O7" s="2"/>
      <c r="P7" s="34">
        <f t="shared" si="0"/>
        <v>33167</v>
      </c>
      <c r="Q7" s="13">
        <f t="shared" si="1"/>
        <v>0</v>
      </c>
      <c r="R7" s="9"/>
      <c r="S7">
        <v>3</v>
      </c>
    </row>
    <row r="8" spans="1:21" ht="18" thickBot="1" x14ac:dyDescent="0.35">
      <c r="A8" s="24"/>
      <c r="B8" s="25">
        <v>44686</v>
      </c>
      <c r="C8" s="26">
        <v>1360</v>
      </c>
      <c r="D8" s="41" t="s">
        <v>47</v>
      </c>
      <c r="E8" s="28">
        <v>44686</v>
      </c>
      <c r="F8" s="29">
        <v>58940</v>
      </c>
      <c r="G8" s="2"/>
      <c r="H8" s="30">
        <v>44686</v>
      </c>
      <c r="I8" s="31">
        <v>28</v>
      </c>
      <c r="J8" s="44"/>
      <c r="K8" s="45"/>
      <c r="L8" s="40"/>
      <c r="M8" s="32">
        <f>52916+15000</f>
        <v>67916</v>
      </c>
      <c r="N8" s="33">
        <v>897</v>
      </c>
      <c r="O8" s="2"/>
      <c r="P8" s="34">
        <f t="shared" si="0"/>
        <v>70201</v>
      </c>
      <c r="Q8" s="13">
        <v>0</v>
      </c>
      <c r="R8" s="184">
        <v>11261</v>
      </c>
      <c r="S8">
        <v>9</v>
      </c>
    </row>
    <row r="9" spans="1:21" ht="18" thickBot="1" x14ac:dyDescent="0.35">
      <c r="A9" s="24"/>
      <c r="B9" s="25">
        <v>44687</v>
      </c>
      <c r="C9" s="26">
        <v>0</v>
      </c>
      <c r="D9" s="41"/>
      <c r="E9" s="28">
        <v>44687</v>
      </c>
      <c r="F9" s="29">
        <v>98700</v>
      </c>
      <c r="G9" s="2"/>
      <c r="H9" s="30">
        <v>44687</v>
      </c>
      <c r="I9" s="31">
        <v>85</v>
      </c>
      <c r="J9" s="38"/>
      <c r="K9" s="46"/>
      <c r="L9" s="40"/>
      <c r="M9" s="32">
        <f>20000+40000+38615</f>
        <v>98615</v>
      </c>
      <c r="N9" s="33">
        <v>0</v>
      </c>
      <c r="O9" s="2"/>
      <c r="P9" s="34">
        <f>N9+M9+L9+I9+C9</f>
        <v>98700</v>
      </c>
      <c r="Q9" s="13">
        <f t="shared" si="1"/>
        <v>0</v>
      </c>
      <c r="R9" s="8"/>
      <c r="S9">
        <v>4</v>
      </c>
    </row>
    <row r="10" spans="1:21" ht="18" thickBot="1" x14ac:dyDescent="0.35">
      <c r="A10" s="24"/>
      <c r="B10" s="25">
        <v>44688</v>
      </c>
      <c r="C10" s="26">
        <v>7184</v>
      </c>
      <c r="D10" s="36" t="s">
        <v>49</v>
      </c>
      <c r="E10" s="28">
        <v>44688</v>
      </c>
      <c r="F10" s="29">
        <v>102747</v>
      </c>
      <c r="G10" s="2"/>
      <c r="H10" s="30">
        <v>44688</v>
      </c>
      <c r="I10" s="31">
        <v>60</v>
      </c>
      <c r="J10" s="38"/>
      <c r="K10" s="47"/>
      <c r="L10" s="48"/>
      <c r="M10" s="32">
        <f>40000+47403</f>
        <v>87403</v>
      </c>
      <c r="N10" s="33">
        <v>8100</v>
      </c>
      <c r="O10" s="2"/>
      <c r="P10" s="34">
        <f t="shared" si="0"/>
        <v>102747</v>
      </c>
      <c r="Q10" s="13">
        <f t="shared" si="1"/>
        <v>0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44689</v>
      </c>
      <c r="C11" s="26">
        <v>5204</v>
      </c>
      <c r="D11" s="36" t="s">
        <v>49</v>
      </c>
      <c r="E11" s="28">
        <v>44689</v>
      </c>
      <c r="F11" s="29">
        <v>114024</v>
      </c>
      <c r="G11" s="2"/>
      <c r="H11" s="30">
        <v>44689</v>
      </c>
      <c r="I11" s="31">
        <v>22</v>
      </c>
      <c r="J11" s="44">
        <v>44689</v>
      </c>
      <c r="K11" s="49" t="s">
        <v>278</v>
      </c>
      <c r="L11" s="40">
        <v>9717</v>
      </c>
      <c r="M11" s="32">
        <f>80000+18221</f>
        <v>98221</v>
      </c>
      <c r="N11" s="33">
        <v>860</v>
      </c>
      <c r="O11" s="2"/>
      <c r="P11" s="34">
        <f>N11+M11+L11+I11+C11</f>
        <v>114024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44690</v>
      </c>
      <c r="C12" s="26">
        <v>2800</v>
      </c>
      <c r="D12" s="36" t="s">
        <v>47</v>
      </c>
      <c r="E12" s="28">
        <v>44690</v>
      </c>
      <c r="F12" s="29">
        <v>85296</v>
      </c>
      <c r="G12" s="2"/>
      <c r="H12" s="30">
        <v>44690</v>
      </c>
      <c r="I12" s="31">
        <v>39</v>
      </c>
      <c r="J12" s="38"/>
      <c r="K12" s="50"/>
      <c r="L12" s="40"/>
      <c r="M12" s="32">
        <f>57065+24240+200</f>
        <v>81505</v>
      </c>
      <c r="N12" s="33">
        <v>1152</v>
      </c>
      <c r="O12" s="2"/>
      <c r="P12" s="34">
        <f t="shared" si="0"/>
        <v>85496</v>
      </c>
      <c r="Q12" s="13">
        <f t="shared" si="1"/>
        <v>200</v>
      </c>
      <c r="R12" s="8"/>
      <c r="S12">
        <v>0</v>
      </c>
    </row>
    <row r="13" spans="1:21" ht="18" thickBot="1" x14ac:dyDescent="0.35">
      <c r="A13" s="24"/>
      <c r="B13" s="25">
        <v>44691</v>
      </c>
      <c r="C13" s="26">
        <v>800</v>
      </c>
      <c r="D13" s="41" t="s">
        <v>47</v>
      </c>
      <c r="E13" s="28">
        <v>44691</v>
      </c>
      <c r="F13" s="29">
        <v>92517</v>
      </c>
      <c r="G13" s="2"/>
      <c r="H13" s="30">
        <v>44691</v>
      </c>
      <c r="I13" s="31">
        <v>19</v>
      </c>
      <c r="J13" s="38"/>
      <c r="K13" s="39"/>
      <c r="L13" s="40"/>
      <c r="M13" s="32">
        <f>20000+40000+31098</f>
        <v>91098</v>
      </c>
      <c r="N13" s="33">
        <v>600</v>
      </c>
      <c r="O13" s="2"/>
      <c r="P13" s="34">
        <f t="shared" si="0"/>
        <v>92517</v>
      </c>
      <c r="Q13" s="13">
        <f t="shared" si="1"/>
        <v>0</v>
      </c>
      <c r="R13" s="185"/>
      <c r="S13">
        <v>5</v>
      </c>
    </row>
    <row r="14" spans="1:21" ht="18" thickBot="1" x14ac:dyDescent="0.35">
      <c r="A14" s="24"/>
      <c r="B14" s="25">
        <v>44692</v>
      </c>
      <c r="C14" s="26">
        <v>0</v>
      </c>
      <c r="D14" s="51"/>
      <c r="E14" s="28">
        <v>44692</v>
      </c>
      <c r="F14" s="29">
        <v>35612</v>
      </c>
      <c r="G14" s="2"/>
      <c r="H14" s="30">
        <v>44692</v>
      </c>
      <c r="I14" s="31">
        <v>309</v>
      </c>
      <c r="J14" s="38"/>
      <c r="K14" s="45"/>
      <c r="L14" s="40"/>
      <c r="M14" s="32">
        <v>35029</v>
      </c>
      <c r="N14" s="33">
        <v>274</v>
      </c>
      <c r="O14" s="2"/>
      <c r="P14" s="34">
        <f t="shared" si="0"/>
        <v>35612</v>
      </c>
      <c r="Q14" s="13">
        <f t="shared" si="1"/>
        <v>0</v>
      </c>
      <c r="R14" s="185"/>
      <c r="S14">
        <v>3</v>
      </c>
    </row>
    <row r="15" spans="1:21" ht="18" thickBot="1" x14ac:dyDescent="0.35">
      <c r="A15" s="24"/>
      <c r="B15" s="25">
        <v>44693</v>
      </c>
      <c r="C15" s="26">
        <v>18388</v>
      </c>
      <c r="D15" s="51" t="s">
        <v>49</v>
      </c>
      <c r="E15" s="28">
        <v>44693</v>
      </c>
      <c r="F15" s="29">
        <v>69146</v>
      </c>
      <c r="G15" s="2"/>
      <c r="H15" s="30">
        <v>44693</v>
      </c>
      <c r="I15" s="31">
        <v>90</v>
      </c>
      <c r="J15" s="38"/>
      <c r="K15" s="45"/>
      <c r="L15" s="40"/>
      <c r="M15" s="32">
        <f>30668+20000</f>
        <v>50668</v>
      </c>
      <c r="N15" s="33">
        <v>0</v>
      </c>
      <c r="P15" s="34">
        <f t="shared" si="0"/>
        <v>69146</v>
      </c>
      <c r="Q15" s="13">
        <f t="shared" si="1"/>
        <v>0</v>
      </c>
      <c r="R15" s="8"/>
      <c r="S15">
        <v>-8</v>
      </c>
    </row>
    <row r="16" spans="1:21" ht="18" thickBot="1" x14ac:dyDescent="0.35">
      <c r="A16" s="24"/>
      <c r="B16" s="25">
        <v>44694</v>
      </c>
      <c r="C16" s="26">
        <v>0</v>
      </c>
      <c r="D16" s="36"/>
      <c r="E16" s="28">
        <v>44694</v>
      </c>
      <c r="F16" s="29">
        <v>98563</v>
      </c>
      <c r="G16" s="2"/>
      <c r="H16" s="30">
        <v>44694</v>
      </c>
      <c r="I16" s="31">
        <v>220</v>
      </c>
      <c r="J16" s="38"/>
      <c r="K16" s="45"/>
      <c r="L16" s="9"/>
      <c r="M16" s="32">
        <f>63232+25000</f>
        <v>88232</v>
      </c>
      <c r="N16" s="33">
        <v>10111</v>
      </c>
      <c r="P16" s="34">
        <f t="shared" si="0"/>
        <v>98563</v>
      </c>
      <c r="Q16" s="13">
        <f t="shared" si="1"/>
        <v>0</v>
      </c>
      <c r="R16" s="8" t="s">
        <v>8</v>
      </c>
      <c r="S16">
        <v>2</v>
      </c>
    </row>
    <row r="17" spans="1:19" ht="18" thickBot="1" x14ac:dyDescent="0.35">
      <c r="A17" s="24"/>
      <c r="B17" s="25">
        <v>44695</v>
      </c>
      <c r="C17" s="26">
        <v>1411</v>
      </c>
      <c r="D17" s="41" t="s">
        <v>279</v>
      </c>
      <c r="E17" s="28">
        <v>44695</v>
      </c>
      <c r="F17" s="29">
        <v>149845</v>
      </c>
      <c r="G17" s="2"/>
      <c r="H17" s="30">
        <v>44695</v>
      </c>
      <c r="I17" s="31">
        <v>364</v>
      </c>
      <c r="J17" s="38">
        <v>44695</v>
      </c>
      <c r="K17" s="52" t="s">
        <v>280</v>
      </c>
      <c r="L17" s="48">
        <v>11900</v>
      </c>
      <c r="M17" s="32">
        <f>12366+41750+45477+25000</f>
        <v>124593</v>
      </c>
      <c r="N17" s="33">
        <v>11577</v>
      </c>
      <c r="P17" s="34">
        <f t="shared" si="0"/>
        <v>149845</v>
      </c>
      <c r="Q17" s="13">
        <f t="shared" si="1"/>
        <v>0</v>
      </c>
      <c r="R17" s="8"/>
      <c r="S17">
        <v>4</v>
      </c>
    </row>
    <row r="18" spans="1:19" ht="18" thickBot="1" x14ac:dyDescent="0.35">
      <c r="A18" s="24"/>
      <c r="B18" s="25">
        <v>44696</v>
      </c>
      <c r="C18" s="26">
        <v>0</v>
      </c>
      <c r="D18" s="36"/>
      <c r="E18" s="28">
        <v>44696</v>
      </c>
      <c r="F18" s="29">
        <v>122601</v>
      </c>
      <c r="G18" s="2"/>
      <c r="H18" s="30">
        <v>44696</v>
      </c>
      <c r="I18" s="31">
        <v>0</v>
      </c>
      <c r="J18" s="38"/>
      <c r="K18" s="53"/>
      <c r="L18" s="40"/>
      <c r="M18" s="32">
        <f>95000+26901</f>
        <v>121901</v>
      </c>
      <c r="N18" s="33">
        <v>700</v>
      </c>
      <c r="P18" s="34">
        <f t="shared" si="0"/>
        <v>122601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44697</v>
      </c>
      <c r="C19" s="26">
        <v>0</v>
      </c>
      <c r="D19" s="36"/>
      <c r="E19" s="28">
        <v>44697</v>
      </c>
      <c r="F19" s="29">
        <v>62516</v>
      </c>
      <c r="G19" s="2"/>
      <c r="H19" s="30">
        <v>44697</v>
      </c>
      <c r="I19" s="31">
        <v>59</v>
      </c>
      <c r="J19" s="38"/>
      <c r="K19" s="54"/>
      <c r="L19" s="55"/>
      <c r="M19" s="32">
        <f>22000+39329</f>
        <v>61329</v>
      </c>
      <c r="N19" s="33">
        <v>1130</v>
      </c>
      <c r="O19" s="2"/>
      <c r="P19" s="34">
        <f t="shared" si="0"/>
        <v>62518</v>
      </c>
      <c r="Q19" s="13">
        <f t="shared" si="1"/>
        <v>2</v>
      </c>
      <c r="R19" s="8"/>
      <c r="S19">
        <v>0</v>
      </c>
    </row>
    <row r="20" spans="1:19" ht="18" thickBot="1" x14ac:dyDescent="0.35">
      <c r="A20" s="24"/>
      <c r="B20" s="25">
        <v>44698</v>
      </c>
      <c r="C20" s="26">
        <v>0</v>
      </c>
      <c r="D20" s="36"/>
      <c r="E20" s="28">
        <v>44698</v>
      </c>
      <c r="F20" s="29">
        <v>87181</v>
      </c>
      <c r="G20" s="2"/>
      <c r="H20" s="30">
        <v>44698</v>
      </c>
      <c r="I20" s="31">
        <v>48</v>
      </c>
      <c r="J20" s="38"/>
      <c r="K20" s="56"/>
      <c r="L20" s="48"/>
      <c r="M20" s="32">
        <f>36535+50000</f>
        <v>86535</v>
      </c>
      <c r="N20" s="33">
        <v>598</v>
      </c>
      <c r="P20" s="34">
        <f t="shared" si="0"/>
        <v>87181</v>
      </c>
      <c r="Q20" s="13">
        <f t="shared" si="1"/>
        <v>0</v>
      </c>
      <c r="R20" s="8"/>
      <c r="S20">
        <v>-7</v>
      </c>
    </row>
    <row r="21" spans="1:19" ht="18" thickBot="1" x14ac:dyDescent="0.35">
      <c r="A21" s="24"/>
      <c r="B21" s="25">
        <v>44699</v>
      </c>
      <c r="C21" s="26">
        <v>2100</v>
      </c>
      <c r="D21" s="36" t="s">
        <v>47</v>
      </c>
      <c r="E21" s="28">
        <v>44699</v>
      </c>
      <c r="F21" s="29">
        <v>43454</v>
      </c>
      <c r="G21" s="2"/>
      <c r="H21" s="30">
        <v>44699</v>
      </c>
      <c r="I21" s="31">
        <v>90</v>
      </c>
      <c r="J21" s="38"/>
      <c r="K21" s="57"/>
      <c r="L21" s="48"/>
      <c r="M21" s="32">
        <f>31220+10000</f>
        <v>41220</v>
      </c>
      <c r="N21" s="33">
        <v>44</v>
      </c>
      <c r="P21" s="34">
        <f t="shared" si="0"/>
        <v>43454</v>
      </c>
      <c r="Q21" s="13">
        <f t="shared" si="1"/>
        <v>0</v>
      </c>
      <c r="R21" s="8"/>
      <c r="S21">
        <v>1</v>
      </c>
    </row>
    <row r="22" spans="1:19" ht="18" thickBot="1" x14ac:dyDescent="0.35">
      <c r="A22" s="24"/>
      <c r="B22" s="25">
        <v>44700</v>
      </c>
      <c r="C22" s="26">
        <v>0</v>
      </c>
      <c r="D22" s="36"/>
      <c r="E22" s="28">
        <v>44700</v>
      </c>
      <c r="F22" s="29">
        <v>65355</v>
      </c>
      <c r="G22" s="2"/>
      <c r="H22" s="30">
        <v>44700</v>
      </c>
      <c r="I22" s="31">
        <v>56</v>
      </c>
      <c r="J22" s="38"/>
      <c r="K22" s="45"/>
      <c r="L22" s="58"/>
      <c r="M22" s="32">
        <f>30000+35299</f>
        <v>65299</v>
      </c>
      <c r="N22" s="33">
        <v>0</v>
      </c>
      <c r="P22" s="34">
        <f t="shared" si="0"/>
        <v>65355</v>
      </c>
      <c r="Q22" s="13">
        <f t="shared" si="1"/>
        <v>0</v>
      </c>
      <c r="R22" s="8"/>
      <c r="S22">
        <v>1</v>
      </c>
    </row>
    <row r="23" spans="1:19" ht="18" thickBot="1" x14ac:dyDescent="0.35">
      <c r="A23" s="24"/>
      <c r="B23" s="25">
        <v>44701</v>
      </c>
      <c r="C23" s="26">
        <v>19197</v>
      </c>
      <c r="D23" s="36" t="s">
        <v>49</v>
      </c>
      <c r="E23" s="28">
        <v>44701</v>
      </c>
      <c r="F23" s="29">
        <v>86439</v>
      </c>
      <c r="G23" s="2"/>
      <c r="H23" s="30">
        <v>44701</v>
      </c>
      <c r="I23" s="31">
        <v>169</v>
      </c>
      <c r="J23" s="59"/>
      <c r="K23" s="60"/>
      <c r="L23" s="48"/>
      <c r="M23" s="32">
        <f>30000+36609</f>
        <v>66609</v>
      </c>
      <c r="N23" s="33">
        <v>464</v>
      </c>
      <c r="P23" s="34">
        <f t="shared" si="0"/>
        <v>86439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44702</v>
      </c>
      <c r="C24" s="26">
        <v>15</v>
      </c>
      <c r="D24" s="41" t="s">
        <v>34</v>
      </c>
      <c r="E24" s="28">
        <v>44702</v>
      </c>
      <c r="F24" s="29">
        <v>91965</v>
      </c>
      <c r="G24" s="2"/>
      <c r="H24" s="30">
        <v>44702</v>
      </c>
      <c r="I24" s="31">
        <v>60</v>
      </c>
      <c r="J24" s="181">
        <v>44702</v>
      </c>
      <c r="K24" s="62" t="s">
        <v>311</v>
      </c>
      <c r="L24" s="63">
        <v>10800</v>
      </c>
      <c r="M24" s="32">
        <f>44952+5623+20000</f>
        <v>70575</v>
      </c>
      <c r="N24" s="33">
        <v>10516</v>
      </c>
      <c r="P24" s="34">
        <f t="shared" si="0"/>
        <v>91966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44703</v>
      </c>
      <c r="C25" s="26">
        <v>0</v>
      </c>
      <c r="D25" s="36"/>
      <c r="E25" s="28">
        <v>44703</v>
      </c>
      <c r="F25" s="29">
        <v>118336</v>
      </c>
      <c r="G25" s="2"/>
      <c r="H25" s="30">
        <v>44703</v>
      </c>
      <c r="I25" s="31">
        <v>0</v>
      </c>
      <c r="J25" s="64"/>
      <c r="K25" s="65"/>
      <c r="L25" s="66"/>
      <c r="M25" s="32">
        <f>100000+14710</f>
        <v>114710</v>
      </c>
      <c r="N25" s="33">
        <v>3628</v>
      </c>
      <c r="O25" t="s">
        <v>8</v>
      </c>
      <c r="P25" s="34">
        <f t="shared" si="0"/>
        <v>118338</v>
      </c>
      <c r="Q25" s="13">
        <f t="shared" si="1"/>
        <v>2</v>
      </c>
      <c r="R25" s="8"/>
      <c r="S25">
        <v>0</v>
      </c>
    </row>
    <row r="26" spans="1:19" ht="18" thickBot="1" x14ac:dyDescent="0.35">
      <c r="A26" s="24"/>
      <c r="B26" s="25">
        <v>44704</v>
      </c>
      <c r="C26" s="26">
        <v>0</v>
      </c>
      <c r="D26" s="36"/>
      <c r="E26" s="28">
        <v>44704</v>
      </c>
      <c r="F26" s="29">
        <v>50361</v>
      </c>
      <c r="G26" s="2"/>
      <c r="H26" s="30">
        <v>44704</v>
      </c>
      <c r="I26" s="31">
        <v>53</v>
      </c>
      <c r="J26" s="38"/>
      <c r="K26" s="62"/>
      <c r="L26" s="48"/>
      <c r="M26" s="32">
        <f>44308+6000</f>
        <v>50308</v>
      </c>
      <c r="N26" s="33">
        <v>0</v>
      </c>
      <c r="P26" s="34">
        <f t="shared" si="0"/>
        <v>50361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44705</v>
      </c>
      <c r="C27" s="26">
        <v>2800</v>
      </c>
      <c r="D27" s="41" t="s">
        <v>47</v>
      </c>
      <c r="E27" s="28">
        <v>44705</v>
      </c>
      <c r="F27" s="29">
        <v>68453</v>
      </c>
      <c r="G27" s="2"/>
      <c r="H27" s="30">
        <v>44705</v>
      </c>
      <c r="I27" s="31">
        <v>43</v>
      </c>
      <c r="J27" s="67"/>
      <c r="K27" s="68"/>
      <c r="L27" s="66"/>
      <c r="M27" s="32">
        <f>45610+20000</f>
        <v>65610</v>
      </c>
      <c r="N27" s="33">
        <v>0</v>
      </c>
      <c r="P27" s="34">
        <f t="shared" si="0"/>
        <v>68453</v>
      </c>
      <c r="Q27" s="13">
        <f t="shared" si="1"/>
        <v>0</v>
      </c>
      <c r="R27" s="8"/>
      <c r="S27">
        <v>3</v>
      </c>
    </row>
    <row r="28" spans="1:19" ht="18" thickBot="1" x14ac:dyDescent="0.35">
      <c r="A28" s="24"/>
      <c r="B28" s="25">
        <v>44706</v>
      </c>
      <c r="C28" s="26">
        <v>0</v>
      </c>
      <c r="D28" s="41"/>
      <c r="E28" s="28">
        <v>44706</v>
      </c>
      <c r="F28" s="29">
        <v>28820</v>
      </c>
      <c r="G28" s="2"/>
      <c r="H28" s="30">
        <v>44706</v>
      </c>
      <c r="I28" s="31">
        <v>1153</v>
      </c>
      <c r="J28" s="69"/>
      <c r="K28" s="70"/>
      <c r="L28" s="66"/>
      <c r="M28" s="32">
        <f>16978+10000</f>
        <v>26978</v>
      </c>
      <c r="N28" s="33">
        <v>689</v>
      </c>
      <c r="P28" s="34">
        <f t="shared" si="0"/>
        <v>28820</v>
      </c>
      <c r="Q28" s="13" t="s">
        <v>8</v>
      </c>
      <c r="R28" s="8"/>
      <c r="S28">
        <v>2</v>
      </c>
    </row>
    <row r="29" spans="1:19" ht="18" thickBot="1" x14ac:dyDescent="0.35">
      <c r="A29" s="24"/>
      <c r="B29" s="25">
        <v>44707</v>
      </c>
      <c r="C29" s="26">
        <v>20289</v>
      </c>
      <c r="D29" s="71" t="s">
        <v>323</v>
      </c>
      <c r="E29" s="28">
        <v>44707</v>
      </c>
      <c r="F29" s="29">
        <v>65956</v>
      </c>
      <c r="G29" s="2"/>
      <c r="H29" s="30">
        <v>44707</v>
      </c>
      <c r="I29" s="31">
        <v>93</v>
      </c>
      <c r="J29" s="67"/>
      <c r="K29" s="72"/>
      <c r="L29" s="66"/>
      <c r="M29" s="32">
        <f>20000+25531</f>
        <v>45531</v>
      </c>
      <c r="N29" s="33">
        <v>43</v>
      </c>
      <c r="P29" s="34">
        <f t="shared" si="0"/>
        <v>65956</v>
      </c>
      <c r="Q29" s="13">
        <f t="shared" si="1"/>
        <v>0</v>
      </c>
      <c r="R29" s="8"/>
      <c r="S29">
        <v>-1</v>
      </c>
    </row>
    <row r="30" spans="1:19" ht="18" thickBot="1" x14ac:dyDescent="0.35">
      <c r="A30" s="24"/>
      <c r="B30" s="25">
        <v>44708</v>
      </c>
      <c r="C30" s="26">
        <v>2182</v>
      </c>
      <c r="D30" s="71" t="s">
        <v>312</v>
      </c>
      <c r="E30" s="28">
        <v>44708</v>
      </c>
      <c r="F30" s="29">
        <v>109848</v>
      </c>
      <c r="G30" s="2"/>
      <c r="H30" s="30">
        <v>44708</v>
      </c>
      <c r="I30" s="31">
        <v>49</v>
      </c>
      <c r="J30" s="73"/>
      <c r="K30" s="74"/>
      <c r="L30" s="75"/>
      <c r="M30" s="32">
        <f>35000+50000+22617</f>
        <v>107617</v>
      </c>
      <c r="N30" s="33">
        <v>0</v>
      </c>
      <c r="P30" s="34">
        <f t="shared" si="0"/>
        <v>109848</v>
      </c>
      <c r="Q30" s="13">
        <f t="shared" si="1"/>
        <v>0</v>
      </c>
      <c r="R30" s="8"/>
    </row>
    <row r="31" spans="1:19" ht="18" thickBot="1" x14ac:dyDescent="0.35">
      <c r="A31" s="24"/>
      <c r="B31" s="25">
        <v>44709</v>
      </c>
      <c r="C31" s="26">
        <v>0</v>
      </c>
      <c r="D31" s="83"/>
      <c r="E31" s="28">
        <v>44709</v>
      </c>
      <c r="F31" s="29">
        <v>105508</v>
      </c>
      <c r="G31" s="2"/>
      <c r="H31" s="30">
        <v>44709</v>
      </c>
      <c r="I31" s="31">
        <v>83</v>
      </c>
      <c r="J31" s="73">
        <v>44709</v>
      </c>
      <c r="K31" s="76" t="s">
        <v>313</v>
      </c>
      <c r="L31" s="77">
        <v>9500</v>
      </c>
      <c r="M31" s="32">
        <f>40000+46388</f>
        <v>86388</v>
      </c>
      <c r="N31" s="33">
        <v>9537</v>
      </c>
      <c r="P31" s="34">
        <f t="shared" si="0"/>
        <v>105508</v>
      </c>
      <c r="Q31" s="13">
        <f t="shared" si="1"/>
        <v>0</v>
      </c>
      <c r="R31" s="8"/>
    </row>
    <row r="32" spans="1:19" ht="18" thickBot="1" x14ac:dyDescent="0.35">
      <c r="A32" s="24"/>
      <c r="B32" s="25">
        <v>44710</v>
      </c>
      <c r="C32" s="26">
        <v>0</v>
      </c>
      <c r="D32" s="78"/>
      <c r="E32" s="28">
        <v>44710</v>
      </c>
      <c r="F32" s="29">
        <v>141140</v>
      </c>
      <c r="G32" s="2"/>
      <c r="H32" s="30">
        <v>44710</v>
      </c>
      <c r="I32" s="31">
        <v>0</v>
      </c>
      <c r="J32" s="73"/>
      <c r="K32" s="74"/>
      <c r="L32" s="75"/>
      <c r="M32" s="32">
        <f>75000+55000+10909</f>
        <v>140909</v>
      </c>
      <c r="N32" s="33">
        <v>231</v>
      </c>
      <c r="P32" s="34">
        <f t="shared" si="0"/>
        <v>141140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61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44684</v>
      </c>
      <c r="K35" s="76" t="s">
        <v>204</v>
      </c>
      <c r="L35" s="80">
        <v>638.99</v>
      </c>
      <c r="M35" s="32">
        <v>0</v>
      </c>
      <c r="N35" s="33">
        <v>0</v>
      </c>
      <c r="P35" s="34"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44690</v>
      </c>
      <c r="K36" s="221" t="s">
        <v>322</v>
      </c>
      <c r="L36" s="80">
        <v>1195.68</v>
      </c>
      <c r="M36" s="32">
        <v>0</v>
      </c>
      <c r="N36" s="33">
        <v>0</v>
      </c>
      <c r="P36" s="34"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44699</v>
      </c>
      <c r="K37" s="76" t="s">
        <v>324</v>
      </c>
      <c r="L37" s="80">
        <v>870</v>
      </c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44704</v>
      </c>
      <c r="K38" s="42" t="s">
        <v>318</v>
      </c>
      <c r="L38" s="80">
        <v>1392</v>
      </c>
      <c r="M38" s="32">
        <v>0</v>
      </c>
      <c r="N38" s="33">
        <v>0</v>
      </c>
      <c r="P38" s="34">
        <v>0</v>
      </c>
      <c r="Q38" s="61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>
        <v>44710</v>
      </c>
      <c r="K39" s="277" t="s">
        <v>320</v>
      </c>
      <c r="L39" s="75">
        <v>1770.75</v>
      </c>
      <c r="M39" s="32">
        <v>0</v>
      </c>
      <c r="N39" s="33">
        <v>0</v>
      </c>
      <c r="P39" s="34"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298">
        <f>SUM(M5:M39)</f>
        <v>2144215</v>
      </c>
      <c r="N40" s="300">
        <f>SUM(N5:N39)</f>
        <v>62525</v>
      </c>
      <c r="P40" s="34">
        <f>SUM(P5:P39)</f>
        <v>2335834</v>
      </c>
      <c r="Q40" s="13">
        <f t="shared" si="1"/>
        <v>2335834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299"/>
      <c r="N41" s="301"/>
      <c r="P41" s="34"/>
      <c r="Q41" s="9"/>
    </row>
    <row r="42" spans="1:18" ht="17.25" hidden="1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83730</v>
      </c>
      <c r="D51" s="107"/>
      <c r="E51" s="108" t="s">
        <v>9</v>
      </c>
      <c r="F51" s="109">
        <f>SUM(F5:F50)</f>
        <v>2324367</v>
      </c>
      <c r="G51" s="107"/>
      <c r="H51" s="110" t="s">
        <v>10</v>
      </c>
      <c r="I51" s="111">
        <f>SUM(I5:I50)</f>
        <v>3447</v>
      </c>
      <c r="J51" s="112"/>
      <c r="K51" s="113" t="s">
        <v>11</v>
      </c>
      <c r="L51" s="114">
        <f>SUM(L5:L50)</f>
        <v>47784.42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2" t="s">
        <v>12</v>
      </c>
      <c r="I53" s="303"/>
      <c r="J53" s="119"/>
      <c r="K53" s="304">
        <f>I51+L51</f>
        <v>51231.42</v>
      </c>
      <c r="L53" s="305"/>
      <c r="M53" s="306">
        <f>N40+M40</f>
        <v>2206740</v>
      </c>
      <c r="N53" s="307"/>
      <c r="P53" s="34"/>
      <c r="Q53" s="9"/>
    </row>
    <row r="54" spans="1:17" ht="15.75" x14ac:dyDescent="0.25">
      <c r="D54" s="308" t="s">
        <v>13</v>
      </c>
      <c r="E54" s="308"/>
      <c r="F54" s="120">
        <f>F51-K53-C51</f>
        <v>2189405.58</v>
      </c>
      <c r="I54" s="121"/>
      <c r="J54" s="122"/>
      <c r="P54" s="34"/>
      <c r="Q54" s="9"/>
    </row>
    <row r="55" spans="1:17" ht="18.75" x14ac:dyDescent="0.3">
      <c r="D55" s="309" t="s">
        <v>14</v>
      </c>
      <c r="E55" s="309"/>
      <c r="F55" s="115">
        <v>-2251924.65</v>
      </c>
      <c r="I55" s="310" t="s">
        <v>15</v>
      </c>
      <c r="J55" s="311"/>
      <c r="K55" s="312">
        <f>F57+F58+F59</f>
        <v>112552.74000000017</v>
      </c>
      <c r="L55" s="313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-62519.069999999832</v>
      </c>
      <c r="H57" s="24"/>
      <c r="I57" s="129" t="s">
        <v>17</v>
      </c>
      <c r="J57" s="130"/>
      <c r="K57" s="314">
        <f>-C4</f>
        <v>-297874.59000000003</v>
      </c>
      <c r="L57" s="315"/>
    </row>
    <row r="58" spans="1:17" ht="16.5" thickBot="1" x14ac:dyDescent="0.3">
      <c r="D58" s="131" t="s">
        <v>18</v>
      </c>
      <c r="E58" s="117" t="s">
        <v>19</v>
      </c>
      <c r="F58" s="132">
        <v>25133</v>
      </c>
    </row>
    <row r="59" spans="1:17" ht="20.25" thickTop="1" thickBot="1" x14ac:dyDescent="0.35">
      <c r="C59" s="133">
        <v>44710</v>
      </c>
      <c r="D59" s="291" t="s">
        <v>20</v>
      </c>
      <c r="E59" s="292"/>
      <c r="F59" s="134">
        <v>149938.81</v>
      </c>
      <c r="I59" s="293" t="s">
        <v>325</v>
      </c>
      <c r="J59" s="294"/>
      <c r="K59" s="295">
        <f>K55+K57</f>
        <v>-185321.84999999986</v>
      </c>
      <c r="L59" s="295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35:L40">
    <sortCondition ref="J35:J40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2022-06-10T16:38:36Z</cp:lastPrinted>
  <dcterms:created xsi:type="dcterms:W3CDTF">2022-01-21T15:38:45Z</dcterms:created>
  <dcterms:modified xsi:type="dcterms:W3CDTF">2022-06-16T20:58:25Z</dcterms:modified>
</cp:coreProperties>
</file>