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18720" windowHeight="11715" firstSheet="14" activeTab="1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" i="14" l="1"/>
  <c r="K81" i="14"/>
  <c r="E81" i="14"/>
  <c r="N80" i="14"/>
  <c r="J80" i="14"/>
  <c r="O80" i="14" s="1"/>
  <c r="E80" i="14"/>
  <c r="K80" i="14" l="1"/>
  <c r="N73" i="14"/>
  <c r="T6" i="15" l="1"/>
  <c r="Q8" i="15"/>
  <c r="J4" i="14"/>
  <c r="J8" i="15" l="1"/>
  <c r="I8" i="15"/>
  <c r="H8" i="15"/>
  <c r="G8" i="15"/>
  <c r="F8" i="15"/>
  <c r="E8" i="15"/>
  <c r="D8" i="15"/>
  <c r="O16" i="14"/>
  <c r="K16" i="14"/>
  <c r="K15" i="14"/>
  <c r="O15" i="14"/>
  <c r="O72" i="14" l="1"/>
  <c r="K72" i="14"/>
  <c r="O71" i="14"/>
  <c r="K71" i="14"/>
  <c r="O10" i="14"/>
  <c r="K10" i="14"/>
  <c r="O70" i="14" l="1"/>
  <c r="K70" i="14"/>
  <c r="O93" i="12" l="1"/>
  <c r="K93" i="12"/>
  <c r="O94" i="12"/>
  <c r="K94" i="12"/>
  <c r="Q7" i="15" l="1"/>
  <c r="Q5" i="15"/>
  <c r="Q4" i="15"/>
  <c r="B9" i="15" l="1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H8" i="17"/>
  <c r="G8" i="17"/>
  <c r="F8" i="17"/>
  <c r="E8" i="17"/>
  <c r="D8" i="17"/>
  <c r="C8" i="17"/>
  <c r="C8" i="15" s="1"/>
  <c r="B8" i="17"/>
  <c r="B8" i="15" s="1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I8" i="17" s="1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7" i="14"/>
  <c r="T297" i="14"/>
  <c r="R297" i="14"/>
  <c r="M297" i="14"/>
  <c r="O296" i="14"/>
  <c r="E296" i="14"/>
  <c r="O295" i="14"/>
  <c r="E295" i="14"/>
  <c r="O294" i="14"/>
  <c r="E294" i="14"/>
  <c r="J293" i="14"/>
  <c r="O293" i="14" s="1"/>
  <c r="E293" i="14"/>
  <c r="O292" i="14"/>
  <c r="K292" i="14"/>
  <c r="E292" i="14"/>
  <c r="O291" i="14"/>
  <c r="K291" i="14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E116" i="14"/>
  <c r="O115" i="14"/>
  <c r="K115" i="14"/>
  <c r="O114" i="14"/>
  <c r="K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82" i="14"/>
  <c r="K82" i="14"/>
  <c r="O79" i="14"/>
  <c r="K79" i="14"/>
  <c r="O78" i="14"/>
  <c r="K78" i="14"/>
  <c r="O77" i="14"/>
  <c r="K77" i="14"/>
  <c r="O76" i="14"/>
  <c r="K76" i="14"/>
  <c r="O75" i="14"/>
  <c r="K75" i="14"/>
  <c r="O74" i="14"/>
  <c r="K74" i="14"/>
  <c r="O73" i="14"/>
  <c r="K73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O21" i="14"/>
  <c r="K21" i="14"/>
  <c r="O20" i="14"/>
  <c r="K20" i="14"/>
  <c r="O19" i="14"/>
  <c r="K19" i="14"/>
  <c r="O18" i="14"/>
  <c r="K18" i="14"/>
  <c r="O17" i="14"/>
  <c r="K17" i="14"/>
  <c r="O14" i="14"/>
  <c r="K14" i="14"/>
  <c r="O13" i="14"/>
  <c r="K13" i="14"/>
  <c r="O12" i="14"/>
  <c r="K12" i="14"/>
  <c r="O11" i="14"/>
  <c r="K11" i="14"/>
  <c r="O8" i="14"/>
  <c r="K8" i="14"/>
  <c r="O9" i="14"/>
  <c r="K9" i="14"/>
  <c r="O7" i="14"/>
  <c r="K7" i="14"/>
  <c r="O6" i="14"/>
  <c r="K6" i="14"/>
  <c r="O5" i="14"/>
  <c r="K5" i="14"/>
  <c r="O4" i="14"/>
  <c r="K4" i="14"/>
  <c r="T3" i="15" l="1"/>
  <c r="G51" i="15"/>
  <c r="S51" i="15"/>
  <c r="O297" i="14"/>
  <c r="O300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1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1" i="12" l="1"/>
  <c r="T291" i="12"/>
  <c r="R291" i="12"/>
  <c r="M291" i="12"/>
  <c r="O290" i="12"/>
  <c r="E290" i="12"/>
  <c r="O289" i="12"/>
  <c r="E289" i="12"/>
  <c r="O288" i="12"/>
  <c r="E288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E111" i="12"/>
  <c r="O110" i="12"/>
  <c r="K110" i="12"/>
  <c r="E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87" i="12"/>
  <c r="O287" i="12" s="1"/>
  <c r="O291" i="12" s="1"/>
  <c r="O294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<sst xmlns="http://schemas.openxmlformats.org/spreadsheetml/2006/main" count="3014" uniqueCount="974">
  <si>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</si>
  <si>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</si>
  <si>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</si>
  <si>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</si>
  <si>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</si>
  <si>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</si>
  <si>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</si>
  <si>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</si>
  <si>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</si>
  <si>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</si>
  <si>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</si>
  <si>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</si>
  <si>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</si>
  <si>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</si>
  <si>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</si>
  <si>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</si>
  <si>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</si>
  <si>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</si>
  <si>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</si>
  <si>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</si>
  <si>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</si>
  <si>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</si>
  <si>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</si>
  <si>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</si>
  <si>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</si>
  <si>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</si>
  <si>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</si>
  <si>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</si>
  <si>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</si>
  <si>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</si>
  <si>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</si>
  <si>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</si>
  <si>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</si>
  <si>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</si>
  <si>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</si>
  <si>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</si>
  <si>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</si>
  <si>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</si>
  <si>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</si>
  <si>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</si>
  <si>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</si>
  <si>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</si>
  <si>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</si>
  <si>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</si>
  <si>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</si>
  <si>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</si>
  <si>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</si>
  <si>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</si>
  <si>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</si>
  <si>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</si>
  <si>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</si>
  <si>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</si>
  <si>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</si>
  <si>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</si>
  <si>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</si>
  <si>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</si>
  <si>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</si>
  <si>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</si>
  <si>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</si>
  <si>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</si>
  <si>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</si>
  <si>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</si>
  <si>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</si>
  <si>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</si>
  <si>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</si>
  <si>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</si>
  <si>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</si>
  <si>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</si>
  <si>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</si>
  <si>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</si>
  <si>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</si>
  <si>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</si>
  <si>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</si>
  <si>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</si>
  <si>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</si>
  <si>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</si>
  <si>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</si>
  <si>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</si>
  <si>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</si>
  <si>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</si>
  <si>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</si>
  <si>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</si>
  <si>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</si>
  <si>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</si>
  <si>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</si>
  <si>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</si>
  <si>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</si>
  <si>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</si>
  <si>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</si>
  <si>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</si>
  <si>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</si>
  <si>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</si>
  <si>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</si>
  <si>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</si>
  <si>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</si>
  <si>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</si>
  <si>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</si>
  <si>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</si>
  <si>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</si>
  <si>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</si>
  <si>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</si>
  <si>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</si>
  <si>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</si>
  <si>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</si>
  <si>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</si>
  <si>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</si>
  <si>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</si>
  <si>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</si>
  <si>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</si>
  <si>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</si>
  <si>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</si>
  <si>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</si>
  <si>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</si>
  <si>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</si>
  <si>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</si>
  <si>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</si>
  <si>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</si>
  <si>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</si>
  <si>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</si>
  <si>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</si>
  <si>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</si>
  <si>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</si>
  <si>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</si>
  <si>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</si>
  <si>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</si>
  <si>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</si>
  <si>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</si>
  <si>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</si>
  <si>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</si>
  <si>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</si>
  <si>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</si>
  <si>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</si>
  <si>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</si>
  <si>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</si>
  <si>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</si>
  <si>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</si>
  <si>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</si>
  <si>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</si>
  <si>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</si>
  <si>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</si>
  <si>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</si>
  <si>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</si>
  <si>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</si>
  <si>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</si>
  <si>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</si>
  <si>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</si>
  <si>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</si>
  <si>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</si>
  <si>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</si>
  <si>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</si>
  <si>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</si>
  <si>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</si>
  <si>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</si>
  <si>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</si>
  <si>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</si>
  <si>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</si>
  <si>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</si>
  <si>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</si>
  <si>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</si>
  <si>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</si>
  <si>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</si>
  <si>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</si>
  <si>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</si>
  <si>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</si>
  <si>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</si>
  <si>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</si>
  <si>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</si>
  <si>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</si>
  <si>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</si>
  <si>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</si>
  <si>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</si>
  <si>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</si>
  <si>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</si>
  <si>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</si>
  <si>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</si>
  <si>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</si>
  <si>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</si>
  <si>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</si>
  <si>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</si>
  <si>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</si>
  <si>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</si>
  <si>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</si>
  <si>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</si>
  <si>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</si>
  <si>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</si>
  <si>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</si>
  <si>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</si>
  <si>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</si>
  <si>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</si>
  <si>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</si>
  <si>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</si>
  <si>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</si>
  <si>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</si>
  <si>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</si>
  <si>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</si>
  <si>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</si>
  <si>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</si>
  <si>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</si>
  <si>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</si>
  <si>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</si>
  <si>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</si>
  <si>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</si>
  <si>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</si>
  <si>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</si>
  <si>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</si>
  <si>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</si>
  <si>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</si>
  <si>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</si>
  <si>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</si>
  <si>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</si>
  <si>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</si>
  <si>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</si>
  <si>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</si>
  <si>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</si>
  <si>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</si>
  <si>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</si>
  <si>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</si>
  <si>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</si>
  <si>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</si>
  <si>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</si>
  <si>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</si>
  <si>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</si>
  <si>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</si>
  <si>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</si>
  <si>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</si>
  <si>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</si>
  <si>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</si>
  <si>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</si>
  <si>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</si>
  <si>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</si>
  <si>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</si>
  <si>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</si>
  <si>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</si>
  <si>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</si>
  <si>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</si>
  <si>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</si>
  <si>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</si>
  <si>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</si>
  <si>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</si>
  <si>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</si>
  <si>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</si>
  <si>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</si>
  <si>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</si>
  <si>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</si>
  <si>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</si>
  <si>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</si>
  <si>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</si>
  <si>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</si>
  <si>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</si>
  <si>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</si>
  <si>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</si>
  <si>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</si>
  <si>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</si>
  <si>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</si>
  <si>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</si>
  <si>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</si>
  <si>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</si>
  <si>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</si>
  <si>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</si>
  <si>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</si>
  <si>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</si>
  <si>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</si>
  <si>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</si>
  <si>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</si>
  <si>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</si>
  <si>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</si>
  <si>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</si>
  <si>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</si>
  <si>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</si>
  <si>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</si>
  <si>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</si>
  <si>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</si>
  <si>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</si>
  <si>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</si>
  <si>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</si>
  <si>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</si>
  <si>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</si>
  <si>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</si>
  <si>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</si>
  <si>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</si>
  <si>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</si>
  <si>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</si>
  <si>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</si>
  <si>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</si>
  <si>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</si>
  <si>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</si>
  <si>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</si>
  <si>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</si>
  <si>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</si>
  <si>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</si>
  <si>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</si>
  <si>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</si>
  <si>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</si>
  <si>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</si>
  <si>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</si>
  <si>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</si>
  <si>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</si>
  <si>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</si>
  <si>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</si>
  <si>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</si>
  <si>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</si>
  <si>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</si>
  <si>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</si>
  <si>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</si>
  <si>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</si>
  <si>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</si>
  <si>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</si>
  <si>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</si>
  <si>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</si>
  <si>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</si>
  <si>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</si>
  <si>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</si>
  <si>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</si>
  <si>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</si>
  <si>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</si>
  <si>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</si>
  <si>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</si>
  <si>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</si>
  <si>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</si>
  <si>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</si>
  <si>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</si>
  <si>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</si>
  <si>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</si>
  <si>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</si>
  <si>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</si>
  <si>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</si>
  <si>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</si>
  <si>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</si>
  <si>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</si>
  <si>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</si>
  <si>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</si>
  <si>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</si>
  <si>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</si>
  <si>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</si>
  <si>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</si>
  <si>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</si>
  <si>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</si>
  <si>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</si>
  <si>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</si>
  <si>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</si>
  <si>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</si>
  <si>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</si>
  <si>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</si>
  <si>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</si>
  <si>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</si>
  <si>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</si>
  <si>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</si>
  <si>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</si>
  <si>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</si>
  <si>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</si>
  <si>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</si>
  <si>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</si>
  <si>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</si>
  <si>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</si>
  <si>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</si>
  <si>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</si>
  <si>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</si>
  <si>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</si>
  <si>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</si>
  <si>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</si>
  <si>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</si>
  <si>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</si>
  <si>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</si>
  <si>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</si>
  <si>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</si>
  <si>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</si>
  <si>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</si>
  <si>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</si>
  <si>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</si>
  <si>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</si>
  <si>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</si>
  <si>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</si>
  <si>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</si>
  <si>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</si>
  <si>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</si>
  <si>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</si>
  <si>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</si>
  <si>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</si>
  <si>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</si>
  <si>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</si>
  <si>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</si>
  <si>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</si>
  <si>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</si>
  <si>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</si>
  <si>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</si>
  <si>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</si>
  <si>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</si>
  <si>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</si>
  <si>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</si>
  <si>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</si>
  <si>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</si>
  <si>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</si>
  <si>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</si>
  <si>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</si>
  <si>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</si>
  <si>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</si>
  <si>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</si>
  <si>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</si>
  <si>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</si>
  <si>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</si>
  <si>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</si>
  <si>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</si>
  <si>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</si>
  <si>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</si>
  <si>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</si>
  <si>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</si>
  <si>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</si>
  <si>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</si>
  <si>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</si>
  <si>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</si>
  <si>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</si>
  <si>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</si>
  <si>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</si>
  <si>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</si>
  <si>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</si>
  <si>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</si>
  <si>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</si>
  <si>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</si>
  <si>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</si>
  <si>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</si>
  <si>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</si>
  <si>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</si>
  <si>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</si>
  <si>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</si>
  <si>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</si>
  <si>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</si>
  <si>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</si>
  <si>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</si>
  <si>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</si>
  <si>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</si>
  <si>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</si>
  <si>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</si>
  <si>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</si>
  <si>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</si>
  <si>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</si>
  <si>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</si>
  <si>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</si>
  <si>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</si>
  <si>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</si>
  <si>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</si>
  <si>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</si>
  <si>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</si>
  <si>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</si>
  <si>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</si>
  <si>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</si>
  <si>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</si>
  <si>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</si>
  <si>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</si>
  <si>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</si>
  <si>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</si>
  <si>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</si>
  <si>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</si>
  <si>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</si>
  <si>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</si>
  <si>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</si>
  <si>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</si>
  <si>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</si>
  <si>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</si>
  <si>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</si>
  <si>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</si>
  <si>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</si>
  <si>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</si>
  <si>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</si>
  <si>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</si>
  <si>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</si>
  <si>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</si>
  <si>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</si>
  <si>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</si>
  <si>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</si>
  <si>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</si>
  <si>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</si>
  <si>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</si>
  <si>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</si>
  <si>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</si>
  <si>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</si>
  <si>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</si>
  <si>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</si>
  <si>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</si>
  <si>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</si>
  <si>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</si>
  <si>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</si>
  <si>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</si>
  <si>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</si>
  <si>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</si>
  <si>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</si>
  <si>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</si>
  <si>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</si>
  <si>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</si>
  <si>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</si>
  <si>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</si>
  <si>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</si>
  <si>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</si>
  <si>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</si>
  <si>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</si>
  <si>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</si>
  <si>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</si>
  <si>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</si>
  <si>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</si>
  <si>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</si>
  <si>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</si>
  <si>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</si>
  <si>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</si>
  <si>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</si>
  <si>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</si>
  <si>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</si>
  <si>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</si>
  <si>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</si>
  <si>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</si>
  <si>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</si>
  <si>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</si>
  <si>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</si>
  <si>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</si>
  <si>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</si>
  <si>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</si>
  <si>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</si>
  <si>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</si>
  <si>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</si>
  <si>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</si>
  <si>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</si>
  <si>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</si>
  <si>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</si>
  <si>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</si>
  <si>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</si>
  <si>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</si>
  <si>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</si>
  <si>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</si>
  <si>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</si>
  <si>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</si>
  <si>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</si>
  <si>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</si>
  <si>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</si>
  <si>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</si>
  <si>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</si>
  <si>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</si>
  <si>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</si>
  <si>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</si>
  <si>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</si>
  <si>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</si>
  <si>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</si>
  <si>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</si>
  <si>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</si>
  <si>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</si>
  <si>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</si>
  <si>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</si>
  <si>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</si>
  <si>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</si>
  <si>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</si>
  <si>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</si>
  <si>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</si>
  <si>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</si>
  <si>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</si>
  <si>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</si>
  <si>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</si>
  <si>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</si>
  <si>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</si>
  <si>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</si>
  <si>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</si>
  <si>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</si>
  <si>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</si>
  <si>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</si>
  <si>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</si>
  <si>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</si>
  <si>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</si>
  <si>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</si>
  <si>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</si>
  <si>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</si>
  <si>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</si>
  <si>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</si>
  <si>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</si>
  <si>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</si>
  <si>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</si>
  <si>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</si>
  <si>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</si>
  <si>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</si>
  <si>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</si>
  <si>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</si>
  <si>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</si>
  <si>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</si>
  <si>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</si>
  <si>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</si>
  <si>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</si>
  <si>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</si>
  <si>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</si>
  <si>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</si>
  <si>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</si>
  <si>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</si>
  <si>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</si>
  <si>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</si>
  <si>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</si>
  <si>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</si>
  <si>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</si>
  <si>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</si>
  <si>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</si>
  <si>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</si>
  <si>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</si>
  <si>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</si>
  <si>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</si>
  <si>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</si>
  <si>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</si>
  <si>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</si>
  <si>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</si>
  <si>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</si>
  <si>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</si>
  <si>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</si>
  <si>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</si>
  <si>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</si>
  <si>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</si>
  <si>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</si>
  <si>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</si>
  <si>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</si>
  <si>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</si>
  <si>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</si>
  <si>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</si>
  <si>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</si>
  <si>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</si>
  <si>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</si>
  <si>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</si>
  <si>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</si>
  <si>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</si>
  <si>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</si>
  <si>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</si>
  <si>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</si>
  <si>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</si>
  <si>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</si>
  <si>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</si>
  <si>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</si>
  <si>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</si>
  <si>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</si>
  <si>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</si>
  <si>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</si>
  <si>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</si>
  <si>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</si>
  <si>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</si>
  <si>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</si>
  <si>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</si>
  <si>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</si>
  <si>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</si>
  <si>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</si>
  <si>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</si>
  <si>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</si>
  <si>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</si>
  <si>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</si>
  <si>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</si>
  <si>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</si>
  <si>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</si>
  <si>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</si>
  <si>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</si>
  <si>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</si>
  <si>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</si>
  <si>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</si>
  <si>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</si>
  <si>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</si>
  <si>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</si>
  <si>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</si>
  <si>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</si>
  <si>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</si>
  <si>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</si>
  <si>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</si>
  <si>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</si>
  <si>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</si>
  <si>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</si>
  <si>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</si>
  <si>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</si>
  <si>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</si>
  <si>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</si>
  <si>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</si>
  <si>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</si>
  <si>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</si>
  <si>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</si>
  <si>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</si>
  <si>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</si>
  <si>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</si>
  <si>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</si>
  <si>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</si>
  <si>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</si>
  <si>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</si>
  <si>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</si>
  <si>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</si>
  <si>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</si>
  <si>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</si>
  <si>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</si>
  <si>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</si>
  <si>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</si>
  <si>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</si>
  <si>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</si>
  <si>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</si>
  <si>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</si>
  <si>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</si>
  <si>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</si>
  <si>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</si>
  <si>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</si>
  <si>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</si>
  <si>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</si>
  <si>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</si>
  <si>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</si>
  <si>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</si>
  <si>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</si>
  <si>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</si>
  <si>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</si>
  <si>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</si>
  <si>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</si>
  <si>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</si>
  <si>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</si>
  <si>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</si>
  <si>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</si>
  <si>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</si>
  <si>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</si>
  <si>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</si>
  <si>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</si>
  <si>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</si>
  <si>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</si>
  <si>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</si>
  <si>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</si>
  <si>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</si>
  <si>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</si>
  <si>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</si>
  <si>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</si>
  <si>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</si>
  <si>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</si>
  <si>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</si>
  <si>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</si>
  <si>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</si>
  <si>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</si>
  <si>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</si>
  <si>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</si>
  <si>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</si>
  <si>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</si>
  <si>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</si>
  <si>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</si>
  <si>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</si>
  <si>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</si>
  <si>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</si>
  <si>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</si>
  <si>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</si>
  <si>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</si>
  <si>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</si>
  <si>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</si>
  <si>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</si>
  <si>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</si>
  <si>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</si>
  <si>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</si>
  <si>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</si>
  <si>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</si>
  <si>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</si>
  <si>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</si>
  <si>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</si>
  <si>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</si>
  <si>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</si>
  <si>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</si>
  <si>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</si>
  <si>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</si>
  <si>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</si>
  <si>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</si>
  <si>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</si>
  <si>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</si>
  <si>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</si>
  <si>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</si>
  <si>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</si>
  <si>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</si>
  <si>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</si>
  <si>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</si>
  <si>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</si>
  <si>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</si>
  <si>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</si>
  <si>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</si>
  <si>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</si>
  <si>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</si>
  <si>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</si>
  <si>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</si>
  <si>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</si>
  <si>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</si>
  <si>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</si>
  <si>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</si>
  <si>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</si>
  <si>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</si>
  <si>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</si>
  <si>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</si>
  <si>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</si>
  <si>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</si>
  <si>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</si>
  <si>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</si>
  <si>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</si>
  <si>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</si>
  <si>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</si>
  <si>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</si>
  <si>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</si>
  <si>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</si>
  <si>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</si>
  <si>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</si>
  <si>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</si>
  <si>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</si>
  <si>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</si>
  <si>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</si>
  <si>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</si>
  <si>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</si>
  <si>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</si>
  <si>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</si>
  <si>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</si>
  <si>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</si>
  <si>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</si>
  <si>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</si>
  <si>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</si>
  <si>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</si>
  <si>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</si>
  <si>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</si>
  <si>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</si>
  <si>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</si>
  <si>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</si>
  <si>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</si>
  <si>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</si>
  <si>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</si>
  <si>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</si>
  <si>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</si>
  <si>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</si>
  <si>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</si>
  <si>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</si>
  <si>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</si>
  <si>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</si>
  <si>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</si>
  <si>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</si>
  <si>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</si>
  <si>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</si>
  <si>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</si>
  <si>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</si>
  <si>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</si>
  <si>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</si>
  <si>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</si>
  <si>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</si>
  <si>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</si>
  <si>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</si>
  <si>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</si>
  <si>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</si>
  <si>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</si>
  <si>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</si>
  <si>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</si>
  <si>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</si>
  <si>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</si>
  <si>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</si>
  <si>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</si>
  <si>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</si>
  <si>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</si>
  <si>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</si>
  <si>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</si>
  <si>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</si>
  <si>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</si>
  <si>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</si>
  <si>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</si>
  <si>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</si>
  <si>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</si>
  <si>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</si>
  <si>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</si>
  <si>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</si>
  <si>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</si>
  <si>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</si>
  <si>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</si>
  <si>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</si>
  <si>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</si>
  <si>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</si>
  <si>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</si>
  <si>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</si>
  <si>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</si>
  <si>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</si>
  <si>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</si>
  <si>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</si>
  <si>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</si>
  <si>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</si>
  <si>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</si>
  <si>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</si>
  <si>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</si>
  <si>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</si>
  <si>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</si>
  <si>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</si>
  <si>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</si>
  <si>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</si>
  <si>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</si>
  <si>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</si>
  <si>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</si>
  <si>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</si>
  <si>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</si>
  <si>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</si>
  <si>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</si>
  <si>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</si>
  <si>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</si>
  <si>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</si>
  <si>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</si>
  <si>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</si>
  <si>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</si>
  <si>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</si>
  <si>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</si>
  <si>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</si>
  <si>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</si>
  <si>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</si>
  <si>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</si>
  <si>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</si>
  <si>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</si>
  <si>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</si>
  <si>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</si>
  <si>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</si>
  <si>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</si>
  <si>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</si>
  <si>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</si>
  <si>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</si>
  <si>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</si>
  <si>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</si>
  <si>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</si>
  <si>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</si>
  <si>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</si>
  <si>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</si>
  <si>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</si>
  <si>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</si>
  <si>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</si>
  <si>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</si>
  <si>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</si>
  <si>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</si>
  <si>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</si>
  <si>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</si>
  <si>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</si>
  <si>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</si>
  <si>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</si>
  <si>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</si>
  <si>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</si>
  <si>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</si>
  <si>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</si>
  <si>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</si>
  <si>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</si>
  <si>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</si>
  <si>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</si>
  <si>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</si>
  <si>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</si>
  <si>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</si>
  <si>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</si>
  <si>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</si>
  <si>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</si>
  <si>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</si>
  <si>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</si>
  <si>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</si>
  <si>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Transfer B 14-Dic-23</t>
  </si>
  <si>
    <t>Transfer B 15-Dic-23</t>
  </si>
  <si>
    <t>D-6835</t>
  </si>
  <si>
    <t>CHAMORRO DE RES</t>
  </si>
  <si>
    <t>AGROPECUARIA LA CHEMITA    249</t>
  </si>
  <si>
    <t>CANALES 214</t>
  </si>
  <si>
    <t>CANALES  145</t>
  </si>
  <si>
    <t>PULPA DE PIERNA</t>
  </si>
  <si>
    <t>PED. 107725529</t>
  </si>
  <si>
    <t>CAÑA DE LOMO</t>
  </si>
  <si>
    <t>CAÑA DE LOMO VAC</t>
  </si>
  <si>
    <t>Tramsferemcoa S</t>
  </si>
  <si>
    <t>24704--13405--13404</t>
  </si>
  <si>
    <t>Transfer S 22-Dic-23</t>
  </si>
  <si>
    <t>Transfer S 14-Dic-23</t>
  </si>
  <si>
    <t>T-201</t>
  </si>
  <si>
    <t>Transfer S 26-Dic-23</t>
  </si>
  <si>
    <t>Transferendia S</t>
  </si>
  <si>
    <t>A-82315-----A-82472</t>
  </si>
  <si>
    <t>PAGOS</t>
  </si>
  <si>
    <t>15-Dic-23----19-Dic-23</t>
  </si>
  <si>
    <t>Transferencai B</t>
  </si>
  <si>
    <t>Transfer B 26-Dic-23</t>
  </si>
  <si>
    <t>22-Dic-23---26--Dic-23</t>
  </si>
  <si>
    <t>D-6855</t>
  </si>
  <si>
    <t>P-268</t>
  </si>
  <si>
    <t>P-267</t>
  </si>
  <si>
    <t>AGROPECUARIA EL TOPETE</t>
  </si>
  <si>
    <t>24745--13443</t>
  </si>
  <si>
    <t>24786--7826</t>
  </si>
  <si>
    <t>Transrferencia S</t>
  </si>
  <si>
    <t>24827--13548</t>
  </si>
  <si>
    <t>T-202</t>
  </si>
  <si>
    <t>A-82636-------A-82863</t>
  </si>
  <si>
    <t>ALIMENTOS CERTIFICADOS DE PUEBLA   INNOVA</t>
  </si>
  <si>
    <t>AGROPECUARIA EL TOPETE   250</t>
  </si>
  <si>
    <t xml:space="preserve">AGROPECUARIA LA CHEMITA    </t>
  </si>
  <si>
    <t>24866---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</si>
</sst>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5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wrapText="1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164" fontId="15" fillId="0" borderId="8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1" fontId="61" fillId="0" borderId="35" xfId="0" applyNumberFormat="1" applyFont="1" applyFill="1" applyBorder="1" applyAlignment="1">
      <alignment horizontal="center" vertical="center" wrapText="1"/>
    </xf>
    <xf numFmtId="1" fontId="61" fillId="0" borderId="21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166" fontId="12" fillId="0" borderId="0" xfId="0" applyNumberFormat="1" applyFont="1" applyFill="1"/>
    <xf numFmtId="1" fontId="42" fillId="24" borderId="27" xfId="0" applyNumberFormat="1" applyFont="1" applyFill="1" applyBorder="1" applyAlignment="1">
      <alignment horizontal="center"/>
    </xf>
    <xf numFmtId="1" fontId="14" fillId="24" borderId="27" xfId="0" applyNumberFormat="1" applyFont="1" applyFill="1" applyBorder="1" applyAlignment="1">
      <alignment horizontal="center"/>
    </xf>
    <xf numFmtId="1" fontId="12" fillId="24" borderId="27" xfId="0" applyNumberFormat="1" applyFont="1" applyFill="1" applyBorder="1" applyAlignment="1">
      <alignment horizontal="center"/>
    </xf>
    <xf numFmtId="1" fontId="42" fillId="24" borderId="27" xfId="0" applyNumberFormat="1" applyFont="1" applyFill="1" applyBorder="1" applyAlignment="1">
      <alignment horizontal="center" vertical="center" wrapText="1"/>
    </xf>
    <xf numFmtId="167" fontId="6" fillId="0" borderId="26" xfId="0" applyNumberFormat="1" applyFont="1" applyFill="1" applyBorder="1" applyAlignment="1">
      <alignment vertical="center"/>
    </xf>
    <xf numFmtId="167" fontId="12" fillId="0" borderId="26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horizontal="center" vertical="center"/>
    </xf>
    <xf numFmtId="165" fontId="67" fillId="17" borderId="26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44" fontId="2" fillId="0" borderId="25" xfId="1" applyFont="1" applyFill="1" applyBorder="1"/>
    <xf numFmtId="166" fontId="12" fillId="0" borderId="35" xfId="0" applyNumberFormat="1" applyFont="1" applyFill="1" applyBorder="1" applyAlignment="1">
      <alignment horizontal="center" vertical="center"/>
    </xf>
    <xf numFmtId="44" fontId="31" fillId="0" borderId="27" xfId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5" fontId="8" fillId="0" borderId="22" xfId="0" applyNumberFormat="1" applyFont="1" applyBorder="1"/>
    <xf numFmtId="44" fontId="6" fillId="24" borderId="26" xfId="1" applyFont="1" applyFill="1" applyBorder="1" applyAlignment="1">
      <alignment horizontal="right"/>
    </xf>
    <xf numFmtId="1" fontId="9" fillId="0" borderId="21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vertical="center"/>
    </xf>
    <xf numFmtId="166" fontId="12" fillId="0" borderId="186" xfId="0" applyNumberFormat="1" applyFont="1" applyFill="1" applyBorder="1" applyAlignment="1">
      <alignment vertical="center" wrapText="1"/>
    </xf>
    <xf numFmtId="0" fontId="2" fillId="0" borderId="69" xfId="0" applyFont="1" applyFill="1" applyBorder="1" applyAlignment="1">
      <alignment vertical="center"/>
    </xf>
    <xf numFmtId="166" fontId="12" fillId="0" borderId="187" xfId="0" applyNumberFormat="1" applyFont="1" applyFill="1" applyBorder="1" applyAlignment="1">
      <alignment vertical="center" wrapText="1"/>
    </xf>
    <xf numFmtId="0" fontId="33" fillId="0" borderId="16" xfId="0" applyFont="1" applyFill="1" applyBorder="1" applyAlignment="1">
      <alignment horizontal="left"/>
    </xf>
    <xf numFmtId="168" fontId="22" fillId="0" borderId="20" xfId="0" applyNumberFormat="1" applyFont="1" applyFill="1" applyBorder="1" applyAlignment="1">
      <alignment horizontal="right"/>
    </xf>
    <xf numFmtId="168" fontId="22" fillId="0" borderId="21" xfId="0" applyNumberFormat="1" applyFont="1" applyFill="1" applyBorder="1" applyAlignment="1">
      <alignment horizontal="right"/>
    </xf>
    <xf numFmtId="1" fontId="9" fillId="0" borderId="26" xfId="0" applyNumberFormat="1" applyFont="1" applyFill="1" applyBorder="1" applyAlignment="1">
      <alignment vertical="center" wrapText="1"/>
    </xf>
    <xf numFmtId="1" fontId="7" fillId="0" borderId="22" xfId="0" applyNumberFormat="1" applyFont="1" applyFill="1" applyBorder="1" applyAlignment="1">
      <alignment horizontal="center" vertical="center"/>
    </xf>
    <xf numFmtId="166" fontId="9" fillId="0" borderId="22" xfId="0" applyNumberFormat="1" applyFont="1" applyFill="1" applyBorder="1" applyAlignment="1">
      <alignment vertical="center" wrapText="1"/>
    </xf>
    <xf numFmtId="166" fontId="9" fillId="0" borderId="27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64" fontId="9" fillId="0" borderId="35" xfId="0" applyNumberFormat="1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vertical="center" wrapText="1"/>
    </xf>
    <xf numFmtId="1" fontId="9" fillId="0" borderId="21" xfId="0" applyNumberFormat="1" applyFont="1" applyFill="1" applyBorder="1" applyAlignment="1">
      <alignment vertical="center" wrapText="1"/>
    </xf>
    <xf numFmtId="0" fontId="7" fillId="0" borderId="74" xfId="0" applyFont="1" applyFill="1" applyBorder="1" applyAlignment="1">
      <alignment vertical="center" wrapText="1"/>
    </xf>
    <xf numFmtId="0" fontId="53" fillId="0" borderId="78" xfId="0" applyFont="1" applyFill="1" applyBorder="1" applyAlignment="1">
      <alignment horizontal="left" vertical="center"/>
    </xf>
    <xf numFmtId="1" fontId="51" fillId="0" borderId="74" xfId="0" applyNumberFormat="1" applyFont="1" applyFill="1" applyBorder="1" applyAlignment="1">
      <alignment horizontal="center" vertical="center" wrapText="1"/>
    </xf>
    <xf numFmtId="1" fontId="9" fillId="0" borderId="218" xfId="0" applyNumberFormat="1" applyFont="1" applyFill="1" applyBorder="1" applyAlignment="1">
      <alignment horizontal="center" vertical="center" wrapText="1"/>
    </xf>
    <xf numFmtId="164" fontId="9" fillId="0" borderId="217" xfId="0" applyNumberFormat="1" applyFont="1" applyFill="1" applyBorder="1" applyAlignment="1">
      <alignment horizontal="center" vertical="center"/>
    </xf>
    <xf numFmtId="0" fontId="2" fillId="0" borderId="219" xfId="0" applyFont="1" applyFill="1" applyBorder="1" applyAlignment="1">
      <alignment vertical="center"/>
    </xf>
    <xf numFmtId="166" fontId="12" fillId="0" borderId="220" xfId="0" applyNumberFormat="1" applyFont="1" applyFill="1" applyBorder="1" applyAlignment="1">
      <alignment horizontal="center" vertical="center" wrapText="1"/>
    </xf>
    <xf numFmtId="1" fontId="16" fillId="0" borderId="21" xfId="0" applyNumberFormat="1" applyFont="1" applyFill="1" applyBorder="1" applyAlignment="1">
      <alignment horizontal="center" vertical="center" wrapText="1"/>
    </xf>
    <xf numFmtId="168" fontId="2" fillId="0" borderId="27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44" fontId="12" fillId="0" borderId="97" xfId="1" applyFont="1" applyBorder="1" applyAlignment="1">
      <alignment horizontal="center" vertical="center"/>
    </xf>
    <xf numFmtId="44" fontId="12" fillId="0" borderId="45" xfId="1" applyFont="1" applyBorder="1" applyAlignment="1">
      <alignment horizontal="center" vertical="center"/>
    </xf>
    <xf numFmtId="44" fontId="12" fillId="0" borderId="46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8" fillId="0" borderId="189" xfId="0" applyFont="1" applyBorder="1" applyAlignment="1">
      <alignment horizontal="center" vertical="center"/>
    </xf>
    <xf numFmtId="0" fontId="8" fillId="0" borderId="180" xfId="0" applyFont="1" applyBorder="1" applyAlignment="1">
      <alignment horizontal="center" vertical="center"/>
    </xf>
    <xf numFmtId="0" fontId="8" fillId="0" borderId="190" xfId="0" applyFont="1" applyBorder="1" applyAlignment="1">
      <alignment horizontal="center" vertical="center"/>
    </xf>
    <xf numFmtId="165" fontId="8" fillId="0" borderId="212" xfId="0" applyNumberFormat="1" applyFont="1" applyBorder="1" applyAlignment="1">
      <alignment horizontal="center" vertical="center"/>
    </xf>
    <xf numFmtId="165" fontId="8" fillId="0" borderId="42" xfId="0" applyNumberFormat="1" applyFont="1" applyBorder="1" applyAlignment="1">
      <alignment horizontal="center" vertical="center"/>
    </xf>
    <xf numFmtId="165" fontId="8" fillId="0" borderId="213" xfId="0" applyNumberFormat="1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62" xfId="0" applyNumberFormat="1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8" fillId="0" borderId="129" xfId="0" applyFont="1" applyBorder="1" applyAlignment="1">
      <alignment horizontal="center" vertical="center"/>
    </xf>
    <xf numFmtId="0" fontId="8" fillId="0" borderId="130" xfId="0" applyFont="1" applyBorder="1" applyAlignment="1">
      <alignment horizontal="center" vertical="center"/>
    </xf>
    <xf numFmtId="165" fontId="8" fillId="0" borderId="214" xfId="0" applyNumberFormat="1" applyFont="1" applyBorder="1" applyAlignment="1">
      <alignment horizontal="center" vertical="center"/>
    </xf>
    <xf numFmtId="165" fontId="8" fillId="0" borderId="215" xfId="0" applyNumberFormat="1" applyFont="1" applyBorder="1" applyAlignment="1">
      <alignment horizontal="center" vertical="center"/>
    </xf>
    <xf numFmtId="165" fontId="8" fillId="0" borderId="216" xfId="0" applyNumberFormat="1" applyFont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1" fontId="33" fillId="0" borderId="3" xfId="0" applyNumberFormat="1" applyFont="1" applyFill="1" applyBorder="1" applyAlignment="1">
      <alignment horizontal="center" vertical="center"/>
    </xf>
    <xf numFmtId="1" fontId="33" fillId="0" borderId="63" xfId="0" applyNumberFormat="1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69" xfId="0" applyFont="1" applyFill="1" applyBorder="1" applyAlignment="1">
      <alignment horizontal="center" vertical="center"/>
    </xf>
    <xf numFmtId="166" fontId="12" fillId="0" borderId="180" xfId="0" applyNumberFormat="1" applyFont="1" applyFill="1" applyBorder="1" applyAlignment="1">
      <alignment horizontal="center" vertical="center" wrapText="1"/>
    </xf>
    <xf numFmtId="166" fontId="12" fillId="0" borderId="187" xfId="0" applyNumberFormat="1" applyFont="1" applyFill="1" applyBorder="1" applyAlignment="1">
      <alignment horizontal="center" vertical="center" wrapText="1"/>
    </xf>
    <xf numFmtId="1" fontId="7" fillId="0" borderId="115" xfId="0" applyNumberFormat="1" applyFont="1" applyFill="1" applyBorder="1" applyAlignment="1">
      <alignment horizontal="center" vertical="center"/>
    </xf>
    <xf numFmtId="1" fontId="7" fillId="0" borderId="206" xfId="0" applyNumberFormat="1" applyFont="1" applyFill="1" applyBorder="1" applyAlignment="1">
      <alignment horizontal="center" vertical="center"/>
    </xf>
    <xf numFmtId="166" fontId="9" fillId="0" borderId="98" xfId="0" applyNumberFormat="1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/>
    </xf>
    <xf numFmtId="0" fontId="9" fillId="17" borderId="211" xfId="0" applyFont="1" applyFill="1" applyBorder="1" applyAlignment="1">
      <alignment horizontal="center" vertical="center"/>
    </xf>
    <xf numFmtId="166" fontId="9" fillId="17" borderId="186" xfId="0" applyNumberFormat="1" applyFont="1" applyFill="1" applyBorder="1" applyAlignment="1">
      <alignment horizontal="center" vertical="center" wrapText="1"/>
    </xf>
    <xf numFmtId="166" fontId="9" fillId="17" borderId="181" xfId="0" applyNumberFormat="1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 wrapText="1"/>
    </xf>
    <xf numFmtId="1" fontId="7" fillId="0" borderId="210" xfId="0" applyNumberFormat="1" applyFont="1" applyFill="1" applyBorder="1" applyAlignment="1">
      <alignment horizontal="center" vertical="center" wrapText="1"/>
    </xf>
    <xf numFmtId="164" fontId="7" fillId="0" borderId="66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164" fontId="7" fillId="0" borderId="105" xfId="0" applyNumberFormat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/>
    </xf>
    <xf numFmtId="1" fontId="61" fillId="0" borderId="12" xfId="0" applyNumberFormat="1" applyFont="1" applyFill="1" applyBorder="1" applyAlignment="1">
      <alignment horizontal="center" vertical="center" wrapText="1"/>
    </xf>
    <xf numFmtId="1" fontId="61" fillId="0" borderId="63" xfId="0" applyNumberFormat="1" applyFont="1" applyFill="1" applyBorder="1" applyAlignment="1">
      <alignment horizontal="center" vertical="center" wrapText="1"/>
    </xf>
    <xf numFmtId="44" fontId="6" fillId="0" borderId="68" xfId="1" applyFont="1" applyFill="1" applyBorder="1" applyAlignment="1">
      <alignment horizontal="center" vertical="center" wrapText="1"/>
    </xf>
    <xf numFmtId="44" fontId="6" fillId="0" borderId="69" xfId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 wrapText="1"/>
    </xf>
    <xf numFmtId="44" fontId="12" fillId="0" borderId="187" xfId="1" applyFont="1" applyFill="1" applyBorder="1" applyAlignment="1">
      <alignment horizontal="center" vertical="center" wrapText="1"/>
    </xf>
    <xf numFmtId="0" fontId="61" fillId="0" borderId="66" xfId="0" applyFont="1" applyFill="1" applyBorder="1" applyAlignment="1">
      <alignment horizontal="center" vertical="center"/>
    </xf>
    <xf numFmtId="0" fontId="61" fillId="0" borderId="49" xfId="0" applyFont="1" applyFill="1" applyBorder="1" applyAlignment="1">
      <alignment horizontal="center" vertical="center"/>
    </xf>
    <xf numFmtId="164" fontId="7" fillId="0" borderId="131" xfId="0" applyNumberFormat="1" applyFont="1" applyFill="1" applyBorder="1" applyAlignment="1">
      <alignment horizontal="center" vertical="center"/>
    </xf>
    <xf numFmtId="164" fontId="7" fillId="0" borderId="132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99"/>
      <color rgb="FF99FF33"/>
      <color rgb="FF00FFFF"/>
      <color rgb="FF0000FF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5" t="s">
        <v>30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363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thickBot="1" x14ac:dyDescent="0.3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365"/>
      <c r="M2" s="365"/>
      <c r="N2" s="366"/>
      <c r="O2" s="367"/>
      <c r="Q2" s="6"/>
      <c r="R2" s="7"/>
      <c r="S2" s="1677"/>
      <c r="T2" s="167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82"/>
      <c r="M90" s="168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82"/>
      <c r="M91" s="168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84"/>
      <c r="P97" s="168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85"/>
      <c r="P98" s="168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73" t="s">
        <v>27</v>
      </c>
      <c r="G262" s="1673"/>
      <c r="H262" s="167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6" bestFit="1" customWidth="1"/>
  </cols>
  <sheetData>
    <row r="1" spans="1:24" ht="42.75" customHeight="1" x14ac:dyDescent="0.65">
      <c r="A1" s="1675" t="s">
        <v>666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562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ht="24" thickBot="1" x14ac:dyDescent="0.4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563"/>
      <c r="M2" s="365"/>
      <c r="N2" s="366"/>
      <c r="O2" s="367"/>
      <c r="Q2" s="6"/>
      <c r="R2" s="7"/>
      <c r="S2" s="1677"/>
      <c r="T2" s="1677"/>
      <c r="U2" s="8"/>
      <c r="V2" s="9"/>
      <c r="W2" s="1002"/>
      <c r="X2" s="994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3" t="s">
        <v>20</v>
      </c>
      <c r="X3" s="995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0" t="s">
        <v>786</v>
      </c>
      <c r="D4" s="1011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4"/>
      <c r="X4" s="996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5"/>
      <c r="X5" s="997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6" t="s">
        <v>763</v>
      </c>
      <c r="X6" s="998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8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8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7"/>
      <c r="X9" s="997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8"/>
      <c r="X10" s="997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5" t="s">
        <v>850</v>
      </c>
      <c r="V11" s="1356">
        <v>4593.6000000000004</v>
      </c>
      <c r="W11" s="111" t="s">
        <v>763</v>
      </c>
      <c r="X11" s="998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71"/>
      <c r="M12" s="1872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8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3"/>
      <c r="M13" s="973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8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8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8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8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8"/>
      <c r="X17" s="997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8" t="s">
        <v>890</v>
      </c>
      <c r="X18" s="997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8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8"/>
      <c r="X21" s="9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8"/>
      <c r="X22" s="997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8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8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8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8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8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8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8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8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8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8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8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8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8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8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8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8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8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8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8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999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999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999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999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0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0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0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0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0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999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999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999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999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999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99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1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6"/>
      <c r="C63" s="947"/>
      <c r="D63" s="948"/>
      <c r="E63" s="34"/>
      <c r="F63" s="949"/>
      <c r="G63" s="713"/>
      <c r="H63" s="950"/>
      <c r="I63" s="949"/>
      <c r="J63" s="884"/>
      <c r="K63" s="462"/>
      <c r="L63" s="568"/>
      <c r="M63" s="463"/>
      <c r="N63" s="885"/>
      <c r="O63" s="951"/>
      <c r="P63" s="952"/>
      <c r="Q63" s="151"/>
      <c r="R63" s="886"/>
      <c r="S63" s="48"/>
      <c r="T63" s="48"/>
      <c r="U63" s="1026"/>
      <c r="V63" s="1027"/>
      <c r="W63" s="1009"/>
      <c r="X63" s="907"/>
    </row>
    <row r="64" spans="1:24" ht="31.5" customHeight="1" x14ac:dyDescent="0.35">
      <c r="A64" s="1887" t="s">
        <v>724</v>
      </c>
      <c r="B64" s="418" t="s">
        <v>23</v>
      </c>
      <c r="C64" s="1907" t="s">
        <v>725</v>
      </c>
      <c r="D64" s="829"/>
      <c r="E64" s="56"/>
      <c r="F64" s="410">
        <v>6095.9</v>
      </c>
      <c r="G64" s="1910">
        <v>45210</v>
      </c>
      <c r="H64" s="1904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900" t="s">
        <v>22</v>
      </c>
      <c r="P64" s="1902" t="s">
        <v>685</v>
      </c>
      <c r="Q64" s="615"/>
      <c r="R64" s="125"/>
      <c r="S64" s="48"/>
      <c r="T64" s="1354"/>
      <c r="U64" s="1916" t="s">
        <v>850</v>
      </c>
      <c r="V64" s="1919">
        <v>3619.2</v>
      </c>
      <c r="W64" s="1915" t="s">
        <v>785</v>
      </c>
      <c r="X64" s="1912">
        <v>4176</v>
      </c>
    </row>
    <row r="65" spans="1:25" ht="18.75" customHeight="1" x14ac:dyDescent="0.35">
      <c r="A65" s="1716"/>
      <c r="B65" s="418" t="s">
        <v>727</v>
      </c>
      <c r="C65" s="1908"/>
      <c r="D65" s="409"/>
      <c r="E65" s="56"/>
      <c r="F65" s="410">
        <v>34.950000000000003</v>
      </c>
      <c r="G65" s="1911"/>
      <c r="H65" s="1905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901"/>
      <c r="P65" s="1903"/>
      <c r="Q65" s="543"/>
      <c r="R65" s="125"/>
      <c r="S65" s="48"/>
      <c r="T65" s="1354"/>
      <c r="U65" s="1917"/>
      <c r="V65" s="1920"/>
      <c r="W65" s="1915"/>
      <c r="X65" s="1913"/>
    </row>
    <row r="66" spans="1:25" ht="18.75" customHeight="1" x14ac:dyDescent="0.35">
      <c r="A66" s="1716"/>
      <c r="B66" s="418" t="s">
        <v>728</v>
      </c>
      <c r="C66" s="1908"/>
      <c r="D66" s="409"/>
      <c r="E66" s="56"/>
      <c r="F66" s="410">
        <v>295.3</v>
      </c>
      <c r="G66" s="1911"/>
      <c r="H66" s="1905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901"/>
      <c r="P66" s="1903"/>
      <c r="Q66" s="543"/>
      <c r="R66" s="125"/>
      <c r="S66" s="48"/>
      <c r="T66" s="1354"/>
      <c r="U66" s="1917"/>
      <c r="V66" s="1920"/>
      <c r="W66" s="1915"/>
      <c r="X66" s="1913"/>
    </row>
    <row r="67" spans="1:25" ht="18.75" customHeight="1" thickBot="1" x14ac:dyDescent="0.4">
      <c r="A67" s="1717"/>
      <c r="B67" s="418" t="s">
        <v>736</v>
      </c>
      <c r="C67" s="1909"/>
      <c r="D67" s="409"/>
      <c r="E67" s="56"/>
      <c r="F67" s="410">
        <v>98.8</v>
      </c>
      <c r="G67" s="1911"/>
      <c r="H67" s="1906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901"/>
      <c r="P67" s="1903"/>
      <c r="Q67" s="543"/>
      <c r="R67" s="125"/>
      <c r="S67" s="48"/>
      <c r="T67" s="1354"/>
      <c r="U67" s="1918"/>
      <c r="V67" s="1921"/>
      <c r="W67" s="1915"/>
      <c r="X67" s="1914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1"/>
      <c r="V68" s="1482"/>
      <c r="W68" s="1009"/>
      <c r="X68" s="907"/>
    </row>
    <row r="69" spans="1:25" ht="24" thickTop="1" x14ac:dyDescent="0.35">
      <c r="A69" s="1960" t="s">
        <v>681</v>
      </c>
      <c r="B69" s="828" t="s">
        <v>682</v>
      </c>
      <c r="C69" s="1963" t="s">
        <v>730</v>
      </c>
      <c r="D69" s="409"/>
      <c r="E69" s="56"/>
      <c r="F69" s="876">
        <v>4862.3999999999996</v>
      </c>
      <c r="G69" s="1939">
        <v>45217</v>
      </c>
      <c r="H69" s="1942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4">
        <f>400000+95964.8</f>
        <v>495964.8</v>
      </c>
      <c r="N69" s="42">
        <f t="shared" si="1"/>
        <v>495964.8</v>
      </c>
      <c r="O69" s="1944" t="s">
        <v>22</v>
      </c>
      <c r="P69" s="1928" t="s">
        <v>742</v>
      </c>
      <c r="Q69" s="543"/>
      <c r="R69" s="890"/>
      <c r="S69" s="1922">
        <v>28000</v>
      </c>
      <c r="T69" s="1925" t="s">
        <v>740</v>
      </c>
      <c r="U69" s="1970" t="s">
        <v>904</v>
      </c>
      <c r="V69" s="1973">
        <v>3897.6</v>
      </c>
      <c r="W69" s="1955" t="s">
        <v>785</v>
      </c>
      <c r="X69" s="1957">
        <v>4176</v>
      </c>
    </row>
    <row r="70" spans="1:25" ht="18.75" customHeight="1" x14ac:dyDescent="0.35">
      <c r="A70" s="1961"/>
      <c r="B70" s="828" t="s">
        <v>732</v>
      </c>
      <c r="C70" s="1964"/>
      <c r="D70" s="409"/>
      <c r="E70" s="56"/>
      <c r="F70" s="876">
        <v>235.1</v>
      </c>
      <c r="G70" s="1940"/>
      <c r="H70" s="1943"/>
      <c r="I70" s="877">
        <v>235.1</v>
      </c>
      <c r="J70" s="39">
        <f t="shared" si="0"/>
        <v>0</v>
      </c>
      <c r="K70" s="40">
        <v>109</v>
      </c>
      <c r="L70" s="582"/>
      <c r="M70" s="583"/>
      <c r="N70" s="893">
        <f t="shared" si="1"/>
        <v>25625.899999999998</v>
      </c>
      <c r="O70" s="1945"/>
      <c r="P70" s="1929"/>
      <c r="Q70" s="543"/>
      <c r="R70" s="890"/>
      <c r="S70" s="1923"/>
      <c r="T70" s="1926"/>
      <c r="U70" s="1971"/>
      <c r="V70" s="1974"/>
      <c r="W70" s="1915"/>
      <c r="X70" s="1958"/>
    </row>
    <row r="71" spans="1:25" ht="18.75" x14ac:dyDescent="0.3">
      <c r="A71" s="1961"/>
      <c r="B71" s="828" t="s">
        <v>733</v>
      </c>
      <c r="C71" s="1964"/>
      <c r="D71" s="409"/>
      <c r="E71" s="56"/>
      <c r="F71" s="876">
        <v>236.7</v>
      </c>
      <c r="G71" s="1940"/>
      <c r="H71" s="1943"/>
      <c r="I71" s="877">
        <v>236.7</v>
      </c>
      <c r="J71" s="39">
        <f t="shared" si="0"/>
        <v>0</v>
      </c>
      <c r="K71" s="462">
        <v>112</v>
      </c>
      <c r="L71" s="584"/>
      <c r="M71" s="585"/>
      <c r="N71" s="893">
        <f t="shared" si="1"/>
        <v>26510.399999999998</v>
      </c>
      <c r="O71" s="1945"/>
      <c r="P71" s="1929"/>
      <c r="Q71" s="543"/>
      <c r="R71" s="890"/>
      <c r="S71" s="1923"/>
      <c r="T71" s="1926"/>
      <c r="U71" s="1971"/>
      <c r="V71" s="1974"/>
      <c r="W71" s="1915"/>
      <c r="X71" s="1958"/>
    </row>
    <row r="72" spans="1:25" ht="18.75" x14ac:dyDescent="0.3">
      <c r="A72" s="1961"/>
      <c r="B72" s="828" t="s">
        <v>734</v>
      </c>
      <c r="C72" s="1964"/>
      <c r="D72" s="409"/>
      <c r="E72" s="56"/>
      <c r="F72" s="876">
        <v>354.1</v>
      </c>
      <c r="G72" s="1940"/>
      <c r="H72" s="1943"/>
      <c r="I72" s="877">
        <v>354.1</v>
      </c>
      <c r="J72" s="39"/>
      <c r="K72" s="462">
        <v>145</v>
      </c>
      <c r="L72" s="584"/>
      <c r="M72" s="585"/>
      <c r="N72" s="893">
        <f t="shared" si="1"/>
        <v>51344.5</v>
      </c>
      <c r="O72" s="1945"/>
      <c r="P72" s="1929"/>
      <c r="Q72" s="543"/>
      <c r="R72" s="890"/>
      <c r="S72" s="1923"/>
      <c r="T72" s="1926"/>
      <c r="U72" s="1971"/>
      <c r="V72" s="1974"/>
      <c r="W72" s="1915"/>
      <c r="X72" s="1958"/>
    </row>
    <row r="73" spans="1:25" ht="18.75" x14ac:dyDescent="0.3">
      <c r="A73" s="1961"/>
      <c r="B73" s="828" t="s">
        <v>735</v>
      </c>
      <c r="C73" s="1964"/>
      <c r="D73" s="409"/>
      <c r="E73" s="56"/>
      <c r="F73" s="876">
        <v>100.2</v>
      </c>
      <c r="G73" s="1940"/>
      <c r="H73" s="1943"/>
      <c r="I73" s="877">
        <v>100.2</v>
      </c>
      <c r="J73" s="39"/>
      <c r="K73" s="628">
        <v>20</v>
      </c>
      <c r="L73" s="749"/>
      <c r="M73" s="468"/>
      <c r="N73" s="893">
        <f t="shared" ref="N73:N133" si="3">K73*I73</f>
        <v>2004</v>
      </c>
      <c r="O73" s="1945"/>
      <c r="P73" s="1929"/>
      <c r="Q73" s="543"/>
      <c r="R73" s="890"/>
      <c r="S73" s="1923"/>
      <c r="T73" s="1926"/>
      <c r="U73" s="1971"/>
      <c r="V73" s="1974"/>
      <c r="W73" s="1915"/>
      <c r="X73" s="1958"/>
    </row>
    <row r="74" spans="1:25" ht="19.5" thickBot="1" x14ac:dyDescent="0.35">
      <c r="A74" s="1962"/>
      <c r="B74" s="828" t="s">
        <v>727</v>
      </c>
      <c r="C74" s="1964"/>
      <c r="D74" s="409"/>
      <c r="E74" s="56"/>
      <c r="F74" s="876">
        <v>24.7</v>
      </c>
      <c r="G74" s="1941"/>
      <c r="H74" s="1943"/>
      <c r="I74" s="877">
        <v>24.7</v>
      </c>
      <c r="J74" s="39">
        <f t="shared" ref="J74:J133" si="4">I74-F74</f>
        <v>0</v>
      </c>
      <c r="K74" s="978">
        <v>65</v>
      </c>
      <c r="L74" s="979"/>
      <c r="M74" s="980"/>
      <c r="N74" s="981">
        <f t="shared" si="3"/>
        <v>1605.5</v>
      </c>
      <c r="O74" s="1945"/>
      <c r="P74" s="1929"/>
      <c r="Q74" s="543"/>
      <c r="R74" s="890"/>
      <c r="S74" s="1924"/>
      <c r="T74" s="1927"/>
      <c r="U74" s="1972"/>
      <c r="V74" s="1975"/>
      <c r="W74" s="1956"/>
      <c r="X74" s="1959"/>
    </row>
    <row r="75" spans="1:25" s="889" customFormat="1" ht="32.25" customHeight="1" thickTop="1" x14ac:dyDescent="0.3">
      <c r="A75" s="1965" t="s">
        <v>681</v>
      </c>
      <c r="B75" s="519" t="s">
        <v>682</v>
      </c>
      <c r="C75" s="1968" t="s">
        <v>775</v>
      </c>
      <c r="D75" s="776"/>
      <c r="E75" s="737"/>
      <c r="F75" s="974">
        <v>3189.9</v>
      </c>
      <c r="G75" s="1946">
        <v>45224</v>
      </c>
      <c r="H75" s="1949" t="s">
        <v>776</v>
      </c>
      <c r="I75" s="953">
        <v>3189.9</v>
      </c>
      <c r="J75" s="977">
        <f t="shared" si="4"/>
        <v>0</v>
      </c>
      <c r="K75" s="982">
        <v>102</v>
      </c>
      <c r="L75" s="983" t="s">
        <v>683</v>
      </c>
      <c r="M75" s="984">
        <f>300000+93239.74</f>
        <v>393239.74</v>
      </c>
      <c r="N75" s="985">
        <f t="shared" si="3"/>
        <v>325369.8</v>
      </c>
      <c r="O75" s="1952" t="s">
        <v>22</v>
      </c>
      <c r="P75" s="1930" t="s">
        <v>781</v>
      </c>
      <c r="Q75" s="543"/>
      <c r="R75" s="991"/>
      <c r="S75" s="1933">
        <v>28000</v>
      </c>
      <c r="T75" s="1936" t="s">
        <v>778</v>
      </c>
      <c r="U75" s="1976" t="s">
        <v>904</v>
      </c>
      <c r="V75" s="1979">
        <v>2552</v>
      </c>
      <c r="W75" s="1009"/>
      <c r="X75" s="907"/>
    </row>
    <row r="76" spans="1:25" ht="31.5" customHeight="1" x14ac:dyDescent="0.3">
      <c r="A76" s="1966"/>
      <c r="B76" s="519" t="s">
        <v>734</v>
      </c>
      <c r="C76" s="1969"/>
      <c r="D76" s="776"/>
      <c r="E76" s="737"/>
      <c r="F76" s="876">
        <v>409.3</v>
      </c>
      <c r="G76" s="1947"/>
      <c r="H76" s="1950"/>
      <c r="I76" s="877">
        <v>409.3</v>
      </c>
      <c r="J76" s="977">
        <f t="shared" si="4"/>
        <v>0</v>
      </c>
      <c r="K76" s="986">
        <v>145</v>
      </c>
      <c r="L76" s="1898"/>
      <c r="M76" s="975"/>
      <c r="N76" s="42">
        <f t="shared" si="3"/>
        <v>59348.5</v>
      </c>
      <c r="O76" s="1953"/>
      <c r="P76" s="1931"/>
      <c r="Q76" s="543"/>
      <c r="R76" s="890"/>
      <c r="S76" s="1934"/>
      <c r="T76" s="1937"/>
      <c r="U76" s="1977"/>
      <c r="V76" s="1980"/>
    </row>
    <row r="77" spans="1:25" ht="31.5" customHeight="1" x14ac:dyDescent="0.3">
      <c r="A77" s="1966"/>
      <c r="B77" s="519" t="s">
        <v>735</v>
      </c>
      <c r="C77" s="1969"/>
      <c r="D77" s="776"/>
      <c r="E77" s="737"/>
      <c r="F77" s="876">
        <v>99.64</v>
      </c>
      <c r="G77" s="1947"/>
      <c r="H77" s="1950"/>
      <c r="I77" s="877">
        <v>99.64</v>
      </c>
      <c r="J77" s="977">
        <v>0</v>
      </c>
      <c r="K77" s="986">
        <v>20</v>
      </c>
      <c r="L77" s="1899"/>
      <c r="M77" s="975"/>
      <c r="N77" s="42">
        <f t="shared" si="3"/>
        <v>1992.8</v>
      </c>
      <c r="O77" s="1953"/>
      <c r="P77" s="1931"/>
      <c r="Q77" s="543"/>
      <c r="R77" s="890"/>
      <c r="S77" s="1934"/>
      <c r="T77" s="1937"/>
      <c r="U77" s="1977"/>
      <c r="V77" s="1980"/>
    </row>
    <row r="78" spans="1:25" ht="31.5" customHeight="1" thickBot="1" x14ac:dyDescent="0.35">
      <c r="A78" s="1967"/>
      <c r="B78" s="519" t="s">
        <v>727</v>
      </c>
      <c r="C78" s="1969"/>
      <c r="D78" s="776"/>
      <c r="E78" s="737"/>
      <c r="F78" s="876">
        <v>100.44</v>
      </c>
      <c r="G78" s="1948"/>
      <c r="H78" s="1951"/>
      <c r="I78" s="877">
        <v>100.44</v>
      </c>
      <c r="J78" s="977">
        <f t="shared" si="4"/>
        <v>0</v>
      </c>
      <c r="K78" s="987">
        <v>65</v>
      </c>
      <c r="L78" s="988"/>
      <c r="M78" s="989"/>
      <c r="N78" s="990">
        <f t="shared" si="3"/>
        <v>6528.5999999999995</v>
      </c>
      <c r="O78" s="1954"/>
      <c r="P78" s="1932"/>
      <c r="Q78" s="543"/>
      <c r="R78" s="890"/>
      <c r="S78" s="1935"/>
      <c r="T78" s="1938"/>
      <c r="U78" s="1978"/>
      <c r="V78" s="1981"/>
    </row>
    <row r="79" spans="1:25" ht="54" customHeight="1" thickTop="1" thickBot="1" x14ac:dyDescent="0.4">
      <c r="A79" s="521" t="s">
        <v>820</v>
      </c>
      <c r="B79" s="386" t="s">
        <v>821</v>
      </c>
      <c r="C79" s="1350" t="s">
        <v>846</v>
      </c>
      <c r="D79" s="445"/>
      <c r="E79" s="1015"/>
      <c r="F79" s="820">
        <v>885.86</v>
      </c>
      <c r="G79" s="1209">
        <v>45230</v>
      </c>
      <c r="H79" s="1210" t="s">
        <v>822</v>
      </c>
      <c r="I79" s="820">
        <v>885.86</v>
      </c>
      <c r="J79" s="977">
        <f t="shared" si="4"/>
        <v>0</v>
      </c>
      <c r="K79" s="468">
        <v>25</v>
      </c>
      <c r="L79" s="468"/>
      <c r="M79" s="591"/>
      <c r="N79" s="990">
        <f t="shared" si="3"/>
        <v>22146.5</v>
      </c>
      <c r="O79" s="1357" t="s">
        <v>78</v>
      </c>
      <c r="P79" s="1358">
        <v>45233</v>
      </c>
      <c r="Q79" s="1022"/>
      <c r="R79" s="543"/>
      <c r="S79" s="890"/>
      <c r="T79" s="1031"/>
      <c r="U79" s="1485"/>
      <c r="V79" s="960"/>
      <c r="W79" s="1024"/>
      <c r="X79" s="1028"/>
      <c r="Y79" s="1032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0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73" t="s">
        <v>27</v>
      </c>
      <c r="G286" s="1673"/>
      <c r="H286" s="1674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4" customWidth="1"/>
    <col min="7" max="7" width="15.5703125" style="353" customWidth="1"/>
    <col min="8" max="8" width="15.5703125" style="913" customWidth="1"/>
    <col min="9" max="10" width="15.5703125" customWidth="1"/>
    <col min="11" max="11" width="15.5703125" style="959" customWidth="1"/>
    <col min="12" max="12" width="15.5703125" customWidth="1"/>
    <col min="13" max="13" width="13.5703125" style="956" customWidth="1"/>
    <col min="14" max="16" width="15.5703125" customWidth="1"/>
    <col min="17" max="17" width="15.5703125" style="959" customWidth="1"/>
    <col min="18" max="18" width="15.5703125" customWidth="1"/>
    <col min="19" max="19" width="16.140625" style="905" bestFit="1" customWidth="1"/>
    <col min="20" max="20" width="11.42578125" style="905" bestFit="1" customWidth="1"/>
  </cols>
  <sheetData>
    <row r="1" spans="1:20" ht="33" thickTop="1" thickBot="1" x14ac:dyDescent="0.55000000000000004">
      <c r="A1" s="601"/>
      <c r="B1" s="964" t="s">
        <v>756</v>
      </c>
      <c r="C1" s="965"/>
      <c r="D1" s="966"/>
      <c r="E1" s="967"/>
      <c r="F1" s="968"/>
      <c r="G1" s="969"/>
      <c r="H1" s="970"/>
      <c r="I1" s="971"/>
      <c r="J1" s="972"/>
      <c r="K1" s="1982" t="s">
        <v>743</v>
      </c>
      <c r="L1" s="895"/>
      <c r="M1" s="1984" t="s">
        <v>744</v>
      </c>
      <c r="N1" s="896"/>
      <c r="O1" s="920"/>
      <c r="P1" s="899" t="s">
        <v>745</v>
      </c>
      <c r="Q1" s="1986" t="s">
        <v>746</v>
      </c>
      <c r="R1" s="897"/>
      <c r="S1" s="921"/>
      <c r="T1" s="921"/>
    </row>
    <row r="2" spans="1:20" s="902" customFormat="1" ht="29.25" customHeight="1" thickTop="1" thickBot="1" x14ac:dyDescent="0.3">
      <c r="A2" s="901"/>
      <c r="B2" s="911" t="s">
        <v>4</v>
      </c>
      <c r="C2" s="912" t="s">
        <v>747</v>
      </c>
      <c r="D2" s="900" t="s">
        <v>755</v>
      </c>
      <c r="E2" s="933" t="s">
        <v>748</v>
      </c>
      <c r="F2" s="934" t="s">
        <v>749</v>
      </c>
      <c r="G2" s="910" t="s">
        <v>750</v>
      </c>
      <c r="H2" s="922" t="s">
        <v>751</v>
      </c>
      <c r="I2" s="923" t="s">
        <v>752</v>
      </c>
      <c r="J2" s="924"/>
      <c r="K2" s="1983"/>
      <c r="L2" s="904" t="s">
        <v>753</v>
      </c>
      <c r="M2" s="1985"/>
      <c r="N2" s="904" t="s">
        <v>753</v>
      </c>
      <c r="O2" s="903" t="s">
        <v>11</v>
      </c>
      <c r="P2" s="925" t="s">
        <v>754</v>
      </c>
      <c r="Q2" s="1987"/>
      <c r="R2" s="926" t="s">
        <v>753</v>
      </c>
      <c r="S2" s="927"/>
      <c r="T2" s="927"/>
    </row>
    <row r="3" spans="1:20" ht="33" customHeight="1" thickTop="1" thickBot="1" x14ac:dyDescent="0.4">
      <c r="A3" s="937">
        <v>1</v>
      </c>
      <c r="B3" s="918" t="s">
        <v>81</v>
      </c>
      <c r="C3" s="940"/>
      <c r="D3" s="928" t="s">
        <v>757</v>
      </c>
      <c r="E3" s="942">
        <v>45209</v>
      </c>
      <c r="F3" s="929">
        <v>18617.21</v>
      </c>
      <c r="G3" s="935">
        <v>21</v>
      </c>
      <c r="H3" s="929">
        <v>18794.8</v>
      </c>
      <c r="I3" s="944">
        <f>F3-H3</f>
        <v>-177.59000000000015</v>
      </c>
      <c r="J3" s="940">
        <v>3918</v>
      </c>
      <c r="K3" s="957"/>
      <c r="L3" s="954"/>
      <c r="M3" s="957"/>
      <c r="N3" s="954"/>
      <c r="O3" s="938">
        <v>3918</v>
      </c>
      <c r="P3" s="1483"/>
      <c r="Q3" s="957">
        <v>761207.63</v>
      </c>
      <c r="R3" s="954" t="s">
        <v>764</v>
      </c>
      <c r="S3" s="919">
        <f t="shared" ref="S3:S8" si="0">Q3+M3+K3+P3</f>
        <v>761207.63</v>
      </c>
      <c r="T3" s="919">
        <f>S3/H3</f>
        <v>40.50096994913487</v>
      </c>
    </row>
    <row r="4" spans="1:20" ht="33" customHeight="1" thickBot="1" x14ac:dyDescent="0.4">
      <c r="A4" s="937">
        <v>2</v>
      </c>
      <c r="B4" s="916" t="s">
        <v>758</v>
      </c>
      <c r="C4" s="941" t="s">
        <v>759</v>
      </c>
      <c r="D4" s="930" t="s">
        <v>760</v>
      </c>
      <c r="E4" s="943">
        <v>45220</v>
      </c>
      <c r="F4" s="931">
        <v>18310.41</v>
      </c>
      <c r="G4" s="936">
        <v>20</v>
      </c>
      <c r="H4" s="932">
        <v>18389.439999999999</v>
      </c>
      <c r="I4" s="945">
        <f t="shared" ref="I4:I11" si="1">F4-H4</f>
        <v>-79.029999999998836</v>
      </c>
      <c r="J4" s="941">
        <v>11783</v>
      </c>
      <c r="K4" s="958">
        <v>12434</v>
      </c>
      <c r="L4" s="955" t="s">
        <v>761</v>
      </c>
      <c r="M4" s="958">
        <v>37120</v>
      </c>
      <c r="N4" s="955" t="s">
        <v>761</v>
      </c>
      <c r="O4" s="939">
        <v>12136</v>
      </c>
      <c r="P4" s="1484">
        <v>4466</v>
      </c>
      <c r="Q4" s="958">
        <f>39171.68*18.26</f>
        <v>715274.87680000009</v>
      </c>
      <c r="R4" s="955" t="s">
        <v>761</v>
      </c>
      <c r="S4" s="917">
        <f>Q4</f>
        <v>715274.87680000009</v>
      </c>
      <c r="T4" s="917">
        <f>S4/H4</f>
        <v>38.895957506046955</v>
      </c>
    </row>
    <row r="5" spans="1:20" ht="33" customHeight="1" thickBot="1" x14ac:dyDescent="0.4">
      <c r="A5" s="937">
        <v>3</v>
      </c>
      <c r="B5" s="916" t="s">
        <v>81</v>
      </c>
      <c r="C5" s="941" t="s">
        <v>771</v>
      </c>
      <c r="D5" s="930" t="s">
        <v>772</v>
      </c>
      <c r="E5" s="943">
        <v>45220</v>
      </c>
      <c r="F5" s="931">
        <v>18835.259999999998</v>
      </c>
      <c r="G5" s="936">
        <v>21</v>
      </c>
      <c r="H5" s="932">
        <v>18932.900000000001</v>
      </c>
      <c r="I5" s="945">
        <f t="shared" si="1"/>
        <v>-97.640000000003056</v>
      </c>
      <c r="J5" s="941" t="s">
        <v>773</v>
      </c>
      <c r="K5" s="958"/>
      <c r="L5" s="955"/>
      <c r="M5" s="958"/>
      <c r="N5" s="955"/>
      <c r="O5" s="939">
        <v>4005</v>
      </c>
      <c r="P5" s="1484"/>
      <c r="Q5" s="1359">
        <v>747859.03</v>
      </c>
      <c r="R5" s="1360" t="s">
        <v>853</v>
      </c>
      <c r="S5" s="917">
        <f>Q5+M5+K5+P5</f>
        <v>747859.03</v>
      </c>
      <c r="T5" s="917">
        <f>S5/H5</f>
        <v>39.500500715685391</v>
      </c>
    </row>
    <row r="6" spans="1:20" ht="33" customHeight="1" thickBot="1" x14ac:dyDescent="0.4">
      <c r="A6" s="937">
        <v>4</v>
      </c>
      <c r="B6" s="916" t="s">
        <v>758</v>
      </c>
      <c r="C6" s="941" t="s">
        <v>759</v>
      </c>
      <c r="D6" s="930" t="s">
        <v>774</v>
      </c>
      <c r="E6" s="943">
        <v>45226</v>
      </c>
      <c r="F6" s="931">
        <v>18711.68</v>
      </c>
      <c r="G6" s="936">
        <v>20</v>
      </c>
      <c r="H6" s="932">
        <v>18706.96</v>
      </c>
      <c r="I6" s="945">
        <f t="shared" si="1"/>
        <v>4.7200000000011642</v>
      </c>
      <c r="J6" s="941">
        <v>11786</v>
      </c>
      <c r="K6" s="958">
        <v>11424</v>
      </c>
      <c r="L6" s="955" t="s">
        <v>782</v>
      </c>
      <c r="M6" s="958">
        <v>37120</v>
      </c>
      <c r="N6" s="955" t="s">
        <v>784</v>
      </c>
      <c r="O6" s="939">
        <v>12154</v>
      </c>
      <c r="P6" s="1484">
        <v>4495</v>
      </c>
      <c r="Q6" s="958">
        <f>39390.23*18.23</f>
        <v>718083.89290000009</v>
      </c>
      <c r="R6" s="955" t="s">
        <v>777</v>
      </c>
      <c r="S6" s="917">
        <f t="shared" si="0"/>
        <v>771122.89290000009</v>
      </c>
      <c r="T6" s="917">
        <f t="shared" ref="T6:T8" si="2">S6/H6+0.1</f>
        <v>41.321176123752878</v>
      </c>
    </row>
    <row r="7" spans="1:20" ht="33" customHeight="1" thickBot="1" x14ac:dyDescent="0.4">
      <c r="A7" s="937">
        <v>5</v>
      </c>
      <c r="B7" s="916"/>
      <c r="C7" s="941"/>
      <c r="D7" s="930"/>
      <c r="E7" s="943"/>
      <c r="F7" s="931"/>
      <c r="G7" s="936"/>
      <c r="H7" s="932"/>
      <c r="I7" s="945">
        <f t="shared" si="1"/>
        <v>0</v>
      </c>
      <c r="J7" s="941"/>
      <c r="K7" s="958"/>
      <c r="L7" s="955"/>
      <c r="M7" s="958"/>
      <c r="N7" s="955"/>
      <c r="O7" s="939"/>
      <c r="P7" s="1484"/>
      <c r="Q7" s="958"/>
      <c r="R7" s="955"/>
      <c r="S7" s="917">
        <f t="shared" si="0"/>
        <v>0</v>
      </c>
      <c r="T7" s="917" t="e">
        <f t="shared" si="2"/>
        <v>#DIV/0!</v>
      </c>
    </row>
    <row r="8" spans="1:20" ht="33" customHeight="1" thickBot="1" x14ac:dyDescent="0.4">
      <c r="A8" s="937">
        <v>6</v>
      </c>
      <c r="B8" s="916"/>
      <c r="C8" s="941"/>
      <c r="D8" s="930"/>
      <c r="E8" s="943"/>
      <c r="F8" s="931"/>
      <c r="G8" s="936"/>
      <c r="H8" s="932"/>
      <c r="I8" s="945">
        <f t="shared" si="1"/>
        <v>0</v>
      </c>
      <c r="J8" s="941"/>
      <c r="K8" s="958"/>
      <c r="L8" s="955"/>
      <c r="M8" s="958"/>
      <c r="N8" s="955"/>
      <c r="O8" s="939"/>
      <c r="P8" s="1484"/>
      <c r="Q8" s="958"/>
      <c r="R8" s="955"/>
      <c r="S8" s="917">
        <f t="shared" si="0"/>
        <v>0</v>
      </c>
      <c r="T8" s="917" t="e">
        <f t="shared" si="2"/>
        <v>#DIV/0!</v>
      </c>
    </row>
    <row r="9" spans="1:20" x14ac:dyDescent="0.25">
      <c r="I9" s="915">
        <f t="shared" si="1"/>
        <v>0</v>
      </c>
      <c r="S9" s="898"/>
      <c r="T9" s="898"/>
    </row>
    <row r="10" spans="1:20" x14ac:dyDescent="0.25">
      <c r="I10" s="915">
        <f t="shared" si="1"/>
        <v>0</v>
      </c>
      <c r="S10" s="898"/>
      <c r="T10" s="898"/>
    </row>
    <row r="11" spans="1:20" x14ac:dyDescent="0.25">
      <c r="I11" s="915">
        <f t="shared" si="1"/>
        <v>0</v>
      </c>
      <c r="S11" s="898"/>
      <c r="T11" s="898"/>
    </row>
    <row r="12" spans="1:20" x14ac:dyDescent="0.25">
      <c r="I12" s="915">
        <f>F12-H12</f>
        <v>0</v>
      </c>
      <c r="S12" s="898"/>
      <c r="T12" s="898"/>
    </row>
    <row r="13" spans="1:20" x14ac:dyDescent="0.25">
      <c r="S13" s="898"/>
      <c r="T13" s="898"/>
    </row>
    <row r="14" spans="1:20" x14ac:dyDescent="0.25">
      <c r="S14" s="898"/>
      <c r="T14" s="898"/>
    </row>
    <row r="15" spans="1:20" x14ac:dyDescent="0.25">
      <c r="S15" s="898"/>
      <c r="T15" s="898"/>
    </row>
    <row r="16" spans="1:20" x14ac:dyDescent="0.25">
      <c r="S16" s="898"/>
      <c r="T16" s="898"/>
    </row>
    <row r="17" spans="19:20" x14ac:dyDescent="0.25">
      <c r="S17" s="898"/>
      <c r="T17" s="898"/>
    </row>
    <row r="18" spans="19:20" x14ac:dyDescent="0.25">
      <c r="S18" s="898"/>
      <c r="T18" s="898"/>
    </row>
    <row r="19" spans="19:20" x14ac:dyDescent="0.25">
      <c r="S19" s="898"/>
      <c r="T19" s="898"/>
    </row>
    <row r="20" spans="19:20" x14ac:dyDescent="0.25">
      <c r="S20" s="898"/>
      <c r="T20" s="898"/>
    </row>
    <row r="21" spans="19:20" x14ac:dyDescent="0.25">
      <c r="S21" s="898"/>
      <c r="T21" s="898"/>
    </row>
    <row r="22" spans="19:20" x14ac:dyDescent="0.25">
      <c r="S22" s="898"/>
      <c r="T22" s="898"/>
    </row>
    <row r="23" spans="19:20" x14ac:dyDescent="0.25">
      <c r="S23" s="898"/>
      <c r="T23" s="898"/>
    </row>
    <row r="24" spans="19:20" x14ac:dyDescent="0.25">
      <c r="S24" s="898"/>
      <c r="T24" s="898"/>
    </row>
    <row r="25" spans="19:20" x14ac:dyDescent="0.25">
      <c r="S25" s="898"/>
      <c r="T25" s="898"/>
    </row>
    <row r="26" spans="19:20" x14ac:dyDescent="0.25">
      <c r="S26" s="898"/>
      <c r="T26" s="898"/>
    </row>
    <row r="27" spans="19:20" x14ac:dyDescent="0.25">
      <c r="S27" s="898"/>
      <c r="T27" s="898"/>
    </row>
    <row r="28" spans="19:20" x14ac:dyDescent="0.25">
      <c r="S28" s="898"/>
      <c r="T28" s="898"/>
    </row>
    <row r="29" spans="19:20" x14ac:dyDescent="0.25">
      <c r="S29" s="898"/>
      <c r="T29" s="898"/>
    </row>
    <row r="30" spans="19:20" x14ac:dyDescent="0.25">
      <c r="S30" s="898"/>
      <c r="T30" s="898"/>
    </row>
    <row r="31" spans="19:20" x14ac:dyDescent="0.25">
      <c r="S31" s="898"/>
      <c r="T31" s="898"/>
    </row>
    <row r="32" spans="19:20" x14ac:dyDescent="0.25">
      <c r="S32" s="898"/>
      <c r="T32" s="898"/>
    </row>
    <row r="33" spans="19:20" x14ac:dyDescent="0.25">
      <c r="S33" s="898"/>
      <c r="T33" s="898"/>
    </row>
    <row r="34" spans="19:20" x14ac:dyDescent="0.25">
      <c r="S34" s="898"/>
      <c r="T34" s="898"/>
    </row>
    <row r="35" spans="19:20" x14ac:dyDescent="0.25">
      <c r="S35" s="898"/>
      <c r="T35" s="898"/>
    </row>
    <row r="36" spans="19:20" x14ac:dyDescent="0.25">
      <c r="S36" s="898"/>
      <c r="T36" s="898"/>
    </row>
    <row r="37" spans="19:20" x14ac:dyDescent="0.25">
      <c r="S37" s="898"/>
      <c r="T37" s="898"/>
    </row>
    <row r="38" spans="19:20" x14ac:dyDescent="0.25">
      <c r="S38" s="898"/>
      <c r="T38" s="898"/>
    </row>
    <row r="39" spans="19:20" x14ac:dyDescent="0.25">
      <c r="S39" s="898"/>
      <c r="T39" s="898"/>
    </row>
    <row r="40" spans="19:20" x14ac:dyDescent="0.25">
      <c r="S40" s="898"/>
      <c r="T40" s="898"/>
    </row>
    <row r="41" spans="19:20" x14ac:dyDescent="0.25">
      <c r="S41" s="898"/>
      <c r="T41" s="898"/>
    </row>
    <row r="42" spans="19:20" x14ac:dyDescent="0.25">
      <c r="S42" s="898"/>
      <c r="T42" s="898"/>
    </row>
    <row r="43" spans="19:20" x14ac:dyDescent="0.25">
      <c r="S43" s="898"/>
      <c r="T43" s="898"/>
    </row>
    <row r="44" spans="19:20" x14ac:dyDescent="0.25">
      <c r="S44" s="898"/>
      <c r="T44" s="898"/>
    </row>
    <row r="45" spans="19:20" x14ac:dyDescent="0.25">
      <c r="S45" s="898"/>
      <c r="T45" s="898"/>
    </row>
    <row r="46" spans="19:20" x14ac:dyDescent="0.25">
      <c r="S46" s="898"/>
      <c r="T46" s="898"/>
    </row>
    <row r="47" spans="19:20" x14ac:dyDescent="0.25">
      <c r="S47" s="898"/>
      <c r="T47" s="898"/>
    </row>
    <row r="48" spans="19:20" x14ac:dyDescent="0.25">
      <c r="S48" s="898"/>
      <c r="T48" s="898"/>
    </row>
    <row r="49" spans="19:20" x14ac:dyDescent="0.25">
      <c r="S49" s="898"/>
      <c r="T49" s="898"/>
    </row>
    <row r="50" spans="19:20" x14ac:dyDescent="0.25">
      <c r="S50" s="898"/>
      <c r="T50" s="898"/>
    </row>
    <row r="51" spans="19:20" x14ac:dyDescent="0.25">
      <c r="S51" s="898"/>
      <c r="T51" s="898"/>
    </row>
    <row r="52" spans="19:20" x14ac:dyDescent="0.25">
      <c r="S52" s="898"/>
      <c r="T52" s="898"/>
    </row>
    <row r="53" spans="19:20" x14ac:dyDescent="0.25">
      <c r="S53" s="898"/>
      <c r="T53" s="898"/>
    </row>
    <row r="54" spans="19:20" x14ac:dyDescent="0.25">
      <c r="S54" s="898"/>
      <c r="T54" s="898"/>
    </row>
    <row r="55" spans="19:20" x14ac:dyDescent="0.25">
      <c r="S55" s="898"/>
      <c r="T55" s="898"/>
    </row>
    <row r="56" spans="19:20" x14ac:dyDescent="0.25">
      <c r="S56" s="898"/>
      <c r="T56" s="898"/>
    </row>
    <row r="57" spans="19:20" x14ac:dyDescent="0.25">
      <c r="S57" s="898"/>
      <c r="T57" s="898"/>
    </row>
    <row r="58" spans="19:20" x14ac:dyDescent="0.25">
      <c r="S58" s="898"/>
      <c r="T58" s="898"/>
    </row>
    <row r="59" spans="19:20" x14ac:dyDescent="0.25">
      <c r="S59" s="898"/>
      <c r="T59" s="898"/>
    </row>
    <row r="60" spans="19:20" x14ac:dyDescent="0.25">
      <c r="S60" s="898"/>
      <c r="T60" s="898"/>
    </row>
    <row r="61" spans="19:20" x14ac:dyDescent="0.25">
      <c r="S61" s="898"/>
      <c r="T61" s="898"/>
    </row>
    <row r="62" spans="19:20" x14ac:dyDescent="0.25">
      <c r="S62" s="898"/>
      <c r="T62" s="898"/>
    </row>
    <row r="63" spans="19:20" x14ac:dyDescent="0.25">
      <c r="S63" s="898"/>
      <c r="T63" s="898"/>
    </row>
    <row r="64" spans="19:20" x14ac:dyDescent="0.25">
      <c r="S64" s="898"/>
      <c r="T64" s="898"/>
    </row>
    <row r="65" spans="19:20" x14ac:dyDescent="0.25">
      <c r="S65" s="898"/>
      <c r="T65" s="898"/>
    </row>
    <row r="66" spans="19:20" x14ac:dyDescent="0.25">
      <c r="S66" s="898"/>
      <c r="T66" s="898"/>
    </row>
    <row r="67" spans="19:20" x14ac:dyDescent="0.25">
      <c r="S67" s="898"/>
      <c r="T67" s="898"/>
    </row>
    <row r="68" spans="19:20" x14ac:dyDescent="0.25">
      <c r="S68" s="898"/>
      <c r="T68" s="898"/>
    </row>
    <row r="69" spans="19:20" x14ac:dyDescent="0.25">
      <c r="S69" s="898"/>
      <c r="T69" s="898"/>
    </row>
    <row r="70" spans="19:20" x14ac:dyDescent="0.25">
      <c r="S70" s="898"/>
      <c r="T70" s="898"/>
    </row>
    <row r="71" spans="19:20" x14ac:dyDescent="0.25">
      <c r="S71" s="898"/>
      <c r="T71" s="898"/>
    </row>
    <row r="72" spans="19:20" x14ac:dyDescent="0.25">
      <c r="S72" s="898"/>
      <c r="T72" s="898"/>
    </row>
    <row r="73" spans="19:20" x14ac:dyDescent="0.25">
      <c r="S73" s="898"/>
      <c r="T73" s="898"/>
    </row>
    <row r="74" spans="19:20" x14ac:dyDescent="0.25">
      <c r="S74" s="898"/>
      <c r="T74" s="898"/>
    </row>
    <row r="75" spans="19:20" x14ac:dyDescent="0.25">
      <c r="S75" s="898"/>
      <c r="T75" s="898"/>
    </row>
    <row r="76" spans="19:20" x14ac:dyDescent="0.25">
      <c r="S76" s="898"/>
      <c r="T76" s="898"/>
    </row>
    <row r="77" spans="19:20" x14ac:dyDescent="0.25">
      <c r="S77" s="898"/>
      <c r="T77" s="898"/>
    </row>
    <row r="78" spans="19:20" x14ac:dyDescent="0.25">
      <c r="S78" s="898"/>
      <c r="T78" s="898"/>
    </row>
    <row r="79" spans="19:20" x14ac:dyDescent="0.25">
      <c r="S79" s="898"/>
      <c r="T79" s="898"/>
    </row>
    <row r="80" spans="19:20" x14ac:dyDescent="0.25">
      <c r="S80" s="898"/>
      <c r="T80" s="898"/>
    </row>
    <row r="81" spans="19:20" x14ac:dyDescent="0.25">
      <c r="S81" s="898"/>
      <c r="T81" s="898"/>
    </row>
    <row r="82" spans="19:20" x14ac:dyDescent="0.25">
      <c r="S82" s="898"/>
      <c r="T82" s="898"/>
    </row>
    <row r="83" spans="19:20" x14ac:dyDescent="0.25">
      <c r="S83" s="898"/>
      <c r="T83" s="898"/>
    </row>
    <row r="84" spans="19:20" x14ac:dyDescent="0.25">
      <c r="S84" s="898"/>
      <c r="T84" s="898"/>
    </row>
    <row r="85" spans="19:20" x14ac:dyDescent="0.25">
      <c r="S85" s="898"/>
      <c r="T85" s="898"/>
    </row>
    <row r="86" spans="19:20" x14ac:dyDescent="0.25">
      <c r="S86" s="898"/>
      <c r="T86" s="898"/>
    </row>
    <row r="87" spans="19:20" x14ac:dyDescent="0.25">
      <c r="S87" s="898"/>
      <c r="T87" s="898"/>
    </row>
    <row r="88" spans="19:20" x14ac:dyDescent="0.25">
      <c r="S88" s="898"/>
      <c r="T88" s="898"/>
    </row>
    <row r="89" spans="19:20" x14ac:dyDescent="0.25">
      <c r="S89" s="898"/>
      <c r="T89" s="898"/>
    </row>
    <row r="90" spans="19:20" x14ac:dyDescent="0.25">
      <c r="S90" s="898"/>
      <c r="T90" s="898"/>
    </row>
    <row r="91" spans="19:20" x14ac:dyDescent="0.25">
      <c r="S91" s="898"/>
      <c r="T91" s="898"/>
    </row>
    <row r="92" spans="19:20" x14ac:dyDescent="0.25">
      <c r="S92" s="898"/>
      <c r="T92" s="898"/>
    </row>
    <row r="93" spans="19:20" x14ac:dyDescent="0.25">
      <c r="S93" s="898"/>
      <c r="T93" s="898"/>
    </row>
    <row r="94" spans="19:20" x14ac:dyDescent="0.25">
      <c r="S94" s="898"/>
      <c r="T94" s="898"/>
    </row>
    <row r="95" spans="19:20" x14ac:dyDescent="0.25">
      <c r="S95" s="898"/>
      <c r="T95" s="898"/>
    </row>
    <row r="96" spans="19:20" x14ac:dyDescent="0.25">
      <c r="S96" s="898"/>
      <c r="T96" s="906"/>
    </row>
    <row r="97" spans="19:20" x14ac:dyDescent="0.25">
      <c r="S97" s="898"/>
      <c r="T97" s="906"/>
    </row>
    <row r="98" spans="19:20" x14ac:dyDescent="0.25">
      <c r="S98" s="898"/>
      <c r="T98" s="906"/>
    </row>
    <row r="99" spans="19:20" x14ac:dyDescent="0.25">
      <c r="S99" s="898"/>
      <c r="T99" s="906"/>
    </row>
    <row r="100" spans="19:20" x14ac:dyDescent="0.25">
      <c r="S100" s="898"/>
      <c r="T100" s="906"/>
    </row>
    <row r="101" spans="19:20" x14ac:dyDescent="0.25">
      <c r="S101" s="898"/>
      <c r="T101" s="906"/>
    </row>
    <row r="102" spans="19:20" x14ac:dyDescent="0.25">
      <c r="S102" s="898"/>
      <c r="T102" s="906"/>
    </row>
    <row r="103" spans="19:20" x14ac:dyDescent="0.25">
      <c r="S103" s="898"/>
      <c r="T103" s="906"/>
    </row>
    <row r="104" spans="19:20" x14ac:dyDescent="0.25">
      <c r="S104" s="898"/>
      <c r="T104" s="906"/>
    </row>
    <row r="105" spans="19:20" x14ac:dyDescent="0.25">
      <c r="S105" s="898"/>
      <c r="T105" s="906"/>
    </row>
    <row r="106" spans="19:20" x14ac:dyDescent="0.25">
      <c r="S106" s="898"/>
      <c r="T106" s="906"/>
    </row>
    <row r="107" spans="19:20" x14ac:dyDescent="0.25">
      <c r="S107" s="898"/>
      <c r="T107" s="906"/>
    </row>
    <row r="108" spans="19:20" x14ac:dyDescent="0.25">
      <c r="S108" s="898"/>
      <c r="T108" s="906"/>
    </row>
    <row r="109" spans="19:20" x14ac:dyDescent="0.25">
      <c r="S109" s="898"/>
      <c r="T109" s="906"/>
    </row>
    <row r="110" spans="19:20" x14ac:dyDescent="0.25">
      <c r="S110" s="898"/>
      <c r="T110" s="906"/>
    </row>
    <row r="111" spans="19:20" x14ac:dyDescent="0.25">
      <c r="S111" s="898"/>
      <c r="T111" s="906"/>
    </row>
    <row r="112" spans="19:20" x14ac:dyDescent="0.25">
      <c r="S112" s="898"/>
      <c r="T112" s="906"/>
    </row>
    <row r="113" spans="19:20" x14ac:dyDescent="0.25">
      <c r="S113" s="898"/>
      <c r="T113" s="906"/>
    </row>
    <row r="114" spans="19:20" x14ac:dyDescent="0.25">
      <c r="S114" s="898"/>
      <c r="T114" s="906"/>
    </row>
    <row r="115" spans="19:20" x14ac:dyDescent="0.25">
      <c r="S115" s="898"/>
      <c r="T115" s="906"/>
    </row>
    <row r="116" spans="19:20" x14ac:dyDescent="0.25">
      <c r="S116" s="898"/>
      <c r="T116" s="906"/>
    </row>
    <row r="117" spans="19:20" x14ac:dyDescent="0.25">
      <c r="S117" s="898"/>
      <c r="T117" s="906"/>
    </row>
    <row r="118" spans="19:20" x14ac:dyDescent="0.25">
      <c r="S118" s="898"/>
      <c r="T118" s="906"/>
    </row>
    <row r="119" spans="19:20" x14ac:dyDescent="0.25">
      <c r="S119" s="898"/>
      <c r="T119" s="907"/>
    </row>
    <row r="120" spans="19:20" x14ac:dyDescent="0.25">
      <c r="S120" s="898"/>
      <c r="T120" s="906"/>
    </row>
    <row r="121" spans="19:20" x14ac:dyDescent="0.25">
      <c r="S121" s="898"/>
      <c r="T121" s="906"/>
    </row>
    <row r="122" spans="19:20" x14ac:dyDescent="0.25">
      <c r="S122" s="908"/>
      <c r="T122" s="907"/>
    </row>
    <row r="123" spans="19:20" x14ac:dyDescent="0.25">
      <c r="S123" s="898"/>
      <c r="T123" s="906"/>
    </row>
    <row r="124" spans="19:20" x14ac:dyDescent="0.25">
      <c r="S124" s="898"/>
      <c r="T124" s="906"/>
    </row>
    <row r="125" spans="19:20" x14ac:dyDescent="0.25">
      <c r="S125" s="898"/>
      <c r="T125" s="906"/>
    </row>
    <row r="126" spans="19:20" x14ac:dyDescent="0.25">
      <c r="S126" s="898"/>
      <c r="T126" s="906"/>
    </row>
    <row r="127" spans="19:20" x14ac:dyDescent="0.25">
      <c r="S127" s="898"/>
      <c r="T127" s="906"/>
    </row>
    <row r="128" spans="19:20" x14ac:dyDescent="0.25">
      <c r="S128" s="898"/>
      <c r="T128" s="906"/>
    </row>
    <row r="129" spans="19:20" x14ac:dyDescent="0.25">
      <c r="S129" s="898"/>
      <c r="T129" s="906"/>
    </row>
    <row r="130" spans="19:20" x14ac:dyDescent="0.25">
      <c r="S130" s="898"/>
      <c r="T130" s="906"/>
    </row>
    <row r="131" spans="19:20" x14ac:dyDescent="0.25">
      <c r="S131" s="898"/>
      <c r="T131" s="906"/>
    </row>
    <row r="132" spans="19:20" x14ac:dyDescent="0.25">
      <c r="S132" s="898"/>
      <c r="T132" s="906"/>
    </row>
    <row r="133" spans="19:20" x14ac:dyDescent="0.25">
      <c r="S133" s="898"/>
      <c r="T133" s="906"/>
    </row>
    <row r="134" spans="19:20" x14ac:dyDescent="0.25">
      <c r="S134" s="898"/>
      <c r="T134" s="906"/>
    </row>
    <row r="135" spans="19:20" x14ac:dyDescent="0.25">
      <c r="S135" s="898"/>
      <c r="T135" s="906"/>
    </row>
    <row r="136" spans="19:20" x14ac:dyDescent="0.25">
      <c r="S136" s="898"/>
      <c r="T136" s="906"/>
    </row>
    <row r="137" spans="19:20" x14ac:dyDescent="0.25">
      <c r="S137" s="898"/>
      <c r="T137" s="906"/>
    </row>
    <row r="138" spans="19:20" x14ac:dyDescent="0.25">
      <c r="S138" s="898"/>
      <c r="T138" s="906"/>
    </row>
    <row r="139" spans="19:20" x14ac:dyDescent="0.25">
      <c r="S139" s="898"/>
      <c r="T139" s="906"/>
    </row>
    <row r="140" spans="19:20" x14ac:dyDescent="0.25">
      <c r="S140" s="898"/>
      <c r="T140" s="906"/>
    </row>
    <row r="141" spans="19:20" x14ac:dyDescent="0.25">
      <c r="S141" s="898"/>
      <c r="T141" s="906"/>
    </row>
    <row r="142" spans="19:20" x14ac:dyDescent="0.25">
      <c r="S142" s="898"/>
      <c r="T142" s="906"/>
    </row>
    <row r="143" spans="19:20" x14ac:dyDescent="0.25">
      <c r="S143" s="898"/>
      <c r="T143" s="906"/>
    </row>
    <row r="144" spans="19:20" x14ac:dyDescent="0.25">
      <c r="S144" s="898"/>
      <c r="T144" s="906"/>
    </row>
    <row r="145" spans="19:20" x14ac:dyDescent="0.25">
      <c r="S145" s="898"/>
      <c r="T145" s="906"/>
    </row>
    <row r="146" spans="19:20" x14ac:dyDescent="0.25">
      <c r="S146" s="898"/>
      <c r="T146" s="906"/>
    </row>
    <row r="147" spans="19:20" x14ac:dyDescent="0.25">
      <c r="S147" s="898"/>
      <c r="T147" s="906"/>
    </row>
    <row r="148" spans="19:20" x14ac:dyDescent="0.25">
      <c r="S148" s="898"/>
      <c r="T148" s="907"/>
    </row>
    <row r="149" spans="19:20" x14ac:dyDescent="0.25">
      <c r="S149" s="898"/>
      <c r="T149" s="907"/>
    </row>
    <row r="150" spans="19:20" x14ac:dyDescent="0.25">
      <c r="S150" s="898"/>
      <c r="T150" s="907"/>
    </row>
    <row r="151" spans="19:20" x14ac:dyDescent="0.25">
      <c r="S151" s="898"/>
      <c r="T151" s="906"/>
    </row>
    <row r="152" spans="19:20" x14ac:dyDescent="0.25">
      <c r="S152" s="898"/>
      <c r="T152" s="906"/>
    </row>
    <row r="153" spans="19:20" x14ac:dyDescent="0.25">
      <c r="S153" s="898"/>
      <c r="T153" s="906"/>
    </row>
    <row r="154" spans="19:20" x14ac:dyDescent="0.25">
      <c r="S154" s="898"/>
      <c r="T154" s="906"/>
    </row>
    <row r="155" spans="19:20" x14ac:dyDescent="0.25">
      <c r="S155" s="898"/>
      <c r="T155" s="906"/>
    </row>
    <row r="156" spans="19:20" x14ac:dyDescent="0.25">
      <c r="S156" s="898"/>
      <c r="T156" s="906"/>
    </row>
    <row r="157" spans="19:20" x14ac:dyDescent="0.25">
      <c r="S157" s="898"/>
      <c r="T157" s="906"/>
    </row>
    <row r="158" spans="19:20" x14ac:dyDescent="0.25">
      <c r="S158" s="898"/>
      <c r="T158" s="906"/>
    </row>
    <row r="159" spans="19:20" x14ac:dyDescent="0.25">
      <c r="S159" s="898"/>
      <c r="T159" s="906"/>
    </row>
    <row r="160" spans="19:20" x14ac:dyDescent="0.25">
      <c r="S160" s="898"/>
      <c r="T160" s="906"/>
    </row>
    <row r="161" spans="19:20" x14ac:dyDescent="0.25">
      <c r="S161" s="898"/>
      <c r="T161" s="906"/>
    </row>
    <row r="162" spans="19:20" x14ac:dyDescent="0.25">
      <c r="S162" s="898"/>
      <c r="T162" s="906"/>
    </row>
    <row r="163" spans="19:20" x14ac:dyDescent="0.25">
      <c r="S163" s="898"/>
      <c r="T163" s="906"/>
    </row>
    <row r="164" spans="19:20" x14ac:dyDescent="0.25">
      <c r="S164" s="898"/>
      <c r="T164" s="906"/>
    </row>
    <row r="165" spans="19:20" x14ac:dyDescent="0.25">
      <c r="S165" s="898"/>
      <c r="T165" s="906"/>
    </row>
    <row r="166" spans="19:20" x14ac:dyDescent="0.25">
      <c r="S166" s="898"/>
      <c r="T166" s="906"/>
    </row>
    <row r="167" spans="19:20" x14ac:dyDescent="0.25">
      <c r="S167" s="898"/>
      <c r="T167" s="898"/>
    </row>
    <row r="168" spans="19:20" x14ac:dyDescent="0.25">
      <c r="S168" s="898"/>
      <c r="T168" s="898"/>
    </row>
    <row r="169" spans="19:20" x14ac:dyDescent="0.25">
      <c r="S169" s="898"/>
      <c r="T169" s="898"/>
    </row>
    <row r="170" spans="19:20" x14ac:dyDescent="0.25">
      <c r="S170" s="898"/>
      <c r="T170" s="898"/>
    </row>
    <row r="171" spans="19:20" x14ac:dyDescent="0.25">
      <c r="S171" s="898"/>
      <c r="T171" s="898"/>
    </row>
    <row r="172" spans="19:20" x14ac:dyDescent="0.25">
      <c r="S172" s="898"/>
      <c r="T172" s="898"/>
    </row>
    <row r="173" spans="19:20" x14ac:dyDescent="0.25">
      <c r="S173" s="898"/>
      <c r="T173" s="898"/>
    </row>
    <row r="174" spans="19:20" x14ac:dyDescent="0.25">
      <c r="S174" s="898"/>
      <c r="T174" s="898"/>
    </row>
    <row r="175" spans="19:20" x14ac:dyDescent="0.25">
      <c r="S175" s="898"/>
      <c r="T175" s="898"/>
    </row>
    <row r="176" spans="19:20" x14ac:dyDescent="0.25">
      <c r="S176" s="898"/>
      <c r="T176" s="898"/>
    </row>
    <row r="177" spans="19:20" x14ac:dyDescent="0.25">
      <c r="S177" s="898"/>
      <c r="T177" s="898"/>
    </row>
    <row r="178" spans="19:20" x14ac:dyDescent="0.25">
      <c r="S178" s="898"/>
      <c r="T178" s="898"/>
    </row>
    <row r="179" spans="19:20" x14ac:dyDescent="0.25">
      <c r="S179" s="898"/>
      <c r="T179" s="898"/>
    </row>
    <row r="180" spans="19:20" x14ac:dyDescent="0.25">
      <c r="S180" s="898"/>
      <c r="T180" s="898"/>
    </row>
    <row r="181" spans="19:20" ht="16.5" thickBot="1" x14ac:dyDescent="0.3">
      <c r="S181" s="898"/>
      <c r="T181" s="898"/>
    </row>
    <row r="182" spans="19:20" ht="17.25" thickTop="1" thickBot="1" x14ac:dyDescent="0.3">
      <c r="S182" s="909">
        <f>Q182+M182+K182</f>
        <v>0</v>
      </c>
      <c r="T182" s="898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0"/>
  <sheetViews>
    <sheetView workbookViewId="0">
      <pane xSplit="8" ySplit="4" topLeftCell="I11" activePane="bottomRight" state="frozen"/>
      <selection pane="topRight" activeCell="I1" sqref="I1"/>
      <selection pane="bottomLeft" activeCell="A5" sqref="A5"/>
      <selection pane="bottomRight" activeCell="H20" sqref="H20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75" t="s">
        <v>790</v>
      </c>
      <c r="B1" s="1675"/>
      <c r="C1" s="1675"/>
      <c r="D1" s="1675"/>
      <c r="E1" s="1675"/>
      <c r="F1" s="1675"/>
      <c r="G1" s="1675"/>
      <c r="H1" s="1675"/>
      <c r="I1" s="1675"/>
      <c r="J1" s="1675"/>
      <c r="K1" s="1675"/>
      <c r="L1" s="363"/>
      <c r="M1" s="562"/>
      <c r="N1" s="363"/>
      <c r="O1" s="363"/>
      <c r="P1" s="364"/>
      <c r="T1" s="1676" t="s">
        <v>0</v>
      </c>
      <c r="U1" s="1676"/>
      <c r="V1" s="4" t="s">
        <v>1</v>
      </c>
      <c r="W1" s="5" t="s">
        <v>2</v>
      </c>
      <c r="X1" s="1678" t="s">
        <v>3</v>
      </c>
      <c r="Y1" s="1679"/>
    </row>
    <row r="2" spans="1:25" ht="24" thickBot="1" x14ac:dyDescent="0.4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1675"/>
      <c r="L2" s="365"/>
      <c r="M2" s="563"/>
      <c r="N2" s="365"/>
      <c r="O2" s="366"/>
      <c r="P2" s="367"/>
      <c r="R2" s="6"/>
      <c r="S2" s="7"/>
      <c r="T2" s="1677"/>
      <c r="U2" s="1677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206" t="s">
        <v>809</v>
      </c>
      <c r="D3" s="14" t="s">
        <v>7</v>
      </c>
      <c r="E3" s="15" t="s">
        <v>8</v>
      </c>
      <c r="F3" s="1223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74" t="s">
        <v>16</v>
      </c>
      <c r="Q3" s="2075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1">
        <v>11462</v>
      </c>
      <c r="D4" s="1011"/>
      <c r="E4" s="1211">
        <f>D4*G4</f>
        <v>0</v>
      </c>
      <c r="F4" s="1222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5"/>
      <c r="S4" s="1036"/>
      <c r="T4" s="1037"/>
      <c r="U4" s="176"/>
      <c r="V4" s="887"/>
      <c r="W4" s="888"/>
      <c r="X4" s="472"/>
      <c r="Y4" s="996"/>
    </row>
    <row r="5" spans="1:25" ht="33" customHeight="1" thickTop="1" thickBot="1" x14ac:dyDescent="0.4">
      <c r="A5" s="797" t="s">
        <v>823</v>
      </c>
      <c r="B5" s="559" t="s">
        <v>59</v>
      </c>
      <c r="C5" s="2076">
        <v>11471</v>
      </c>
      <c r="D5" s="1224"/>
      <c r="E5" s="1211">
        <f>D5*G5</f>
        <v>0</v>
      </c>
      <c r="F5" s="1214"/>
      <c r="G5" s="1226">
        <v>23470</v>
      </c>
      <c r="H5" s="2078">
        <v>45233</v>
      </c>
      <c r="I5" s="1433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938</v>
      </c>
      <c r="W5" s="50">
        <v>3944</v>
      </c>
      <c r="X5" s="1038" t="s">
        <v>890</v>
      </c>
      <c r="Y5" s="145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077"/>
      <c r="D6" s="1225"/>
      <c r="E6" s="1211">
        <f>D6*G6</f>
        <v>0</v>
      </c>
      <c r="F6" s="1214"/>
      <c r="G6" s="1226">
        <v>0</v>
      </c>
      <c r="H6" s="2079"/>
      <c r="I6" s="1433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8" t="s">
        <v>890</v>
      </c>
      <c r="Y6" s="998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5">
        <v>11477</v>
      </c>
      <c r="D7" s="56"/>
      <c r="E7" s="1211">
        <f>D7*G7</f>
        <v>0</v>
      </c>
      <c r="F7" s="1214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39">
        <v>45257</v>
      </c>
      <c r="R7" s="210"/>
      <c r="S7" s="208"/>
      <c r="T7" s="176"/>
      <c r="U7" s="48"/>
      <c r="V7" s="49"/>
      <c r="W7" s="50"/>
      <c r="X7" s="111"/>
      <c r="Y7" s="998"/>
    </row>
    <row r="8" spans="1:25" ht="28.5" customHeight="1" thickTop="1" thickBot="1" x14ac:dyDescent="0.4">
      <c r="A8" s="53" t="s">
        <v>31</v>
      </c>
      <c r="B8" s="613" t="s">
        <v>94</v>
      </c>
      <c r="C8" s="1489">
        <v>11479</v>
      </c>
      <c r="D8" s="56"/>
      <c r="E8" s="1211">
        <f>D8*G8</f>
        <v>0</v>
      </c>
      <c r="F8" s="1214"/>
      <c r="G8" s="802">
        <v>23460</v>
      </c>
      <c r="H8" s="1492">
        <v>45238</v>
      </c>
      <c r="I8" s="1493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39">
        <v>45259</v>
      </c>
      <c r="R8" s="210"/>
      <c r="S8" s="208"/>
      <c r="T8" s="176"/>
      <c r="U8" s="48"/>
      <c r="V8" s="1603"/>
      <c r="W8" s="1607"/>
      <c r="X8" s="111"/>
      <c r="Y8" s="998"/>
    </row>
    <row r="9" spans="1:25" ht="36" thickTop="1" thickBot="1" x14ac:dyDescent="0.4">
      <c r="A9" s="767" t="s">
        <v>823</v>
      </c>
      <c r="B9" s="613" t="s">
        <v>60</v>
      </c>
      <c r="C9" s="2080">
        <v>11484</v>
      </c>
      <c r="D9" s="1367"/>
      <c r="E9" s="1211">
        <f t="shared" ref="E9:E63" si="2">D9*G9</f>
        <v>0</v>
      </c>
      <c r="F9" s="1214"/>
      <c r="G9" s="1491">
        <v>24950</v>
      </c>
      <c r="H9" s="2078">
        <v>45240</v>
      </c>
      <c r="I9" s="1494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39">
        <v>45260</v>
      </c>
      <c r="R9" s="210">
        <v>31400</v>
      </c>
      <c r="S9" s="208">
        <v>45240</v>
      </c>
      <c r="T9" s="176"/>
      <c r="U9" s="1354"/>
      <c r="V9" s="2082" t="s">
        <v>938</v>
      </c>
      <c r="W9" s="2084">
        <v>5568</v>
      </c>
      <c r="X9" s="1606" t="s">
        <v>890</v>
      </c>
      <c r="Y9" s="1457">
        <v>4176</v>
      </c>
    </row>
    <row r="10" spans="1:25" ht="36" thickTop="1" thickBot="1" x14ac:dyDescent="0.4">
      <c r="A10" s="767" t="s">
        <v>908</v>
      </c>
      <c r="B10" s="613" t="s">
        <v>488</v>
      </c>
      <c r="C10" s="2081"/>
      <c r="D10" s="1367"/>
      <c r="E10" s="1211">
        <f t="shared" si="2"/>
        <v>0</v>
      </c>
      <c r="F10" s="1214"/>
      <c r="G10" s="1491">
        <v>0</v>
      </c>
      <c r="H10" s="2079"/>
      <c r="I10" s="1495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39">
        <v>45260</v>
      </c>
      <c r="R10" s="210"/>
      <c r="S10" s="208"/>
      <c r="T10" s="176"/>
      <c r="U10" s="1354"/>
      <c r="V10" s="2083"/>
      <c r="W10" s="2085"/>
      <c r="X10" s="1606"/>
      <c r="Y10" s="1457"/>
    </row>
    <row r="11" spans="1:25" ht="39.75" customHeight="1" thickTop="1" thickBot="1" x14ac:dyDescent="0.4">
      <c r="A11" s="76" t="s">
        <v>31</v>
      </c>
      <c r="B11" s="613" t="s">
        <v>94</v>
      </c>
      <c r="C11" s="1490">
        <v>114941</v>
      </c>
      <c r="D11" s="56"/>
      <c r="E11" s="1211">
        <f t="shared" si="2"/>
        <v>0</v>
      </c>
      <c r="F11" s="1214"/>
      <c r="G11" s="802">
        <v>22160</v>
      </c>
      <c r="H11" s="657">
        <v>45242</v>
      </c>
      <c r="I11" s="1561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62" t="s">
        <v>64</v>
      </c>
      <c r="Q11" s="1563">
        <v>45264</v>
      </c>
      <c r="R11" s="210"/>
      <c r="S11" s="208"/>
      <c r="T11" s="176"/>
      <c r="U11" s="48"/>
      <c r="V11" s="960"/>
      <c r="W11" s="961"/>
      <c r="X11" s="1008"/>
      <c r="Y11" s="997"/>
    </row>
    <row r="12" spans="1:25" ht="31.5" customHeight="1" thickTop="1" thickBot="1" x14ac:dyDescent="0.4">
      <c r="A12" s="76" t="s">
        <v>867</v>
      </c>
      <c r="B12" s="613" t="s">
        <v>623</v>
      </c>
      <c r="C12" s="2037">
        <v>11499</v>
      </c>
      <c r="D12" s="1367"/>
      <c r="E12" s="1211">
        <f t="shared" si="2"/>
        <v>0</v>
      </c>
      <c r="F12" s="1214"/>
      <c r="G12" s="802">
        <v>21640</v>
      </c>
      <c r="H12" s="658">
        <v>45247</v>
      </c>
      <c r="I12" s="453" t="s">
        <v>933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62" t="s">
        <v>22</v>
      </c>
      <c r="Q12" s="1563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8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038"/>
      <c r="D13" s="1367"/>
      <c r="E13" s="1211">
        <f t="shared" si="2"/>
        <v>0</v>
      </c>
      <c r="F13" s="1214"/>
      <c r="G13" s="802">
        <v>5540</v>
      </c>
      <c r="H13" s="658">
        <v>45247</v>
      </c>
      <c r="I13" s="453" t="s">
        <v>934</v>
      </c>
      <c r="J13" s="817">
        <v>5540</v>
      </c>
      <c r="K13" s="39">
        <f t="shared" si="0"/>
        <v>0</v>
      </c>
      <c r="L13" s="40">
        <v>36</v>
      </c>
      <c r="M13" s="1871"/>
      <c r="N13" s="1872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8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6">
        <v>11507</v>
      </c>
      <c r="D14" s="56"/>
      <c r="E14" s="1211">
        <f t="shared" si="2"/>
        <v>0</v>
      </c>
      <c r="F14" s="1214"/>
      <c r="G14" s="802">
        <v>24270</v>
      </c>
      <c r="H14" s="658">
        <v>45250</v>
      </c>
      <c r="I14" s="506">
        <v>44463</v>
      </c>
      <c r="J14" s="817">
        <v>24270</v>
      </c>
      <c r="K14" s="39">
        <f t="shared" si="0"/>
        <v>0</v>
      </c>
      <c r="L14" s="40">
        <v>49.8</v>
      </c>
      <c r="M14" s="973"/>
      <c r="N14" s="973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8"/>
    </row>
    <row r="15" spans="1:25" ht="30.75" customHeight="1" thickTop="1" thickBot="1" x14ac:dyDescent="0.4">
      <c r="A15" s="76" t="s">
        <v>31</v>
      </c>
      <c r="B15" s="613" t="s">
        <v>45</v>
      </c>
      <c r="C15" s="1476">
        <v>11513</v>
      </c>
      <c r="D15" s="56"/>
      <c r="E15" s="1211">
        <f t="shared" si="2"/>
        <v>0</v>
      </c>
      <c r="F15" s="1214"/>
      <c r="G15" s="802">
        <v>24470</v>
      </c>
      <c r="H15" s="658">
        <v>45253</v>
      </c>
      <c r="I15" s="453">
        <v>44507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 t="s">
        <v>21</v>
      </c>
      <c r="Q15" s="481">
        <v>45278</v>
      </c>
      <c r="R15" s="210"/>
      <c r="S15" s="208"/>
      <c r="T15" s="176"/>
      <c r="U15" s="48"/>
      <c r="V15" s="1603"/>
      <c r="W15" s="1607"/>
      <c r="X15" s="111"/>
      <c r="Y15" s="998"/>
    </row>
    <row r="16" spans="1:25" ht="34.5" customHeight="1" thickTop="1" thickBot="1" x14ac:dyDescent="0.4">
      <c r="A16" s="53" t="s">
        <v>878</v>
      </c>
      <c r="B16" s="613" t="s">
        <v>60</v>
      </c>
      <c r="C16" s="2037" t="s">
        <v>897</v>
      </c>
      <c r="D16" s="1367"/>
      <c r="E16" s="1211">
        <f t="shared" si="2"/>
        <v>0</v>
      </c>
      <c r="F16" s="1214"/>
      <c r="G16" s="802">
        <v>21860</v>
      </c>
      <c r="H16" s="658">
        <v>45254</v>
      </c>
      <c r="I16" s="453">
        <v>9663</v>
      </c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 t="s">
        <v>947</v>
      </c>
      <c r="Q16" s="481">
        <v>45278</v>
      </c>
      <c r="R16" s="210"/>
      <c r="S16" s="208"/>
      <c r="T16" s="176"/>
      <c r="U16" s="1354"/>
      <c r="V16" s="2003" t="s">
        <v>960</v>
      </c>
      <c r="W16" s="2005">
        <v>5568</v>
      </c>
      <c r="X16" s="1643" t="s">
        <v>961</v>
      </c>
      <c r="Y16" s="998">
        <v>4176</v>
      </c>
    </row>
    <row r="17" spans="1:25" ht="27.75" customHeight="1" thickTop="1" thickBot="1" x14ac:dyDescent="0.4">
      <c r="A17" s="53" t="s">
        <v>879</v>
      </c>
      <c r="B17" s="54" t="s">
        <v>488</v>
      </c>
      <c r="C17" s="2038"/>
      <c r="D17" s="1367"/>
      <c r="E17" s="1211">
        <f t="shared" si="2"/>
        <v>0</v>
      </c>
      <c r="F17" s="1214"/>
      <c r="G17" s="802">
        <v>0</v>
      </c>
      <c r="H17" s="658">
        <v>45254</v>
      </c>
      <c r="I17" s="453">
        <v>13372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 t="s">
        <v>21</v>
      </c>
      <c r="Q17" s="481">
        <v>45278</v>
      </c>
      <c r="R17" s="210">
        <v>31867.5</v>
      </c>
      <c r="S17" s="208">
        <v>45257</v>
      </c>
      <c r="T17" s="176">
        <v>302470</v>
      </c>
      <c r="U17" s="1354" t="s">
        <v>882</v>
      </c>
      <c r="V17" s="2004"/>
      <c r="W17" s="2006"/>
      <c r="X17" s="1643" t="s">
        <v>961</v>
      </c>
      <c r="Y17" s="998">
        <v>0</v>
      </c>
    </row>
    <row r="18" spans="1:25" ht="37.5" customHeight="1" thickTop="1" thickBot="1" x14ac:dyDescent="0.4">
      <c r="A18" s="53" t="s">
        <v>31</v>
      </c>
      <c r="B18" s="54" t="s">
        <v>898</v>
      </c>
      <c r="C18" s="1477" t="s">
        <v>899</v>
      </c>
      <c r="D18" s="73"/>
      <c r="E18" s="1211">
        <f t="shared" si="2"/>
        <v>0</v>
      </c>
      <c r="F18" s="1214"/>
      <c r="G18" s="802">
        <v>18310</v>
      </c>
      <c r="H18" s="658">
        <v>45257</v>
      </c>
      <c r="I18" s="453">
        <v>44571</v>
      </c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 t="s">
        <v>21</v>
      </c>
      <c r="Q18" s="481">
        <v>45280</v>
      </c>
      <c r="R18" s="210"/>
      <c r="S18" s="208"/>
      <c r="T18" s="176"/>
      <c r="U18" s="48"/>
      <c r="V18" s="960"/>
      <c r="W18" s="961"/>
      <c r="X18" s="1008"/>
      <c r="Y18" s="997"/>
    </row>
    <row r="19" spans="1:25" ht="51" customHeight="1" thickTop="1" thickBot="1" x14ac:dyDescent="0.4">
      <c r="A19" s="76" t="s">
        <v>31</v>
      </c>
      <c r="B19" s="54" t="s">
        <v>32</v>
      </c>
      <c r="C19" s="1479" t="s">
        <v>900</v>
      </c>
      <c r="D19" s="1367"/>
      <c r="E19" s="1211">
        <f t="shared" si="2"/>
        <v>0</v>
      </c>
      <c r="F19" s="1214"/>
      <c r="G19" s="802">
        <v>17830</v>
      </c>
      <c r="H19" s="658">
        <v>45259</v>
      </c>
      <c r="I19" s="453">
        <v>44592</v>
      </c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 t="s">
        <v>21</v>
      </c>
      <c r="Q19" s="481">
        <v>45280</v>
      </c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Top="1" thickBot="1" x14ac:dyDescent="0.4">
      <c r="A20" s="76"/>
      <c r="B20" s="54"/>
      <c r="C20" s="1478"/>
      <c r="D20" s="56"/>
      <c r="E20" s="1211">
        <f t="shared" si="2"/>
        <v>0</v>
      </c>
      <c r="F20" s="1214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Top="1" thickBot="1" x14ac:dyDescent="0.4">
      <c r="A21" s="76"/>
      <c r="B21" s="54"/>
      <c r="C21" s="1365"/>
      <c r="D21" s="56"/>
      <c r="E21" s="1211">
        <f t="shared" si="2"/>
        <v>0</v>
      </c>
      <c r="F21" s="1214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53"/>
      <c r="B22" s="54"/>
      <c r="C22" s="1365"/>
      <c r="D22" s="56"/>
      <c r="E22" s="1211">
        <f t="shared" si="2"/>
        <v>0</v>
      </c>
      <c r="F22" s="1214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3"/>
      <c r="B23" s="54"/>
      <c r="C23" s="1365"/>
      <c r="D23" s="56"/>
      <c r="E23" s="1211">
        <f t="shared" si="2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2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2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2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2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2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2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2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2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2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2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2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2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2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2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2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2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2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2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2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2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2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2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2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2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2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5" ht="24.75" thickTop="1" thickBot="1" x14ac:dyDescent="0.4">
      <c r="A49" s="98"/>
      <c r="B49" s="95"/>
      <c r="C49" s="96"/>
      <c r="D49" s="56"/>
      <c r="E49" s="1211">
        <f t="shared" si="2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5" ht="24.75" thickTop="1" thickBot="1" x14ac:dyDescent="0.4">
      <c r="A50" s="101"/>
      <c r="B50" s="95"/>
      <c r="C50" s="96"/>
      <c r="D50" s="56"/>
      <c r="E50" s="1211">
        <f t="shared" si="2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5" ht="24.75" thickTop="1" thickBot="1" x14ac:dyDescent="0.4">
      <c r="A51" s="110"/>
      <c r="B51" s="95"/>
      <c r="C51" s="96"/>
      <c r="D51" s="56"/>
      <c r="E51" s="1211">
        <f t="shared" si="2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5" ht="24.75" thickTop="1" thickBot="1" x14ac:dyDescent="0.4">
      <c r="A52" s="112"/>
      <c r="B52" s="95"/>
      <c r="C52" s="113"/>
      <c r="D52" s="114"/>
      <c r="E52" s="1211">
        <f t="shared" si="2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5" ht="24.75" thickTop="1" thickBot="1" x14ac:dyDescent="0.4">
      <c r="A53" s="102"/>
      <c r="B53" s="95"/>
      <c r="C53" s="96"/>
      <c r="D53" s="114"/>
      <c r="E53" s="1211">
        <f t="shared" si="2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5" ht="24.75" thickTop="1" thickBot="1" x14ac:dyDescent="0.4">
      <c r="A54" s="101"/>
      <c r="B54" s="95"/>
      <c r="C54" s="96"/>
      <c r="D54" s="114"/>
      <c r="E54" s="1211">
        <f t="shared" si="2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5" ht="24.75" thickTop="1" thickBot="1" x14ac:dyDescent="0.4">
      <c r="A55" s="102"/>
      <c r="B55" s="95"/>
      <c r="C55" s="96"/>
      <c r="D55" s="114"/>
      <c r="E55" s="1211">
        <f t="shared" si="2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5" ht="24.75" thickTop="1" thickBot="1" x14ac:dyDescent="0.4">
      <c r="A56" s="102"/>
      <c r="B56" s="95"/>
      <c r="C56" s="96"/>
      <c r="D56" s="114"/>
      <c r="E56" s="1211">
        <f t="shared" si="2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5" ht="24.75" thickTop="1" thickBot="1" x14ac:dyDescent="0.4">
      <c r="A57" s="101"/>
      <c r="B57" s="102"/>
      <c r="C57" s="116"/>
      <c r="D57" s="114"/>
      <c r="E57" s="1211">
        <f t="shared" si="2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5" ht="24.75" thickTop="1" thickBot="1" x14ac:dyDescent="0.4">
      <c r="A58" s="102"/>
      <c r="B58" s="102"/>
      <c r="C58" s="116"/>
      <c r="D58" s="114"/>
      <c r="E58" s="1211">
        <f t="shared" si="2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5" ht="24.75" thickTop="1" thickBot="1" x14ac:dyDescent="0.4">
      <c r="A59" s="102"/>
      <c r="B59" s="102"/>
      <c r="C59" s="116"/>
      <c r="D59" s="114"/>
      <c r="E59" s="1211">
        <f t="shared" si="2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1">
        <f t="shared" si="2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1">
        <f t="shared" si="2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1">
        <f t="shared" si="2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1">
        <f t="shared" si="2"/>
        <v>0</v>
      </c>
      <c r="F63" s="1215"/>
      <c r="G63" s="1212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155" t="s">
        <v>724</v>
      </c>
      <c r="B64" s="946" t="s">
        <v>811</v>
      </c>
      <c r="C64" s="2158">
        <v>11465</v>
      </c>
      <c r="D64" s="948"/>
      <c r="E64" s="1211"/>
      <c r="F64" s="1218"/>
      <c r="G64" s="1213">
        <v>3373.2</v>
      </c>
      <c r="H64" s="2161">
        <v>45231</v>
      </c>
      <c r="I64" s="1753" t="s">
        <v>816</v>
      </c>
      <c r="J64" s="1207">
        <v>3373.2</v>
      </c>
      <c r="K64" s="39">
        <f t="shared" si="0"/>
        <v>0</v>
      </c>
      <c r="L64" s="462">
        <v>102</v>
      </c>
      <c r="M64" s="2069" t="s">
        <v>842</v>
      </c>
      <c r="N64" s="2072">
        <f>400000+147574.15</f>
        <v>547574.15</v>
      </c>
      <c r="O64" s="42">
        <f t="shared" si="1"/>
        <v>344066.39999999997</v>
      </c>
      <c r="P64" s="1944" t="s">
        <v>22</v>
      </c>
      <c r="Q64" s="2032" t="s">
        <v>783</v>
      </c>
      <c r="R64" s="1208"/>
      <c r="S64" s="886"/>
      <c r="T64" s="891"/>
      <c r="U64" s="891"/>
      <c r="V64" s="1026"/>
      <c r="W64" s="1463"/>
      <c r="X64" s="2201" t="s">
        <v>895</v>
      </c>
      <c r="Y64" s="2176">
        <v>4176</v>
      </c>
    </row>
    <row r="65" spans="1:25" ht="31.5" customHeight="1" x14ac:dyDescent="0.3">
      <c r="A65" s="2156"/>
      <c r="B65" s="519" t="s">
        <v>812</v>
      </c>
      <c r="C65" s="2159"/>
      <c r="D65" s="517"/>
      <c r="E65" s="1015"/>
      <c r="F65" s="1219"/>
      <c r="G65" s="1016">
        <v>99</v>
      </c>
      <c r="H65" s="2162"/>
      <c r="I65" s="1754"/>
      <c r="J65" s="772">
        <v>99</v>
      </c>
      <c r="K65" s="39">
        <f t="shared" si="0"/>
        <v>0</v>
      </c>
      <c r="L65" s="468">
        <v>20</v>
      </c>
      <c r="M65" s="2069"/>
      <c r="N65" s="2072"/>
      <c r="O65" s="42">
        <f t="shared" si="1"/>
        <v>1980</v>
      </c>
      <c r="P65" s="1945"/>
      <c r="Q65" s="2033"/>
      <c r="R65" s="615"/>
      <c r="S65" s="890"/>
      <c r="T65" s="1023"/>
      <c r="U65" s="1023"/>
      <c r="V65" s="49"/>
      <c r="W65" s="1464"/>
      <c r="X65" s="2202"/>
      <c r="Y65" s="2177"/>
    </row>
    <row r="66" spans="1:25" ht="18.75" customHeight="1" x14ac:dyDescent="0.3">
      <c r="A66" s="2156"/>
      <c r="B66" s="519" t="s">
        <v>813</v>
      </c>
      <c r="C66" s="2159"/>
      <c r="D66" s="517"/>
      <c r="E66" s="1015"/>
      <c r="F66" s="1219"/>
      <c r="G66" s="1016">
        <v>99.55</v>
      </c>
      <c r="H66" s="2162"/>
      <c r="I66" s="1754"/>
      <c r="J66" s="772">
        <v>99.55</v>
      </c>
      <c r="K66" s="39">
        <f t="shared" si="0"/>
        <v>0</v>
      </c>
      <c r="L66" s="468">
        <v>65</v>
      </c>
      <c r="M66" s="2069"/>
      <c r="N66" s="2072"/>
      <c r="O66" s="42">
        <f t="shared" si="1"/>
        <v>6470.75</v>
      </c>
      <c r="P66" s="1945"/>
      <c r="Q66" s="2033"/>
      <c r="R66" s="543"/>
      <c r="S66" s="890"/>
      <c r="T66" s="1023"/>
      <c r="U66" s="1023"/>
      <c r="V66" s="49"/>
      <c r="W66" s="1464"/>
      <c r="X66" s="2202"/>
      <c r="Y66" s="2177"/>
    </row>
    <row r="67" spans="1:25" ht="18.75" customHeight="1" x14ac:dyDescent="0.3">
      <c r="A67" s="2156"/>
      <c r="B67" s="519" t="s">
        <v>814</v>
      </c>
      <c r="C67" s="2159"/>
      <c r="D67" s="517"/>
      <c r="E67" s="1015"/>
      <c r="F67" s="1219"/>
      <c r="G67" s="1016">
        <v>747.6</v>
      </c>
      <c r="H67" s="2162"/>
      <c r="I67" s="1754"/>
      <c r="J67" s="772">
        <v>747.6</v>
      </c>
      <c r="K67" s="977">
        <f t="shared" si="0"/>
        <v>0</v>
      </c>
      <c r="L67" s="468">
        <v>145</v>
      </c>
      <c r="M67" s="2069"/>
      <c r="N67" s="2072"/>
      <c r="O67" s="885">
        <f t="shared" si="1"/>
        <v>108402</v>
      </c>
      <c r="P67" s="1945"/>
      <c r="Q67" s="2033"/>
      <c r="R67" s="543"/>
      <c r="S67" s="890"/>
      <c r="T67" s="1023"/>
      <c r="U67" s="1023"/>
      <c r="V67" s="49"/>
      <c r="W67" s="1464"/>
      <c r="X67" s="2202"/>
      <c r="Y67" s="2177"/>
    </row>
    <row r="68" spans="1:25" ht="18.75" customHeight="1" thickBot="1" x14ac:dyDescent="0.35">
      <c r="A68" s="2157"/>
      <c r="B68" s="519" t="s">
        <v>815</v>
      </c>
      <c r="C68" s="2160"/>
      <c r="D68" s="517"/>
      <c r="E68" s="1015"/>
      <c r="F68" s="1219"/>
      <c r="G68" s="1016">
        <v>795</v>
      </c>
      <c r="H68" s="2163"/>
      <c r="I68" s="2042"/>
      <c r="J68" s="772">
        <v>795</v>
      </c>
      <c r="K68" s="977">
        <f t="shared" si="0"/>
        <v>0</v>
      </c>
      <c r="L68" s="468">
        <v>109</v>
      </c>
      <c r="M68" s="2070"/>
      <c r="N68" s="2073"/>
      <c r="O68" s="885">
        <f t="shared" si="1"/>
        <v>86655</v>
      </c>
      <c r="P68" s="2152"/>
      <c r="Q68" s="2034"/>
      <c r="R68" s="543"/>
      <c r="S68" s="890"/>
      <c r="T68" s="1023"/>
      <c r="U68" s="1023"/>
      <c r="V68" s="49"/>
      <c r="W68" s="1464"/>
      <c r="X68" s="2203"/>
      <c r="Y68" s="2178"/>
    </row>
    <row r="69" spans="1:25" s="889" customFormat="1" ht="28.5" customHeight="1" thickTop="1" x14ac:dyDescent="0.35">
      <c r="A69" s="2144" t="s">
        <v>854</v>
      </c>
      <c r="B69" s="519" t="s">
        <v>818</v>
      </c>
      <c r="C69" s="2146">
        <v>11487</v>
      </c>
      <c r="D69" s="517"/>
      <c r="E69" s="1015"/>
      <c r="F69" s="1220">
        <v>75</v>
      </c>
      <c r="G69" s="1016">
        <v>2031.91</v>
      </c>
      <c r="H69" s="2148">
        <v>45232</v>
      </c>
      <c r="I69" s="2150">
        <v>20991</v>
      </c>
      <c r="J69" s="772">
        <v>2031.91</v>
      </c>
      <c r="K69" s="977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153" t="s">
        <v>22</v>
      </c>
      <c r="Q69" s="2035">
        <v>45247</v>
      </c>
      <c r="R69" s="543"/>
      <c r="S69" s="991"/>
      <c r="T69" s="1023"/>
      <c r="U69" s="1023"/>
      <c r="V69" s="887"/>
      <c r="W69" s="1025"/>
      <c r="X69" s="1465"/>
      <c r="Y69" s="1466"/>
    </row>
    <row r="70" spans="1:25" ht="24" thickBot="1" x14ac:dyDescent="0.4">
      <c r="A70" s="2145"/>
      <c r="B70" s="519" t="s">
        <v>819</v>
      </c>
      <c r="C70" s="2147"/>
      <c r="D70" s="517"/>
      <c r="E70" s="1015"/>
      <c r="F70" s="1219">
        <v>134</v>
      </c>
      <c r="G70" s="1017">
        <v>3037.28</v>
      </c>
      <c r="H70" s="2149"/>
      <c r="I70" s="2151"/>
      <c r="J70" s="1018">
        <v>3037.28</v>
      </c>
      <c r="K70" s="977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154"/>
      <c r="Q70" s="2036"/>
      <c r="R70" s="543"/>
      <c r="S70" s="890"/>
      <c r="T70" s="1031"/>
      <c r="U70" s="1031"/>
      <c r="V70" s="49"/>
      <c r="W70" s="1024"/>
      <c r="X70" s="1028"/>
      <c r="Y70" s="1032"/>
    </row>
    <row r="71" spans="1:25" ht="37.5" customHeight="1" thickBot="1" x14ac:dyDescent="0.35">
      <c r="A71" s="1229" t="s">
        <v>136</v>
      </c>
      <c r="B71" s="386" t="s">
        <v>137</v>
      </c>
      <c r="C71" s="1344">
        <v>11474</v>
      </c>
      <c r="D71" s="445"/>
      <c r="E71" s="1015"/>
      <c r="F71" s="1221">
        <v>6</v>
      </c>
      <c r="G71" s="820">
        <v>720</v>
      </c>
      <c r="H71" s="1230">
        <v>45236</v>
      </c>
      <c r="I71" s="1488" t="s">
        <v>907</v>
      </c>
      <c r="J71" s="820">
        <v>720</v>
      </c>
      <c r="K71" s="977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8" t="s">
        <v>21</v>
      </c>
      <c r="Q71" s="1349">
        <v>45246</v>
      </c>
      <c r="R71" s="543"/>
      <c r="S71" s="890"/>
      <c r="T71" s="1031"/>
      <c r="U71" s="1031"/>
      <c r="V71" s="49"/>
      <c r="W71" s="1024"/>
      <c r="X71" s="1028"/>
      <c r="Y71" s="1032"/>
    </row>
    <row r="72" spans="1:25" ht="26.25" customHeight="1" thickTop="1" x14ac:dyDescent="0.3">
      <c r="A72" s="2112" t="s">
        <v>817</v>
      </c>
      <c r="B72" s="519" t="s">
        <v>825</v>
      </c>
      <c r="C72" s="2115">
        <v>11488</v>
      </c>
      <c r="D72" s="517"/>
      <c r="E72" s="1015"/>
      <c r="F72" s="1221">
        <v>165</v>
      </c>
      <c r="G72" s="1017">
        <v>3918.37</v>
      </c>
      <c r="H72" s="2118">
        <v>45236</v>
      </c>
      <c r="I72" s="2121">
        <v>20986</v>
      </c>
      <c r="J72" s="1018">
        <v>3918.37</v>
      </c>
      <c r="K72" s="977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052" t="s">
        <v>22</v>
      </c>
      <c r="Q72" s="2059">
        <v>45254</v>
      </c>
      <c r="R72" s="543"/>
      <c r="S72" s="890"/>
      <c r="T72" s="1031"/>
      <c r="U72" s="1031"/>
      <c r="V72" s="49"/>
      <c r="W72" s="1024"/>
      <c r="X72" s="1028"/>
      <c r="Y72" s="1032"/>
    </row>
    <row r="73" spans="1:25" ht="26.25" customHeight="1" x14ac:dyDescent="0.3">
      <c r="A73" s="2113"/>
      <c r="B73" s="519" t="s">
        <v>826</v>
      </c>
      <c r="C73" s="2116"/>
      <c r="D73" s="517"/>
      <c r="E73" s="1015"/>
      <c r="F73" s="1221">
        <v>125</v>
      </c>
      <c r="G73" s="1017">
        <v>2932.09</v>
      </c>
      <c r="H73" s="2119"/>
      <c r="I73" s="2122"/>
      <c r="J73" s="1018">
        <v>2932.09</v>
      </c>
      <c r="K73" s="977">
        <f t="shared" si="0"/>
        <v>0</v>
      </c>
      <c r="L73" s="468">
        <v>54</v>
      </c>
      <c r="M73" s="749" t="s">
        <v>26</v>
      </c>
      <c r="N73" s="468"/>
      <c r="O73" s="885">
        <f t="shared" ref="O73:O134" si="3">L73*J73</f>
        <v>158332.86000000002</v>
      </c>
      <c r="P73" s="2053"/>
      <c r="Q73" s="2060"/>
      <c r="R73" s="543"/>
      <c r="S73" s="890"/>
      <c r="T73" s="1031"/>
      <c r="U73" s="1031"/>
      <c r="V73" s="49"/>
      <c r="W73" s="1024"/>
      <c r="X73" s="1028"/>
      <c r="Y73" s="1032"/>
    </row>
    <row r="74" spans="1:25" ht="26.25" customHeight="1" thickBot="1" x14ac:dyDescent="0.35">
      <c r="A74" s="2113"/>
      <c r="B74" s="519" t="s">
        <v>827</v>
      </c>
      <c r="C74" s="2116"/>
      <c r="D74" s="517"/>
      <c r="E74" s="1015"/>
      <c r="F74" s="1221">
        <v>280</v>
      </c>
      <c r="G74" s="1017">
        <v>5103.7299999999996</v>
      </c>
      <c r="H74" s="2119"/>
      <c r="I74" s="2122"/>
      <c r="J74" s="1018">
        <v>5103.7299999999996</v>
      </c>
      <c r="K74" s="977">
        <f t="shared" ref="K74:K134" si="4">J74-G74</f>
        <v>0</v>
      </c>
      <c r="L74" s="468">
        <v>58</v>
      </c>
      <c r="M74" s="749"/>
      <c r="N74" s="468"/>
      <c r="O74" s="1020">
        <f t="shared" si="3"/>
        <v>296016.33999999997</v>
      </c>
      <c r="P74" s="2053"/>
      <c r="Q74" s="2060"/>
      <c r="R74" s="543"/>
      <c r="S74" s="890"/>
      <c r="T74" s="1031"/>
      <c r="U74" s="1031"/>
      <c r="V74" s="49"/>
      <c r="W74" s="1024"/>
      <c r="X74" s="1028"/>
      <c r="Y74" s="1032"/>
    </row>
    <row r="75" spans="1:25" s="889" customFormat="1" ht="32.25" customHeight="1" thickTop="1" x14ac:dyDescent="0.3">
      <c r="A75" s="2113"/>
      <c r="B75" s="519" t="s">
        <v>828</v>
      </c>
      <c r="C75" s="2116"/>
      <c r="D75" s="776"/>
      <c r="E75" s="737"/>
      <c r="F75" s="1231">
        <v>135</v>
      </c>
      <c r="G75" s="1017">
        <v>3818.35</v>
      </c>
      <c r="H75" s="2119"/>
      <c r="I75" s="2122"/>
      <c r="J75" s="1018">
        <v>3818.35</v>
      </c>
      <c r="K75" s="977">
        <f t="shared" si="4"/>
        <v>0</v>
      </c>
      <c r="L75" s="468">
        <v>79.5</v>
      </c>
      <c r="M75" s="976"/>
      <c r="N75" s="468"/>
      <c r="O75" s="985">
        <f t="shared" si="3"/>
        <v>303558.82500000001</v>
      </c>
      <c r="P75" s="2053"/>
      <c r="Q75" s="2060"/>
      <c r="R75" s="543"/>
      <c r="S75" s="991"/>
      <c r="T75" s="1031"/>
      <c r="U75" s="1031"/>
      <c r="V75" s="887"/>
      <c r="W75" s="1025"/>
      <c r="X75" s="1029"/>
      <c r="Y75" s="1030"/>
    </row>
    <row r="76" spans="1:25" ht="31.5" customHeight="1" thickBot="1" x14ac:dyDescent="0.35">
      <c r="A76" s="2114"/>
      <c r="B76" s="519" t="s">
        <v>829</v>
      </c>
      <c r="C76" s="2117"/>
      <c r="D76" s="776"/>
      <c r="E76" s="737"/>
      <c r="F76" s="1231">
        <v>69</v>
      </c>
      <c r="G76" s="1017">
        <v>2006.61</v>
      </c>
      <c r="H76" s="2120"/>
      <c r="I76" s="2123"/>
      <c r="J76" s="1018">
        <v>2006.61</v>
      </c>
      <c r="K76" s="977">
        <f t="shared" si="4"/>
        <v>0</v>
      </c>
      <c r="L76" s="468">
        <v>38</v>
      </c>
      <c r="M76" s="2055"/>
      <c r="N76" s="468"/>
      <c r="O76" s="885">
        <f t="shared" si="3"/>
        <v>76251.179999999993</v>
      </c>
      <c r="P76" s="2054"/>
      <c r="Q76" s="2061"/>
      <c r="R76" s="543"/>
      <c r="S76" s="890"/>
      <c r="T76" s="1031"/>
      <c r="U76" s="1031"/>
      <c r="V76" s="49"/>
      <c r="W76" s="1024"/>
      <c r="X76" s="257"/>
      <c r="Y76" s="1033"/>
    </row>
    <row r="77" spans="1:25" ht="42.75" customHeight="1" thickTop="1" thickBot="1" x14ac:dyDescent="0.35">
      <c r="A77" s="1019" t="s">
        <v>820</v>
      </c>
      <c r="B77" s="386" t="s">
        <v>830</v>
      </c>
      <c r="C77" s="1346">
        <v>11478</v>
      </c>
      <c r="D77" s="737"/>
      <c r="E77" s="737"/>
      <c r="F77" s="1231">
        <v>2</v>
      </c>
      <c r="G77" s="820">
        <v>1887.84</v>
      </c>
      <c r="H77" s="1236">
        <v>45237</v>
      </c>
      <c r="I77" s="1351" t="s">
        <v>855</v>
      </c>
      <c r="J77" s="820">
        <v>1887.84</v>
      </c>
      <c r="K77" s="977">
        <v>0</v>
      </c>
      <c r="L77" s="468">
        <v>25</v>
      </c>
      <c r="M77" s="2055"/>
      <c r="N77" s="468"/>
      <c r="O77" s="885">
        <f t="shared" si="3"/>
        <v>47196</v>
      </c>
      <c r="P77" s="1348" t="s">
        <v>22</v>
      </c>
      <c r="Q77" s="1349">
        <v>45247</v>
      </c>
      <c r="R77" s="543"/>
      <c r="S77" s="890"/>
      <c r="T77" s="1031"/>
      <c r="U77" s="1031"/>
      <c r="V77" s="1603"/>
      <c r="W77" s="1604"/>
      <c r="X77" s="1467"/>
      <c r="Y77" s="1468"/>
    </row>
    <row r="78" spans="1:25" ht="31.5" customHeight="1" thickTop="1" thickBot="1" x14ac:dyDescent="0.35">
      <c r="A78" s="2124" t="s">
        <v>724</v>
      </c>
      <c r="B78" s="519" t="s">
        <v>811</v>
      </c>
      <c r="C78" s="2138">
        <v>11481</v>
      </c>
      <c r="D78" s="776"/>
      <c r="E78" s="737"/>
      <c r="F78" s="1231"/>
      <c r="G78" s="1017">
        <v>4141.3999999999996</v>
      </c>
      <c r="H78" s="2118">
        <v>45238</v>
      </c>
      <c r="I78" s="2141" t="s">
        <v>831</v>
      </c>
      <c r="J78" s="1018">
        <v>4141.3999999999996</v>
      </c>
      <c r="K78" s="977">
        <f t="shared" si="4"/>
        <v>0</v>
      </c>
      <c r="L78" s="468">
        <v>102</v>
      </c>
      <c r="M78" s="2068" t="s">
        <v>842</v>
      </c>
      <c r="N78" s="2071">
        <f>300000+272053.55</f>
        <v>572053.55000000005</v>
      </c>
      <c r="O78" s="1021">
        <f t="shared" si="3"/>
        <v>422422.8</v>
      </c>
      <c r="P78" s="2056" t="s">
        <v>21</v>
      </c>
      <c r="Q78" s="2049" t="s">
        <v>843</v>
      </c>
      <c r="R78" s="543"/>
      <c r="S78" s="890"/>
      <c r="T78" s="1031">
        <v>28000</v>
      </c>
      <c r="U78" s="1601" t="s">
        <v>847</v>
      </c>
      <c r="V78" s="2017" t="s">
        <v>938</v>
      </c>
      <c r="W78" s="2020">
        <v>3248</v>
      </c>
      <c r="X78" s="2179" t="s">
        <v>895</v>
      </c>
      <c r="Y78" s="2182">
        <v>4176</v>
      </c>
    </row>
    <row r="79" spans="1:25" ht="31.5" customHeight="1" thickTop="1" x14ac:dyDescent="0.3">
      <c r="A79" s="2125"/>
      <c r="B79" s="777" t="s">
        <v>813</v>
      </c>
      <c r="C79" s="2139"/>
      <c r="D79" s="776"/>
      <c r="E79" s="737"/>
      <c r="F79" s="1231"/>
      <c r="G79" s="1017">
        <v>99.15</v>
      </c>
      <c r="H79" s="2119"/>
      <c r="I79" s="2142"/>
      <c r="J79" s="1018">
        <v>99.15</v>
      </c>
      <c r="K79" s="977">
        <f t="shared" si="4"/>
        <v>0</v>
      </c>
      <c r="L79" s="468">
        <v>65</v>
      </c>
      <c r="M79" s="2069"/>
      <c r="N79" s="2072"/>
      <c r="O79" s="885">
        <f t="shared" si="3"/>
        <v>6444.75</v>
      </c>
      <c r="P79" s="2057"/>
      <c r="Q79" s="2050"/>
      <c r="R79" s="543"/>
      <c r="S79" s="125"/>
      <c r="T79" s="892"/>
      <c r="U79" s="1602"/>
      <c r="V79" s="2018"/>
      <c r="W79" s="2021"/>
      <c r="X79" s="2180"/>
      <c r="Y79" s="2183"/>
    </row>
    <row r="80" spans="1:25" ht="31.5" customHeight="1" x14ac:dyDescent="0.3">
      <c r="A80" s="2125"/>
      <c r="B80" s="777" t="s">
        <v>814</v>
      </c>
      <c r="C80" s="2139"/>
      <c r="D80" s="776"/>
      <c r="E80" s="737"/>
      <c r="F80" s="1231"/>
      <c r="G80" s="1017">
        <v>457.9</v>
      </c>
      <c r="H80" s="2119"/>
      <c r="I80" s="2142"/>
      <c r="J80" s="1018">
        <v>457.9</v>
      </c>
      <c r="K80" s="977">
        <f t="shared" si="4"/>
        <v>0</v>
      </c>
      <c r="L80" s="468">
        <v>145</v>
      </c>
      <c r="M80" s="2069"/>
      <c r="N80" s="2072"/>
      <c r="O80" s="885">
        <f t="shared" si="3"/>
        <v>66395.5</v>
      </c>
      <c r="P80" s="2057"/>
      <c r="Q80" s="2050"/>
      <c r="R80" s="543"/>
      <c r="S80" s="125"/>
      <c r="T80" s="48"/>
      <c r="U80" s="1354"/>
      <c r="V80" s="2018"/>
      <c r="W80" s="2021"/>
      <c r="X80" s="2180"/>
      <c r="Y80" s="2183"/>
    </row>
    <row r="81" spans="1:25" ht="25.5" customHeight="1" thickBot="1" x14ac:dyDescent="0.35">
      <c r="A81" s="2126"/>
      <c r="B81" s="777" t="s">
        <v>815</v>
      </c>
      <c r="C81" s="2140"/>
      <c r="D81" s="776"/>
      <c r="E81" s="737"/>
      <c r="F81" s="1231"/>
      <c r="G81" s="1017">
        <v>704.5</v>
      </c>
      <c r="H81" s="2120"/>
      <c r="I81" s="2143"/>
      <c r="J81" s="1018">
        <v>704.5</v>
      </c>
      <c r="K81" s="977">
        <f t="shared" si="4"/>
        <v>0</v>
      </c>
      <c r="L81" s="760">
        <v>109</v>
      </c>
      <c r="M81" s="2070"/>
      <c r="N81" s="2073"/>
      <c r="O81" s="885">
        <f t="shared" si="3"/>
        <v>76790.5</v>
      </c>
      <c r="P81" s="2058"/>
      <c r="Q81" s="2051"/>
      <c r="R81" s="543"/>
      <c r="S81" s="125"/>
      <c r="T81" s="48"/>
      <c r="U81" s="1354"/>
      <c r="V81" s="2019"/>
      <c r="W81" s="2022"/>
      <c r="X81" s="2181"/>
      <c r="Y81" s="2184"/>
    </row>
    <row r="82" spans="1:25" ht="18.75" customHeight="1" thickTop="1" x14ac:dyDescent="0.3">
      <c r="A82" s="2127" t="s">
        <v>817</v>
      </c>
      <c r="B82" s="777" t="s">
        <v>825</v>
      </c>
      <c r="C82" s="2129">
        <v>11489</v>
      </c>
      <c r="D82" s="776"/>
      <c r="E82" s="737"/>
      <c r="F82" s="1231">
        <v>47</v>
      </c>
      <c r="G82" s="992">
        <v>1230.8800000000001</v>
      </c>
      <c r="H82" s="2132">
        <v>45238</v>
      </c>
      <c r="I82" s="2135">
        <v>21015</v>
      </c>
      <c r="J82" s="993">
        <v>1230.8800000000001</v>
      </c>
      <c r="K82" s="977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043" t="s">
        <v>21</v>
      </c>
      <c r="Q82" s="2046">
        <v>45247</v>
      </c>
      <c r="R82" s="543"/>
      <c r="S82" s="125"/>
      <c r="T82" s="48"/>
      <c r="U82" s="48"/>
      <c r="V82" s="960"/>
      <c r="W82" s="961"/>
    </row>
    <row r="83" spans="1:25" ht="18.75" x14ac:dyDescent="0.3">
      <c r="A83" s="2113"/>
      <c r="B83" s="777" t="s">
        <v>826</v>
      </c>
      <c r="C83" s="2130"/>
      <c r="D83" s="776"/>
      <c r="E83" s="737"/>
      <c r="F83" s="1231">
        <v>120</v>
      </c>
      <c r="G83" s="992">
        <v>3064.75</v>
      </c>
      <c r="H83" s="2133"/>
      <c r="I83" s="2136"/>
      <c r="J83" s="993">
        <v>3064.75</v>
      </c>
      <c r="K83" s="977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044"/>
      <c r="Q83" s="2047"/>
      <c r="R83" s="543"/>
      <c r="S83" s="125"/>
      <c r="T83" s="48"/>
      <c r="U83" s="48"/>
      <c r="V83" s="49"/>
      <c r="W83" s="50"/>
    </row>
    <row r="84" spans="1:25" ht="19.5" thickBot="1" x14ac:dyDescent="0.35">
      <c r="A84" s="2128"/>
      <c r="B84" s="777" t="s">
        <v>828</v>
      </c>
      <c r="C84" s="2131"/>
      <c r="D84" s="776"/>
      <c r="E84" s="737"/>
      <c r="F84" s="1231">
        <v>35</v>
      </c>
      <c r="G84" s="992">
        <v>1023.18</v>
      </c>
      <c r="H84" s="2134"/>
      <c r="I84" s="2137"/>
      <c r="J84" s="1018">
        <v>1023.18</v>
      </c>
      <c r="K84" s="977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045"/>
      <c r="Q84" s="2048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0" t="s">
        <v>832</v>
      </c>
      <c r="B85" s="737" t="s">
        <v>833</v>
      </c>
      <c r="C85" s="1347">
        <v>11480</v>
      </c>
      <c r="D85" s="737"/>
      <c r="E85" s="737"/>
      <c r="F85" s="1231">
        <v>334</v>
      </c>
      <c r="G85" s="807">
        <v>9091.48</v>
      </c>
      <c r="H85" s="1318">
        <v>45239</v>
      </c>
      <c r="I85" s="1430" t="s">
        <v>880</v>
      </c>
      <c r="J85" s="820">
        <v>9091.48</v>
      </c>
      <c r="K85" s="977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2" t="s">
        <v>21</v>
      </c>
      <c r="Q85" s="1353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4" t="s">
        <v>860</v>
      </c>
      <c r="B86" s="777" t="s">
        <v>826</v>
      </c>
      <c r="C86" s="1475" t="s">
        <v>896</v>
      </c>
      <c r="D86" s="776"/>
      <c r="E86" s="737"/>
      <c r="F86" s="1231"/>
      <c r="G86" s="992">
        <v>928.95</v>
      </c>
      <c r="H86" s="1469">
        <v>45244</v>
      </c>
      <c r="I86" s="1470">
        <v>21036</v>
      </c>
      <c r="J86" s="1018">
        <v>928.95</v>
      </c>
      <c r="K86" s="977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1" t="s">
        <v>22</v>
      </c>
      <c r="Q86" s="1472">
        <v>45257</v>
      </c>
      <c r="R86" s="543"/>
      <c r="S86" s="890"/>
      <c r="T86" s="1473"/>
      <c r="U86" s="1473"/>
      <c r="V86" s="1608"/>
      <c r="W86" s="1607"/>
    </row>
    <row r="87" spans="1:25" ht="30" customHeight="1" thickTop="1" x14ac:dyDescent="0.3">
      <c r="A87" s="2109" t="s">
        <v>724</v>
      </c>
      <c r="B87" s="777" t="s">
        <v>811</v>
      </c>
      <c r="C87" s="2107">
        <v>11497</v>
      </c>
      <c r="D87" s="776"/>
      <c r="E87" s="737"/>
      <c r="F87" s="1233"/>
      <c r="G87" s="992">
        <v>8495.2000000000007</v>
      </c>
      <c r="H87" s="2086">
        <v>45245</v>
      </c>
      <c r="I87" s="2089" t="s">
        <v>839</v>
      </c>
      <c r="J87" s="1018">
        <v>8495.2000000000007</v>
      </c>
      <c r="K87" s="977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029" t="s">
        <v>848</v>
      </c>
      <c r="Q87" s="2059" t="s">
        <v>849</v>
      </c>
      <c r="R87" s="543"/>
      <c r="S87" s="890"/>
      <c r="T87" s="1922">
        <v>2800</v>
      </c>
      <c r="U87" s="1925" t="s">
        <v>889</v>
      </c>
      <c r="V87" s="2023" t="s">
        <v>938</v>
      </c>
      <c r="W87" s="2026">
        <v>6960</v>
      </c>
      <c r="X87" s="2185" t="s">
        <v>895</v>
      </c>
      <c r="Y87" s="2187">
        <v>4176</v>
      </c>
    </row>
    <row r="88" spans="1:25" ht="21" x14ac:dyDescent="0.35">
      <c r="A88" s="2110"/>
      <c r="B88" s="777" t="s">
        <v>813</v>
      </c>
      <c r="C88" s="2107"/>
      <c r="D88" s="776"/>
      <c r="E88" s="737"/>
      <c r="F88" s="1233"/>
      <c r="G88" s="992">
        <v>100</v>
      </c>
      <c r="H88" s="2087"/>
      <c r="I88" s="2090"/>
      <c r="J88" s="1018">
        <v>100</v>
      </c>
      <c r="K88" s="977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030"/>
      <c r="Q88" s="2060"/>
      <c r="R88" s="543"/>
      <c r="S88" s="890"/>
      <c r="T88" s="1923"/>
      <c r="U88" s="1926"/>
      <c r="V88" s="2024"/>
      <c r="W88" s="2027"/>
      <c r="X88" s="2180"/>
      <c r="Y88" s="2188"/>
    </row>
    <row r="89" spans="1:25" ht="19.5" customHeight="1" x14ac:dyDescent="0.3">
      <c r="A89" s="2110"/>
      <c r="B89" s="777" t="s">
        <v>812</v>
      </c>
      <c r="C89" s="2107"/>
      <c r="D89" s="776"/>
      <c r="E89" s="737"/>
      <c r="F89" s="1233"/>
      <c r="G89" s="992">
        <v>99.4</v>
      </c>
      <c r="H89" s="2087"/>
      <c r="I89" s="2090"/>
      <c r="J89" s="1018">
        <v>99.4</v>
      </c>
      <c r="K89" s="977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030"/>
      <c r="Q89" s="2060"/>
      <c r="R89" s="543"/>
      <c r="S89" s="890"/>
      <c r="T89" s="1923"/>
      <c r="U89" s="1926"/>
      <c r="V89" s="2024"/>
      <c r="W89" s="2027"/>
      <c r="X89" s="2180"/>
      <c r="Y89" s="2188"/>
    </row>
    <row r="90" spans="1:25" ht="20.25" thickBot="1" x14ac:dyDescent="0.35">
      <c r="A90" s="2111"/>
      <c r="B90" s="777" t="s">
        <v>814</v>
      </c>
      <c r="C90" s="2108"/>
      <c r="D90" s="776"/>
      <c r="E90" s="737"/>
      <c r="F90" s="1233"/>
      <c r="G90" s="992">
        <v>1397.1</v>
      </c>
      <c r="H90" s="2088"/>
      <c r="I90" s="2091"/>
      <c r="J90" s="1018">
        <v>1397.1</v>
      </c>
      <c r="K90" s="977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031"/>
      <c r="Q90" s="2061"/>
      <c r="R90" s="543"/>
      <c r="S90" s="890"/>
      <c r="T90" s="1924"/>
      <c r="U90" s="1927"/>
      <c r="V90" s="2025"/>
      <c r="W90" s="2028"/>
      <c r="X90" s="2186"/>
      <c r="Y90" s="2189"/>
    </row>
    <row r="91" spans="1:25" ht="53.25" customHeight="1" thickTop="1" x14ac:dyDescent="0.3">
      <c r="A91" s="1361" t="s">
        <v>860</v>
      </c>
      <c r="B91" s="737" t="s">
        <v>826</v>
      </c>
      <c r="C91" s="1373" t="s">
        <v>861</v>
      </c>
      <c r="D91" s="737"/>
      <c r="E91" s="737"/>
      <c r="F91" s="1233">
        <v>44</v>
      </c>
      <c r="G91" s="807">
        <v>990.51</v>
      </c>
      <c r="H91" s="1319">
        <v>45244</v>
      </c>
      <c r="I91" s="774">
        <v>21037</v>
      </c>
      <c r="J91" s="820">
        <v>990.51</v>
      </c>
      <c r="K91" s="977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2" t="s">
        <v>22</v>
      </c>
      <c r="Q91" s="783">
        <v>45257</v>
      </c>
      <c r="R91" s="375"/>
      <c r="S91" s="125"/>
      <c r="T91" s="1455"/>
      <c r="U91" s="1456"/>
      <c r="V91" s="960"/>
      <c r="W91" s="961"/>
    </row>
    <row r="92" spans="1:25" ht="42" customHeight="1" thickBot="1" x14ac:dyDescent="0.35">
      <c r="A92" s="1363" t="s">
        <v>864</v>
      </c>
      <c r="B92" s="737" t="s">
        <v>865</v>
      </c>
      <c r="C92" s="1375" t="s">
        <v>866</v>
      </c>
      <c r="D92" s="737"/>
      <c r="E92" s="737"/>
      <c r="F92" s="1233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7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0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3">
        <v>40</v>
      </c>
      <c r="G93" s="807">
        <v>1031.69</v>
      </c>
      <c r="H93" s="745">
        <v>45252</v>
      </c>
      <c r="I93" s="1597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2013" t="s">
        <v>22</v>
      </c>
      <c r="Q93" s="2015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29" t="s">
        <v>875</v>
      </c>
      <c r="D94" s="737"/>
      <c r="E94" s="737"/>
      <c r="F94" s="1233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0"/>
      <c r="N94" s="980"/>
      <c r="O94" s="885">
        <f t="shared" ref="O94" si="8">L94*J94</f>
        <v>54841.17</v>
      </c>
      <c r="P94" s="2014"/>
      <c r="Q94" s="2016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29"/>
      <c r="D95" s="737"/>
      <c r="E95" s="737"/>
      <c r="F95" s="1233"/>
      <c r="G95" s="807"/>
      <c r="H95" s="780"/>
      <c r="I95" s="773"/>
      <c r="J95" s="820"/>
      <c r="K95" s="39">
        <f t="shared" si="4"/>
        <v>0</v>
      </c>
      <c r="L95" s="688">
        <v>54.5</v>
      </c>
      <c r="M95" s="1370"/>
      <c r="N95" s="980"/>
      <c r="O95" s="885">
        <f t="shared" si="3"/>
        <v>0</v>
      </c>
      <c r="P95" s="1348"/>
      <c r="Q95" s="1353"/>
      <c r="R95" s="375"/>
      <c r="S95" s="125"/>
      <c r="T95" s="176"/>
      <c r="U95" s="177"/>
      <c r="V95" s="1603"/>
      <c r="W95" s="1607"/>
    </row>
    <row r="96" spans="1:25" ht="35.25" customHeight="1" thickTop="1" x14ac:dyDescent="0.3">
      <c r="A96" s="2095" t="s">
        <v>724</v>
      </c>
      <c r="B96" s="777" t="s">
        <v>23</v>
      </c>
      <c r="C96" s="2098" t="s">
        <v>868</v>
      </c>
      <c r="D96" s="776"/>
      <c r="E96" s="737"/>
      <c r="F96" s="1233">
        <v>20</v>
      </c>
      <c r="G96" s="992">
        <v>8685.5</v>
      </c>
      <c r="H96" s="2104">
        <v>45253</v>
      </c>
      <c r="I96" s="2101" t="s">
        <v>869</v>
      </c>
      <c r="J96" s="1018">
        <v>8685.5</v>
      </c>
      <c r="K96" s="39">
        <f t="shared" si="4"/>
        <v>0</v>
      </c>
      <c r="L96" s="688">
        <v>102</v>
      </c>
      <c r="M96" s="2167" t="s">
        <v>842</v>
      </c>
      <c r="N96" s="2164">
        <f>500000+603116.5</f>
        <v>1103116.5</v>
      </c>
      <c r="O96" s="1369">
        <f t="shared" si="3"/>
        <v>885921</v>
      </c>
      <c r="P96" s="2065" t="s">
        <v>22</v>
      </c>
      <c r="Q96" s="2062" t="s">
        <v>894</v>
      </c>
      <c r="R96" s="543"/>
      <c r="S96" s="125"/>
      <c r="T96" s="176"/>
      <c r="U96" s="1642"/>
      <c r="V96" s="1997" t="s">
        <v>960</v>
      </c>
      <c r="W96" s="2000">
        <v>6960</v>
      </c>
      <c r="X96" s="1988" t="s">
        <v>962</v>
      </c>
      <c r="Y96" s="1991">
        <v>4176</v>
      </c>
    </row>
    <row r="97" spans="1:25" ht="32.25" customHeight="1" x14ac:dyDescent="0.3">
      <c r="A97" s="2096"/>
      <c r="B97" s="777" t="s">
        <v>870</v>
      </c>
      <c r="C97" s="2099"/>
      <c r="D97" s="776"/>
      <c r="E97" s="737"/>
      <c r="F97" s="1233"/>
      <c r="G97" s="992">
        <v>1402.6</v>
      </c>
      <c r="H97" s="2105"/>
      <c r="I97" s="2102"/>
      <c r="J97" s="1018">
        <v>1402.6</v>
      </c>
      <c r="K97" s="39">
        <f t="shared" si="4"/>
        <v>0</v>
      </c>
      <c r="L97" s="688">
        <v>145</v>
      </c>
      <c r="M97" s="2168"/>
      <c r="N97" s="2165"/>
      <c r="O97" s="1369">
        <f t="shared" si="3"/>
        <v>203377</v>
      </c>
      <c r="P97" s="2066"/>
      <c r="Q97" s="2063"/>
      <c r="R97" s="543"/>
      <c r="S97" s="125"/>
      <c r="T97" s="176"/>
      <c r="U97" s="1642"/>
      <c r="V97" s="1998"/>
      <c r="W97" s="2001"/>
      <c r="X97" s="1989"/>
      <c r="Y97" s="1992"/>
    </row>
    <row r="98" spans="1:25" ht="39.75" customHeight="1" x14ac:dyDescent="0.3">
      <c r="A98" s="2096"/>
      <c r="B98" s="777" t="s">
        <v>871</v>
      </c>
      <c r="C98" s="2099"/>
      <c r="D98" s="776"/>
      <c r="E98" s="737"/>
      <c r="F98" s="1233"/>
      <c r="G98" s="992">
        <v>200.5</v>
      </c>
      <c r="H98" s="2105"/>
      <c r="I98" s="2102"/>
      <c r="J98" s="1018">
        <v>200.5</v>
      </c>
      <c r="K98" s="39">
        <f t="shared" si="4"/>
        <v>0</v>
      </c>
      <c r="L98" s="688">
        <v>20</v>
      </c>
      <c r="M98" s="2168"/>
      <c r="N98" s="2165"/>
      <c r="O98" s="1369">
        <f t="shared" si="3"/>
        <v>4010</v>
      </c>
      <c r="P98" s="2066"/>
      <c r="Q98" s="2063"/>
      <c r="R98" s="543"/>
      <c r="S98" s="125"/>
      <c r="T98" s="176"/>
      <c r="U98" s="1642"/>
      <c r="V98" s="1998"/>
      <c r="W98" s="2001"/>
      <c r="X98" s="1989"/>
      <c r="Y98" s="1992"/>
    </row>
    <row r="99" spans="1:25" ht="32.25" customHeight="1" thickBot="1" x14ac:dyDescent="0.35">
      <c r="A99" s="2097"/>
      <c r="B99" s="777" t="s">
        <v>813</v>
      </c>
      <c r="C99" s="2100"/>
      <c r="D99" s="776"/>
      <c r="E99" s="737"/>
      <c r="F99" s="1233"/>
      <c r="G99" s="992">
        <v>150.9</v>
      </c>
      <c r="H99" s="2106"/>
      <c r="I99" s="2103"/>
      <c r="J99" s="1018">
        <v>150.9</v>
      </c>
      <c r="K99" s="39">
        <f t="shared" si="4"/>
        <v>0</v>
      </c>
      <c r="L99" s="628">
        <v>65</v>
      </c>
      <c r="M99" s="2169"/>
      <c r="N99" s="2166"/>
      <c r="O99" s="1369">
        <f t="shared" si="3"/>
        <v>9808.5</v>
      </c>
      <c r="P99" s="2067"/>
      <c r="Q99" s="2064"/>
      <c r="R99" s="543"/>
      <c r="S99" s="125"/>
      <c r="T99" s="176"/>
      <c r="U99" s="1642"/>
      <c r="V99" s="1999"/>
      <c r="W99" s="2002"/>
      <c r="X99" s="1990"/>
      <c r="Y99" s="1993"/>
    </row>
    <row r="100" spans="1:25" ht="46.5" customHeight="1" thickBot="1" x14ac:dyDescent="0.4">
      <c r="A100" s="703" t="s">
        <v>860</v>
      </c>
      <c r="B100" s="737" t="s">
        <v>826</v>
      </c>
      <c r="C100" s="1429" t="s">
        <v>876</v>
      </c>
      <c r="D100" s="737"/>
      <c r="E100" s="737"/>
      <c r="F100" s="1233">
        <v>40</v>
      </c>
      <c r="G100" s="807">
        <v>1082.52</v>
      </c>
      <c r="H100" s="1368">
        <v>45253</v>
      </c>
      <c r="I100" s="1596">
        <v>21068</v>
      </c>
      <c r="J100" s="820">
        <v>1082.52</v>
      </c>
      <c r="K100" s="39">
        <f t="shared" si="4"/>
        <v>0</v>
      </c>
      <c r="L100" s="628">
        <v>54.5</v>
      </c>
      <c r="M100" s="1371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1644"/>
      <c r="W100" s="1645"/>
    </row>
    <row r="101" spans="1:25" ht="23.25" customHeight="1" thickTop="1" x14ac:dyDescent="0.3">
      <c r="A101" s="1835" t="s">
        <v>724</v>
      </c>
      <c r="B101" s="777" t="s">
        <v>23</v>
      </c>
      <c r="C101" s="2092" t="s">
        <v>901</v>
      </c>
      <c r="D101" s="776"/>
      <c r="E101" s="737"/>
      <c r="F101" s="1233"/>
      <c r="G101" s="992">
        <v>8033.3</v>
      </c>
      <c r="H101" s="2039">
        <v>45260</v>
      </c>
      <c r="I101" s="1784" t="s">
        <v>903</v>
      </c>
      <c r="J101" s="1018">
        <v>8033.3</v>
      </c>
      <c r="K101" s="39">
        <f t="shared" si="4"/>
        <v>0</v>
      </c>
      <c r="L101" s="628">
        <v>102</v>
      </c>
      <c r="M101" s="2170" t="s">
        <v>842</v>
      </c>
      <c r="N101" s="2173">
        <f>500000+619806</f>
        <v>1119806</v>
      </c>
      <c r="O101" s="1437">
        <f t="shared" si="3"/>
        <v>819396.6</v>
      </c>
      <c r="P101" s="2196" t="s">
        <v>22</v>
      </c>
      <c r="Q101" s="2198" t="s">
        <v>906</v>
      </c>
      <c r="R101" s="543"/>
      <c r="S101" s="890"/>
      <c r="T101" s="2190">
        <v>28000</v>
      </c>
      <c r="U101" s="2193" t="s">
        <v>905</v>
      </c>
      <c r="V101" s="2007" t="s">
        <v>960</v>
      </c>
      <c r="W101" s="2010">
        <v>6960</v>
      </c>
      <c r="X101" s="1994" t="s">
        <v>962</v>
      </c>
      <c r="Y101" s="1912">
        <v>4176</v>
      </c>
    </row>
    <row r="102" spans="1:25" ht="23.25" customHeight="1" x14ac:dyDescent="0.3">
      <c r="A102" s="1836"/>
      <c r="B102" s="777" t="s">
        <v>814</v>
      </c>
      <c r="C102" s="2093"/>
      <c r="D102" s="776"/>
      <c r="E102" s="737"/>
      <c r="F102" s="1233"/>
      <c r="G102" s="992">
        <v>1711.7</v>
      </c>
      <c r="H102" s="2040"/>
      <c r="I102" s="1785"/>
      <c r="J102" s="1018">
        <v>1711.7</v>
      </c>
      <c r="K102" s="39">
        <f t="shared" si="4"/>
        <v>0</v>
      </c>
      <c r="L102" s="628">
        <v>145</v>
      </c>
      <c r="M102" s="2171"/>
      <c r="N102" s="2174"/>
      <c r="O102" s="1437">
        <f t="shared" si="3"/>
        <v>248196.5</v>
      </c>
      <c r="P102" s="2197"/>
      <c r="Q102" s="2199"/>
      <c r="R102" s="543"/>
      <c r="S102" s="890"/>
      <c r="T102" s="2191"/>
      <c r="U102" s="2194"/>
      <c r="V102" s="2008"/>
      <c r="W102" s="2011"/>
      <c r="X102" s="1995"/>
      <c r="Y102" s="1913"/>
    </row>
    <row r="103" spans="1:25" ht="23.25" customHeight="1" x14ac:dyDescent="0.3">
      <c r="A103" s="1836"/>
      <c r="B103" s="777" t="s">
        <v>871</v>
      </c>
      <c r="C103" s="2093"/>
      <c r="D103" s="776"/>
      <c r="E103" s="737"/>
      <c r="F103" s="1233"/>
      <c r="G103" s="992">
        <v>199.7</v>
      </c>
      <c r="H103" s="2040"/>
      <c r="I103" s="1785"/>
      <c r="J103" s="1018">
        <v>199.7</v>
      </c>
      <c r="K103" s="39">
        <f t="shared" si="4"/>
        <v>0</v>
      </c>
      <c r="L103" s="628">
        <v>20</v>
      </c>
      <c r="M103" s="2171"/>
      <c r="N103" s="2174"/>
      <c r="O103" s="1437">
        <f t="shared" si="3"/>
        <v>3994</v>
      </c>
      <c r="P103" s="2197"/>
      <c r="Q103" s="2199"/>
      <c r="R103" s="543"/>
      <c r="S103" s="890"/>
      <c r="T103" s="2191"/>
      <c r="U103" s="2194"/>
      <c r="V103" s="2008"/>
      <c r="W103" s="2011"/>
      <c r="X103" s="1995"/>
      <c r="Y103" s="1913"/>
    </row>
    <row r="104" spans="1:25" ht="23.25" customHeight="1" x14ac:dyDescent="0.3">
      <c r="A104" s="1836"/>
      <c r="B104" s="777" t="s">
        <v>813</v>
      </c>
      <c r="C104" s="2093"/>
      <c r="D104" s="776"/>
      <c r="E104" s="737"/>
      <c r="F104" s="1233"/>
      <c r="G104" s="992">
        <v>164.9</v>
      </c>
      <c r="H104" s="2040"/>
      <c r="I104" s="1785"/>
      <c r="J104" s="1018">
        <v>164.9</v>
      </c>
      <c r="K104" s="39">
        <f t="shared" si="4"/>
        <v>0</v>
      </c>
      <c r="L104" s="628">
        <v>65</v>
      </c>
      <c r="M104" s="2171"/>
      <c r="N104" s="2174"/>
      <c r="O104" s="1437">
        <f t="shared" si="3"/>
        <v>10718.5</v>
      </c>
      <c r="P104" s="2197"/>
      <c r="Q104" s="2199"/>
      <c r="R104" s="543"/>
      <c r="S104" s="890"/>
      <c r="T104" s="2191"/>
      <c r="U104" s="2194"/>
      <c r="V104" s="2008"/>
      <c r="W104" s="2011"/>
      <c r="X104" s="1995"/>
      <c r="Y104" s="1913"/>
    </row>
    <row r="105" spans="1:25" ht="23.25" customHeight="1" thickBot="1" x14ac:dyDescent="0.35">
      <c r="A105" s="1837"/>
      <c r="B105" s="400" t="s">
        <v>902</v>
      </c>
      <c r="C105" s="2094"/>
      <c r="D105" s="398"/>
      <c r="E105" s="56"/>
      <c r="F105" s="1214"/>
      <c r="G105" s="1480">
        <v>317.8</v>
      </c>
      <c r="H105" s="2041"/>
      <c r="I105" s="1786"/>
      <c r="J105" s="877">
        <v>317.8</v>
      </c>
      <c r="K105" s="39">
        <f t="shared" si="4"/>
        <v>0</v>
      </c>
      <c r="L105" s="628">
        <v>118</v>
      </c>
      <c r="M105" s="2172"/>
      <c r="N105" s="2175"/>
      <c r="O105" s="1437">
        <f t="shared" si="3"/>
        <v>37500.400000000001</v>
      </c>
      <c r="P105" s="2154"/>
      <c r="Q105" s="2200"/>
      <c r="R105" s="543"/>
      <c r="S105" s="890"/>
      <c r="T105" s="2192"/>
      <c r="U105" s="2195"/>
      <c r="V105" s="2009"/>
      <c r="W105" s="2012"/>
      <c r="X105" s="1996"/>
      <c r="Y105" s="1914"/>
    </row>
    <row r="106" spans="1:25" ht="16.5" customHeight="1" x14ac:dyDescent="0.35">
      <c r="A106" s="172"/>
      <c r="B106" s="167"/>
      <c r="C106" s="1434"/>
      <c r="D106" s="187"/>
      <c r="E106" s="56"/>
      <c r="F106" s="1214"/>
      <c r="G106" s="798"/>
      <c r="H106" s="1462"/>
      <c r="I106" s="1435"/>
      <c r="J106" s="798"/>
      <c r="K106" s="39">
        <f t="shared" si="4"/>
        <v>0</v>
      </c>
      <c r="L106" s="688"/>
      <c r="M106" s="1436"/>
      <c r="N106" s="462"/>
      <c r="O106" s="42">
        <f t="shared" si="3"/>
        <v>0</v>
      </c>
      <c r="P106" s="1486"/>
      <c r="Q106" s="1487"/>
      <c r="R106" s="375"/>
      <c r="S106" s="125"/>
      <c r="T106" s="1455"/>
      <c r="U106" s="1456"/>
      <c r="V106" s="960"/>
      <c r="W106" s="961"/>
    </row>
    <row r="107" spans="1:25" ht="16.5" customHeight="1" x14ac:dyDescent="0.35">
      <c r="A107" s="152"/>
      <c r="B107" s="167"/>
      <c r="C107" s="194"/>
      <c r="D107" s="187"/>
      <c r="E107" s="56"/>
      <c r="F107" s="1214"/>
      <c r="G107" s="798"/>
      <c r="H107" s="659"/>
      <c r="I107" s="164"/>
      <c r="J107" s="798"/>
      <c r="K107" s="39">
        <f t="shared" si="4"/>
        <v>0</v>
      </c>
      <c r="L107" s="68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5" ht="16.5" customHeight="1" x14ac:dyDescent="0.35">
      <c r="A108" s="152"/>
      <c r="B108" s="167"/>
      <c r="C108" s="194"/>
      <c r="D108" s="187"/>
      <c r="E108" s="56"/>
      <c r="F108" s="1214"/>
      <c r="G108" s="798"/>
      <c r="H108" s="659"/>
      <c r="I108" s="164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674"/>
      <c r="R108" s="375"/>
      <c r="S108" s="125"/>
      <c r="T108" s="176"/>
      <c r="U108" s="177"/>
      <c r="V108" s="49"/>
      <c r="W108" s="50"/>
    </row>
    <row r="109" spans="1:25" ht="16.5" customHeight="1" x14ac:dyDescent="0.35">
      <c r="A109" s="152"/>
      <c r="B109" s="167"/>
      <c r="C109" s="194"/>
      <c r="D109" s="181"/>
      <c r="E109" s="56"/>
      <c r="F109" s="1214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5" ht="16.5" customHeight="1" x14ac:dyDescent="0.35">
      <c r="A110" s="152"/>
      <c r="B110" s="167"/>
      <c r="C110" s="174"/>
      <c r="D110" s="181"/>
      <c r="E110" s="56">
        <f t="shared" ref="E110:E175" si="9">D110*G110</f>
        <v>0</v>
      </c>
      <c r="F110" s="1214"/>
      <c r="G110" s="798"/>
      <c r="H110" s="659"/>
      <c r="I110" s="164"/>
      <c r="J110" s="798"/>
      <c r="K110" s="39">
        <f t="shared" si="4"/>
        <v>0</v>
      </c>
      <c r="L110" s="234"/>
      <c r="M110" s="575"/>
      <c r="N110" s="81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5" ht="16.5" customHeight="1" x14ac:dyDescent="0.35">
      <c r="A111" s="98"/>
      <c r="B111" s="167"/>
      <c r="C111" s="188"/>
      <c r="D111" s="187"/>
      <c r="E111" s="56">
        <f t="shared" si="9"/>
        <v>0</v>
      </c>
      <c r="F111" s="1214"/>
      <c r="G111" s="798"/>
      <c r="H111" s="659"/>
      <c r="I111" s="168"/>
      <c r="J111" s="798"/>
      <c r="K111" s="39">
        <f t="shared" si="4"/>
        <v>0</v>
      </c>
      <c r="L111" s="234"/>
      <c r="M111" s="575"/>
      <c r="N111" s="81"/>
      <c r="O111" s="42">
        <f t="shared" si="3"/>
        <v>0</v>
      </c>
      <c r="P111" s="375"/>
      <c r="Q111" s="764"/>
      <c r="R111" s="375"/>
      <c r="S111" s="125"/>
      <c r="T111" s="176"/>
      <c r="U111" s="177"/>
      <c r="V111" s="49"/>
      <c r="W111" s="50"/>
    </row>
    <row r="112" spans="1:25" ht="16.5" customHeight="1" x14ac:dyDescent="0.35">
      <c r="A112" s="98"/>
      <c r="B112" s="167"/>
      <c r="C112" s="189"/>
      <c r="D112" s="187"/>
      <c r="E112" s="56">
        <f t="shared" si="9"/>
        <v>0</v>
      </c>
      <c r="F112" s="1214"/>
      <c r="G112" s="798"/>
      <c r="H112" s="659"/>
      <c r="I112" s="168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76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91"/>
      <c r="D113" s="191"/>
      <c r="E113" s="56">
        <f t="shared" si="9"/>
        <v>0</v>
      </c>
      <c r="F113" s="1214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10"/>
      <c r="B114" s="99"/>
      <c r="C114" s="191"/>
      <c r="D114" s="191"/>
      <c r="E114" s="56">
        <f t="shared" si="9"/>
        <v>0</v>
      </c>
      <c r="F114" s="1214"/>
      <c r="G114" s="805"/>
      <c r="H114" s="120"/>
      <c r="I114" s="59"/>
      <c r="J114" s="805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7.25" x14ac:dyDescent="0.3">
      <c r="A115" s="110"/>
      <c r="B115" s="99"/>
      <c r="C115" s="194"/>
      <c r="D115" s="191"/>
      <c r="E115" s="56">
        <f t="shared" si="9"/>
        <v>0</v>
      </c>
      <c r="F115" s="1214"/>
      <c r="G115" s="805"/>
      <c r="H115" s="120"/>
      <c r="I115" s="59"/>
      <c r="J115" s="805"/>
      <c r="K115" s="39">
        <f t="shared" si="4"/>
        <v>0</v>
      </c>
      <c r="L115" s="234"/>
      <c r="M115" s="753"/>
      <c r="N115" s="753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7.25" x14ac:dyDescent="0.3">
      <c r="A116" s="110"/>
      <c r="B116" s="99"/>
      <c r="C116" s="154"/>
      <c r="D116" s="191"/>
      <c r="E116" s="56">
        <f t="shared" si="9"/>
        <v>0</v>
      </c>
      <c r="F116" s="1214"/>
      <c r="G116" s="805"/>
      <c r="H116" s="120"/>
      <c r="I116" s="59"/>
      <c r="J116" s="805"/>
      <c r="K116" s="39">
        <f t="shared" si="4"/>
        <v>0</v>
      </c>
      <c r="L116" s="234"/>
      <c r="M116" s="753"/>
      <c r="N116" s="753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21" customHeight="1" x14ac:dyDescent="0.3">
      <c r="A117" s="193"/>
      <c r="B117" s="99"/>
      <c r="C117" s="194"/>
      <c r="D117" s="191"/>
      <c r="E117" s="56">
        <f t="shared" si="9"/>
        <v>0</v>
      </c>
      <c r="F117" s="1214"/>
      <c r="G117" s="805"/>
      <c r="H117" s="120"/>
      <c r="I117" s="59"/>
      <c r="J117" s="805"/>
      <c r="K117" s="39">
        <f t="shared" si="4"/>
        <v>0</v>
      </c>
      <c r="L117" s="234"/>
      <c r="M117" s="754"/>
      <c r="N117" s="755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26.25" customHeight="1" x14ac:dyDescent="0.3">
      <c r="A118" s="196"/>
      <c r="B118" s="99"/>
      <c r="C118" s="154"/>
      <c r="D118" s="191"/>
      <c r="E118" s="56">
        <f t="shared" si="9"/>
        <v>0</v>
      </c>
      <c r="F118" s="1214"/>
      <c r="G118" s="805"/>
      <c r="H118" s="120"/>
      <c r="I118" s="59"/>
      <c r="J118" s="805"/>
      <c r="K118" s="39">
        <f t="shared" si="4"/>
        <v>0</v>
      </c>
      <c r="L118" s="234"/>
      <c r="M118" s="754"/>
      <c r="N118" s="755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x14ac:dyDescent="0.35">
      <c r="A119" s="101"/>
      <c r="B119" s="99"/>
      <c r="C119" s="191"/>
      <c r="D119" s="191"/>
      <c r="E119" s="56">
        <f t="shared" si="9"/>
        <v>0</v>
      </c>
      <c r="F119" s="1214"/>
      <c r="G119" s="805"/>
      <c r="H119" s="120"/>
      <c r="I119" s="59"/>
      <c r="J119" s="805"/>
      <c r="K119" s="39">
        <f t="shared" si="4"/>
        <v>0</v>
      </c>
      <c r="L119" s="234"/>
      <c r="M119" s="575"/>
      <c r="N119" s="81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x14ac:dyDescent="0.35">
      <c r="A120" s="101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4"/>
        <v>0</v>
      </c>
      <c r="L120" s="234"/>
      <c r="M120" s="575"/>
      <c r="N120" s="81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4"/>
        <v>0</v>
      </c>
      <c r="L121" s="81"/>
      <c r="M121" s="582"/>
      <c r="N121" s="583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10"/>
      <c r="B122" s="99"/>
      <c r="C122" s="191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4"/>
        <v>0</v>
      </c>
      <c r="L122" s="81"/>
      <c r="M122" s="582"/>
      <c r="N122" s="583"/>
      <c r="O122" s="42">
        <f t="shared" si="3"/>
        <v>0</v>
      </c>
      <c r="P122" s="375"/>
      <c r="Q122" s="674"/>
      <c r="R122" s="375"/>
      <c r="S122" s="125"/>
      <c r="T122" s="176"/>
      <c r="U122" s="177"/>
      <c r="V122" s="49"/>
      <c r="W122" s="50"/>
    </row>
    <row r="123" spans="1:23" x14ac:dyDescent="0.35">
      <c r="A123" s="110"/>
      <c r="B123" s="99"/>
      <c r="C123" s="191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674"/>
      <c r="R123" s="375"/>
      <c r="S123" s="125"/>
      <c r="T123" s="176"/>
      <c r="U123" s="177"/>
      <c r="V123" s="49"/>
      <c r="W123" s="50"/>
    </row>
    <row r="124" spans="1:23" x14ac:dyDescent="0.35">
      <c r="A124" s="99"/>
      <c r="B124" s="99"/>
      <c r="C124" s="191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99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4"/>
        <v>0</v>
      </c>
      <c r="L125" s="81"/>
      <c r="M125" s="566"/>
      <c r="N125" s="61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02"/>
      <c r="B126" s="99"/>
      <c r="C126" s="197"/>
      <c r="D126" s="197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4"/>
        <v>0</v>
      </c>
      <c r="L126" s="81"/>
      <c r="M126" s="566"/>
      <c r="N126" s="61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152"/>
      <c r="B127" s="110"/>
      <c r="C127" s="194"/>
      <c r="D127" s="194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52"/>
      <c r="B128" s="110"/>
      <c r="C128" s="197"/>
      <c r="D128" s="197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7"/>
      <c r="D129" s="197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1"/>
      <c r="B130" s="99"/>
      <c r="C130" s="197"/>
      <c r="D130" s="197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6"/>
      <c r="V130" s="49"/>
      <c r="W130" s="50"/>
    </row>
    <row r="131" spans="1:23" x14ac:dyDescent="0.35">
      <c r="A131" s="101"/>
      <c r="B131" s="99"/>
      <c r="C131" s="197"/>
      <c r="D131" s="197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6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99"/>
      <c r="B133" s="198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99"/>
      <c r="B134" s="99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99"/>
      <c r="B135" s="99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ref="K135:K272" si="10">J135-G135</f>
        <v>0</v>
      </c>
      <c r="L135" s="81"/>
      <c r="M135" s="566"/>
      <c r="N135" s="61"/>
      <c r="O135" s="42">
        <f t="shared" ref="O135:O200" si="11">L135*J135</f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10"/>
        <v>0</v>
      </c>
      <c r="L136" s="81"/>
      <c r="M136" s="566"/>
      <c r="N136" s="61"/>
      <c r="O136" s="42">
        <f t="shared" si="11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ht="24" thickBot="1" x14ac:dyDescent="0.4">
      <c r="A137" s="99"/>
      <c r="B137" s="199"/>
      <c r="C137" s="200"/>
      <c r="D137" s="200"/>
      <c r="E137" s="201">
        <f t="shared" si="9"/>
        <v>0</v>
      </c>
      <c r="F137" s="1216"/>
      <c r="G137" s="808"/>
      <c r="H137" s="1013"/>
      <c r="I137" s="1012"/>
      <c r="J137" s="805"/>
      <c r="K137" s="39">
        <f t="shared" si="10"/>
        <v>0</v>
      </c>
      <c r="L137" s="81"/>
      <c r="M137" s="566"/>
      <c r="N137" s="61"/>
      <c r="O137" s="42">
        <f t="shared" si="11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ht="24.75" thickTop="1" thickBot="1" x14ac:dyDescent="0.4">
      <c r="A138" s="99"/>
      <c r="B138" s="99"/>
      <c r="C138" s="197"/>
      <c r="D138" s="197"/>
      <c r="E138" s="34">
        <f t="shared" si="9"/>
        <v>0</v>
      </c>
      <c r="F138" s="1216"/>
      <c r="G138" s="805"/>
      <c r="H138" s="120"/>
      <c r="I138" s="59"/>
      <c r="J138" s="805"/>
      <c r="K138" s="39">
        <f t="shared" si="10"/>
        <v>0</v>
      </c>
      <c r="L138" s="81"/>
      <c r="M138" s="566"/>
      <c r="N138" s="61"/>
      <c r="O138" s="42">
        <f t="shared" si="11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.75" thickTop="1" thickBot="1" x14ac:dyDescent="0.4">
      <c r="A139" s="110"/>
      <c r="B139" s="99"/>
      <c r="C139" s="197"/>
      <c r="D139" s="197"/>
      <c r="E139" s="34">
        <f t="shared" si="9"/>
        <v>0</v>
      </c>
      <c r="F139" s="1216"/>
      <c r="G139" s="805"/>
      <c r="H139" s="120"/>
      <c r="I139" s="59"/>
      <c r="J139" s="805"/>
      <c r="K139" s="39">
        <f t="shared" si="10"/>
        <v>0</v>
      </c>
      <c r="L139" s="81"/>
      <c r="M139" s="566"/>
      <c r="N139" s="61"/>
      <c r="O139" s="42">
        <f t="shared" si="11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110"/>
      <c r="B140" s="99"/>
      <c r="C140" s="197"/>
      <c r="D140" s="197"/>
      <c r="E140" s="34">
        <f t="shared" si="9"/>
        <v>0</v>
      </c>
      <c r="F140" s="1216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9"/>
        <v>0</v>
      </c>
      <c r="F141" s="1216"/>
      <c r="G141" s="805"/>
      <c r="H141" s="120"/>
      <c r="I141" s="59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6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98"/>
      <c r="B143" s="99"/>
      <c r="C143" s="197"/>
      <c r="D143" s="197"/>
      <c r="E143" s="34">
        <f t="shared" si="9"/>
        <v>0</v>
      </c>
      <c r="F143" s="1216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01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01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202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203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4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4"/>
      <c r="B149" s="99"/>
      <c r="C149" s="154"/>
      <c r="D149" s="154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9"/>
        <v>0</v>
      </c>
      <c r="F150" s="1216"/>
      <c r="G150" s="805"/>
      <c r="H150" s="120"/>
      <c r="I150" s="205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54"/>
      <c r="D151" s="154"/>
      <c r="E151" s="34">
        <f t="shared" si="9"/>
        <v>0</v>
      </c>
      <c r="F151" s="1216"/>
      <c r="G151" s="805"/>
      <c r="H151" s="120"/>
      <c r="I151" s="205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9"/>
        <v>0</v>
      </c>
      <c r="F152" s="1216"/>
      <c r="G152" s="805"/>
      <c r="H152" s="120"/>
      <c r="I152" s="205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4"/>
      <c r="D153" s="194"/>
      <c r="E153" s="34">
        <f t="shared" si="9"/>
        <v>0</v>
      </c>
      <c r="F153" s="1216"/>
      <c r="G153" s="805"/>
      <c r="H153" s="120"/>
      <c r="I153" s="205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99"/>
      <c r="B154" s="99"/>
      <c r="C154" s="197"/>
      <c r="D154" s="197"/>
      <c r="E154" s="34">
        <f t="shared" si="9"/>
        <v>0</v>
      </c>
      <c r="F154" s="1216"/>
      <c r="G154" s="805"/>
      <c r="H154" s="120"/>
      <c r="I154" s="206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208"/>
      <c r="T154" s="176"/>
      <c r="U154" s="177"/>
      <c r="V154" s="49"/>
      <c r="W154" s="50"/>
    </row>
    <row r="155" spans="1:23" ht="24.75" thickTop="1" thickBot="1" x14ac:dyDescent="0.4">
      <c r="A155" s="99"/>
      <c r="B155" s="99"/>
      <c r="C155" s="197"/>
      <c r="D155" s="197"/>
      <c r="E155" s="34">
        <f t="shared" si="9"/>
        <v>0</v>
      </c>
      <c r="F155" s="1216"/>
      <c r="G155" s="805"/>
      <c r="H155" s="120"/>
      <c r="I155" s="206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208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6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6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102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474"/>
      <c r="Q158" s="764"/>
      <c r="R158" s="210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474"/>
      <c r="Q159" s="764"/>
      <c r="R159" s="210"/>
      <c r="S159" s="208"/>
      <c r="T159" s="176"/>
      <c r="U159" s="177"/>
      <c r="V159" s="49"/>
      <c r="W159" s="50"/>
    </row>
    <row r="160" spans="1:23" ht="24.75" thickTop="1" thickBot="1" x14ac:dyDescent="0.4">
      <c r="A160" s="101"/>
      <c r="B160" s="99"/>
      <c r="C160" s="197"/>
      <c r="D160" s="181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69"/>
      <c r="Q160" s="670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101"/>
      <c r="B161" s="99"/>
      <c r="C161" s="197"/>
      <c r="D161" s="181"/>
      <c r="E161" s="34">
        <f t="shared" si="9"/>
        <v>0</v>
      </c>
      <c r="F161" s="1216"/>
      <c r="G161" s="805"/>
      <c r="H161" s="120"/>
      <c r="I161" s="205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69"/>
      <c r="Q161" s="670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9"/>
        <v>0</v>
      </c>
      <c r="F162" s="1216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9"/>
        <v>0</v>
      </c>
      <c r="F163" s="1216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203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69"/>
      <c r="B166" s="99"/>
      <c r="C166" s="154"/>
      <c r="D166" s="182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69"/>
      <c r="B167" s="99"/>
      <c r="C167" s="154"/>
      <c r="D167" s="182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1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203"/>
      <c r="B170" s="99"/>
      <c r="C170" s="197"/>
      <c r="D170" s="197"/>
      <c r="E170" s="34">
        <f t="shared" si="9"/>
        <v>0</v>
      </c>
      <c r="F170" s="1216"/>
      <c r="G170" s="805"/>
      <c r="H170" s="120"/>
      <c r="I170" s="206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13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14"/>
      <c r="B173" s="99"/>
      <c r="C173" s="197"/>
      <c r="D173" s="197"/>
      <c r="E173" s="34">
        <f t="shared" si="9"/>
        <v>0</v>
      </c>
      <c r="F173" s="1216"/>
      <c r="G173" s="805"/>
      <c r="H173" s="120"/>
      <c r="I173" s="21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216"/>
      <c r="Q173" s="676"/>
      <c r="R173" s="218"/>
      <c r="S173" s="219"/>
      <c r="T173" s="176"/>
      <c r="U173" s="177"/>
      <c r="V173" s="49"/>
      <c r="W173" s="50"/>
    </row>
    <row r="174" spans="1:23" ht="24.75" thickTop="1" thickBot="1" x14ac:dyDescent="0.4">
      <c r="A174" s="220"/>
      <c r="B174" s="99"/>
      <c r="C174" s="197"/>
      <c r="D174" s="197"/>
      <c r="E174" s="34">
        <f t="shared" si="9"/>
        <v>0</v>
      </c>
      <c r="F174" s="1216"/>
      <c r="G174" s="805"/>
      <c r="H174" s="661"/>
      <c r="I174" s="222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223"/>
      <c r="Q174" s="125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4"/>
      <c r="B175" s="99"/>
      <c r="C175" s="197"/>
      <c r="D175" s="197"/>
      <c r="E175" s="34">
        <f t="shared" si="9"/>
        <v>0</v>
      </c>
      <c r="F175" s="1216"/>
      <c r="G175" s="805"/>
      <c r="H175" s="224"/>
      <c r="I175" s="21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223"/>
      <c r="Q175" s="125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4"/>
      <c r="B176" s="99"/>
      <c r="C176" s="197"/>
      <c r="D176" s="197"/>
      <c r="E176" s="34">
        <f t="shared" ref="E176:E245" si="12">D176*G176</f>
        <v>0</v>
      </c>
      <c r="F176" s="1216"/>
      <c r="G176" s="805"/>
      <c r="H176" s="224"/>
      <c r="I176" s="222"/>
      <c r="J176" s="805"/>
      <c r="K176" s="39">
        <f t="shared" si="10"/>
        <v>0</v>
      </c>
      <c r="L176" s="225"/>
      <c r="M176" s="566"/>
      <c r="N176" s="61" t="s">
        <v>26</v>
      </c>
      <c r="O176" s="42">
        <f t="shared" si="11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12"/>
        <v>0</v>
      </c>
      <c r="F177" s="1216"/>
      <c r="G177" s="805"/>
      <c r="H177" s="224"/>
      <c r="I177" s="222"/>
      <c r="J177" s="805"/>
      <c r="K177" s="39">
        <f t="shared" si="10"/>
        <v>0</v>
      </c>
      <c r="L177" s="225"/>
      <c r="M177" s="566"/>
      <c r="N177" s="61"/>
      <c r="O177" s="42">
        <f t="shared" si="11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169"/>
      <c r="B178" s="99"/>
      <c r="C178" s="226"/>
      <c r="D178" s="226"/>
      <c r="E178" s="34">
        <f t="shared" si="12"/>
        <v>0</v>
      </c>
      <c r="F178" s="1216"/>
      <c r="G178" s="805"/>
      <c r="H178" s="224"/>
      <c r="I178" s="227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8"/>
      <c r="Q178" s="677"/>
      <c r="R178" s="124"/>
      <c r="S178" s="125"/>
      <c r="T178" s="176"/>
      <c r="U178" s="177"/>
      <c r="V178" s="49"/>
      <c r="W178" s="50"/>
    </row>
    <row r="179" spans="1:23" ht="24.75" thickTop="1" thickBot="1" x14ac:dyDescent="0.4">
      <c r="A179" s="230"/>
      <c r="B179" s="99"/>
      <c r="C179" s="197"/>
      <c r="D179" s="197"/>
      <c r="E179" s="34">
        <f t="shared" si="12"/>
        <v>0</v>
      </c>
      <c r="F179" s="1216"/>
      <c r="G179" s="805"/>
      <c r="H179" s="224"/>
      <c r="I179" s="205"/>
      <c r="J179" s="805"/>
      <c r="K179" s="39">
        <f t="shared" si="10"/>
        <v>0</v>
      </c>
      <c r="L179" s="225"/>
      <c r="M179" s="570"/>
      <c r="N179" s="231"/>
      <c r="O179" s="42">
        <f t="shared" si="11"/>
        <v>0</v>
      </c>
      <c r="P179" s="228"/>
      <c r="Q179" s="677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12"/>
        <v>0</v>
      </c>
      <c r="F180" s="1216"/>
      <c r="G180" s="805"/>
      <c r="H180" s="224"/>
      <c r="I180" s="205"/>
      <c r="J180" s="805"/>
      <c r="K180" s="39">
        <f t="shared" si="10"/>
        <v>0</v>
      </c>
      <c r="L180" s="225"/>
      <c r="M180" s="570"/>
      <c r="N180" s="231"/>
      <c r="O180" s="42">
        <f t="shared" si="11"/>
        <v>0</v>
      </c>
      <c r="P180" s="69"/>
      <c r="Q180" s="670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12"/>
        <v>0</v>
      </c>
      <c r="F181" s="1216"/>
      <c r="G181" s="805"/>
      <c r="H181" s="224"/>
      <c r="I181" s="232"/>
      <c r="J181" s="805"/>
      <c r="K181" s="39">
        <f t="shared" si="10"/>
        <v>0</v>
      </c>
      <c r="L181" s="233"/>
      <c r="M181" s="570"/>
      <c r="N181" s="231"/>
      <c r="O181" s="42">
        <f t="shared" si="11"/>
        <v>0</v>
      </c>
      <c r="P181" s="223"/>
      <c r="Q181" s="125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12"/>
        <v>0</v>
      </c>
      <c r="F182" s="1216"/>
      <c r="G182" s="805"/>
      <c r="H182" s="224"/>
      <c r="I182" s="205"/>
      <c r="J182" s="805"/>
      <c r="K182" s="39">
        <f t="shared" si="10"/>
        <v>0</v>
      </c>
      <c r="L182" s="234"/>
      <c r="M182" s="571"/>
      <c r="N182" s="235"/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36"/>
      <c r="B183" s="99"/>
      <c r="C183" s="197"/>
      <c r="D183" s="197"/>
      <c r="E183" s="34">
        <f t="shared" si="12"/>
        <v>0</v>
      </c>
      <c r="F183" s="1216"/>
      <c r="G183" s="809"/>
      <c r="H183" s="224"/>
      <c r="I183" s="213"/>
      <c r="J183" s="805"/>
      <c r="K183" s="39">
        <f t="shared" si="10"/>
        <v>0</v>
      </c>
      <c r="L183" s="234"/>
      <c r="M183" s="572"/>
      <c r="N183" s="238"/>
      <c r="O183" s="42">
        <f t="shared" si="11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14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05"/>
      <c r="J184" s="805"/>
      <c r="K184" s="39">
        <f t="shared" si="10"/>
        <v>0</v>
      </c>
      <c r="L184" s="234"/>
      <c r="M184" s="570"/>
      <c r="N184" s="231"/>
      <c r="O184" s="42">
        <f t="shared" si="11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39"/>
      <c r="J185" s="805"/>
      <c r="K185" s="39">
        <f t="shared" si="10"/>
        <v>0</v>
      </c>
      <c r="L185" s="81"/>
      <c r="M185" s="570"/>
      <c r="N185" s="231"/>
      <c r="O185" s="42">
        <f t="shared" si="11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15"/>
      <c r="J186" s="805"/>
      <c r="K186" s="39">
        <f t="shared" si="10"/>
        <v>0</v>
      </c>
      <c r="L186" s="234"/>
      <c r="M186" s="570"/>
      <c r="N186" s="231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175"/>
      <c r="J187" s="805"/>
      <c r="K187" s="39">
        <f t="shared" si="10"/>
        <v>0</v>
      </c>
      <c r="L187" s="234"/>
      <c r="M187" s="570"/>
      <c r="N187" s="231"/>
      <c r="O187" s="42">
        <f t="shared" si="11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40"/>
      <c r="J188" s="805"/>
      <c r="K188" s="39">
        <f t="shared" si="10"/>
        <v>0</v>
      </c>
      <c r="L188" s="234"/>
      <c r="M188" s="573"/>
      <c r="N188" s="24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175"/>
      <c r="J189" s="805"/>
      <c r="K189" s="39">
        <f t="shared" si="10"/>
        <v>0</v>
      </c>
      <c r="L189" s="234"/>
      <c r="M189" s="573"/>
      <c r="N189" s="24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175"/>
      <c r="J190" s="805"/>
      <c r="K190" s="39">
        <f t="shared" si="10"/>
        <v>0</v>
      </c>
      <c r="L190" s="234"/>
      <c r="M190" s="573"/>
      <c r="N190" s="24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175"/>
      <c r="J191" s="805"/>
      <c r="K191" s="39">
        <f t="shared" si="10"/>
        <v>0</v>
      </c>
      <c r="L191" s="81"/>
      <c r="M191" s="566"/>
      <c r="N191" s="6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242"/>
      <c r="D192" s="242"/>
      <c r="E192" s="34">
        <f t="shared" si="12"/>
        <v>0</v>
      </c>
      <c r="F192" s="1216"/>
      <c r="G192" s="805"/>
      <c r="H192" s="224"/>
      <c r="I192" s="175"/>
      <c r="J192" s="805"/>
      <c r="K192" s="39">
        <f t="shared" si="10"/>
        <v>0</v>
      </c>
      <c r="L192" s="81"/>
      <c r="M192" s="566"/>
      <c r="N192" s="61"/>
      <c r="O192" s="42">
        <f t="shared" si="11"/>
        <v>0</v>
      </c>
      <c r="P192" s="223"/>
      <c r="Q192" s="125"/>
      <c r="R192" s="124"/>
      <c r="S192" s="125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242"/>
      <c r="D193" s="242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81"/>
      <c r="M193" s="566"/>
      <c r="N193" s="61"/>
      <c r="O193" s="42">
        <f t="shared" si="11"/>
        <v>0</v>
      </c>
      <c r="P193" s="223"/>
      <c r="Q193" s="125"/>
      <c r="R193" s="124"/>
      <c r="S193" s="125"/>
      <c r="T193" s="176"/>
      <c r="U193" s="177"/>
      <c r="V193" s="49"/>
      <c r="W193" s="50"/>
    </row>
    <row r="194" spans="1:23" ht="24.75" thickTop="1" thickBot="1" x14ac:dyDescent="0.4">
      <c r="A194" s="101"/>
      <c r="B194" s="99"/>
      <c r="C194" s="226"/>
      <c r="D194" s="226"/>
      <c r="E194" s="34">
        <f t="shared" si="12"/>
        <v>0</v>
      </c>
      <c r="F194" s="1216"/>
      <c r="G194" s="805"/>
      <c r="H194" s="224"/>
      <c r="I194" s="227"/>
      <c r="J194" s="805"/>
      <c r="K194" s="39">
        <f t="shared" si="10"/>
        <v>0</v>
      </c>
      <c r="L194" s="81"/>
      <c r="M194" s="566"/>
      <c r="N194" s="61"/>
      <c r="O194" s="42">
        <f t="shared" si="11"/>
        <v>0</v>
      </c>
      <c r="P194" s="69"/>
      <c r="Q194" s="670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4"/>
      <c r="D195" s="244"/>
      <c r="E195" s="34">
        <f t="shared" si="12"/>
        <v>0</v>
      </c>
      <c r="F195" s="1216"/>
      <c r="G195" s="805"/>
      <c r="H195" s="224"/>
      <c r="I195" s="59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69"/>
      <c r="Q195" s="670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69"/>
      <c r="B196" s="99"/>
      <c r="C196" s="226"/>
      <c r="D196" s="226"/>
      <c r="E196" s="34">
        <f t="shared" si="12"/>
        <v>0</v>
      </c>
      <c r="F196" s="1216"/>
      <c r="G196" s="805"/>
      <c r="H196" s="224"/>
      <c r="I196" s="227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45"/>
      <c r="B197" s="246"/>
      <c r="C197" s="197"/>
      <c r="D197" s="181"/>
      <c r="E197" s="34">
        <f t="shared" si="12"/>
        <v>0</v>
      </c>
      <c r="F197" s="1216"/>
      <c r="G197" s="805"/>
      <c r="H197" s="224"/>
      <c r="I197" s="227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8"/>
      <c r="Q197" s="677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49"/>
      <c r="D198" s="247"/>
      <c r="E198" s="34">
        <f t="shared" si="12"/>
        <v>0</v>
      </c>
      <c r="F198" s="1216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49"/>
      <c r="D199" s="247"/>
      <c r="E199" s="34">
        <f t="shared" si="12"/>
        <v>0</v>
      </c>
      <c r="F199" s="1216"/>
      <c r="G199" s="805"/>
      <c r="H199" s="224"/>
      <c r="I199" s="227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8"/>
      <c r="B200" s="99"/>
      <c r="C200" s="249"/>
      <c r="D200" s="249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597"/>
      <c r="D201" s="250"/>
      <c r="E201" s="34">
        <f t="shared" si="12"/>
        <v>0</v>
      </c>
      <c r="F201" s="1216"/>
      <c r="G201" s="805"/>
      <c r="H201" s="209"/>
      <c r="I201" s="227"/>
      <c r="J201" s="805"/>
      <c r="K201" s="39">
        <f t="shared" si="10"/>
        <v>0</v>
      </c>
      <c r="L201" s="81"/>
      <c r="M201" s="566"/>
      <c r="N201" s="61"/>
      <c r="O201" s="42">
        <f t="shared" ref="O201:O290" si="13">L201*J201</f>
        <v>0</v>
      </c>
      <c r="P201" s="62"/>
      <c r="Q201" s="678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597"/>
      <c r="D202" s="250"/>
      <c r="E202" s="34">
        <f t="shared" si="12"/>
        <v>0</v>
      </c>
      <c r="F202" s="1216"/>
      <c r="G202" s="805"/>
      <c r="H202" s="120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3"/>
        <v>0</v>
      </c>
      <c r="P202" s="62"/>
      <c r="Q202" s="678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203"/>
      <c r="C203" s="188"/>
      <c r="D203" s="253"/>
      <c r="E203" s="34">
        <f t="shared" si="12"/>
        <v>0</v>
      </c>
      <c r="F203" s="1216"/>
      <c r="G203" s="810"/>
      <c r="H203" s="224"/>
      <c r="I203" s="255"/>
      <c r="J203" s="810"/>
      <c r="K203" s="39">
        <f t="shared" si="10"/>
        <v>0</v>
      </c>
      <c r="O203" s="42">
        <f t="shared" si="13"/>
        <v>0</v>
      </c>
      <c r="P203" s="257"/>
      <c r="Q203" s="125"/>
      <c r="R203" s="258"/>
      <c r="S203" s="259"/>
      <c r="T203" s="260"/>
      <c r="U203" s="261"/>
      <c r="V203" s="262"/>
      <c r="W203" s="263"/>
    </row>
    <row r="204" spans="1:23" ht="24.75" thickTop="1" thickBot="1" x14ac:dyDescent="0.4">
      <c r="A204" s="169"/>
      <c r="B204" s="99"/>
      <c r="C204" s="249"/>
      <c r="D204" s="249"/>
      <c r="E204" s="34">
        <f t="shared" si="12"/>
        <v>0</v>
      </c>
      <c r="F204" s="1216"/>
      <c r="G204" s="810"/>
      <c r="H204" s="224"/>
      <c r="I204" s="255"/>
      <c r="J204" s="810"/>
      <c r="K204" s="39">
        <f t="shared" si="10"/>
        <v>0</v>
      </c>
      <c r="O204" s="42">
        <f t="shared" si="13"/>
        <v>0</v>
      </c>
      <c r="P204" s="257"/>
      <c r="Q204" s="125"/>
      <c r="R204" s="258"/>
      <c r="S204" s="259"/>
      <c r="T204" s="260"/>
      <c r="U204" s="261"/>
      <c r="V204" s="262"/>
      <c r="W204" s="263"/>
    </row>
    <row r="205" spans="1:23" ht="24.75" thickTop="1" thickBot="1" x14ac:dyDescent="0.4">
      <c r="A205" s="169"/>
      <c r="B205" s="99"/>
      <c r="C205" s="249"/>
      <c r="D205" s="249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3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270"/>
      <c r="D207" s="264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3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70"/>
      <c r="D208" s="264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12"/>
        <v>0</v>
      </c>
      <c r="F209" s="1216"/>
      <c r="G209" s="805"/>
      <c r="H209" s="209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265"/>
      <c r="D210" s="265"/>
      <c r="E210" s="34">
        <f t="shared" si="12"/>
        <v>0</v>
      </c>
      <c r="F210" s="1216"/>
      <c r="G210" s="805"/>
      <c r="H210" s="209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6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4"/>
      <c r="D212" s="244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4"/>
      <c r="D213" s="244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12"/>
        <v>0</v>
      </c>
      <c r="F214" s="1216"/>
      <c r="G214" s="805"/>
      <c r="H214" s="224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12"/>
        <v>0</v>
      </c>
      <c r="F215" s="1216"/>
      <c r="G215" s="805"/>
      <c r="H215" s="224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248"/>
      <c r="B216" s="203"/>
      <c r="C216" s="249"/>
      <c r="D216" s="249"/>
      <c r="E216" s="34">
        <f t="shared" si="12"/>
        <v>0</v>
      </c>
      <c r="F216" s="1216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266"/>
      <c r="B217" s="99"/>
      <c r="C217" s="597"/>
      <c r="D217" s="250"/>
      <c r="E217" s="34">
        <f t="shared" si="12"/>
        <v>0</v>
      </c>
      <c r="F217" s="1216"/>
      <c r="G217" s="805"/>
      <c r="H217" s="120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2"/>
      <c r="Q217" s="678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203"/>
      <c r="C218" s="598"/>
      <c r="D218" s="267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203"/>
      <c r="C219" s="598"/>
      <c r="D219" s="267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12"/>
        <v>0</v>
      </c>
      <c r="F221" s="1216"/>
      <c r="G221" s="811"/>
      <c r="H221" s="209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6"/>
      <c r="G222" s="811"/>
      <c r="H222" s="209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6"/>
      <c r="G223" s="811"/>
      <c r="H223" s="209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11"/>
      <c r="H224" s="209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05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244"/>
      <c r="D229" s="244"/>
      <c r="E229" s="34">
        <f t="shared" si="12"/>
        <v>0</v>
      </c>
      <c r="F229" s="1216"/>
      <c r="G229" s="805"/>
      <c r="H229" s="224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244"/>
      <c r="D230" s="244"/>
      <c r="E230" s="34">
        <f t="shared" si="12"/>
        <v>0</v>
      </c>
      <c r="F230" s="1216"/>
      <c r="G230" s="805"/>
      <c r="H230" s="224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12"/>
        <v>0</v>
      </c>
      <c r="F231" s="1216"/>
      <c r="G231" s="805"/>
      <c r="H231" s="224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12"/>
        <v>0</v>
      </c>
      <c r="F232" s="1216"/>
      <c r="G232" s="805"/>
      <c r="H232" s="224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6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6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203"/>
      <c r="B237" s="253"/>
      <c r="C237" s="244"/>
      <c r="D237" s="244"/>
      <c r="E237" s="34">
        <f t="shared" si="12"/>
        <v>0</v>
      </c>
      <c r="F237" s="1216"/>
      <c r="G237" s="805"/>
      <c r="H237" s="120"/>
      <c r="I237" s="59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266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66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ref="E246:E290" si="14">D246*G246</f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4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4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4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4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70"/>
      <c r="D252" s="270"/>
      <c r="E252" s="34">
        <f t="shared" si="14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6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65"/>
      <c r="D255" s="265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65"/>
      <c r="D256" s="265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9"/>
      <c r="D258" s="249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197"/>
      <c r="D259" s="197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204"/>
      <c r="B260" s="203"/>
      <c r="C260" s="226"/>
      <c r="D260" s="226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26"/>
      <c r="D261" s="226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26"/>
      <c r="D262" s="226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014"/>
      <c r="B263" s="272"/>
      <c r="C263" s="226"/>
      <c r="D263" s="226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72"/>
      <c r="C264" s="226"/>
      <c r="D264" s="226"/>
      <c r="E264" s="34">
        <f t="shared" si="14"/>
        <v>0</v>
      </c>
      <c r="F264" s="1216"/>
      <c r="G264" s="805"/>
      <c r="H264" s="224"/>
      <c r="I264" s="59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204"/>
      <c r="B265" s="272"/>
      <c r="C265" s="226"/>
      <c r="D265" s="226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72"/>
      <c r="C266" s="197"/>
      <c r="D266" s="181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72"/>
      <c r="C267" s="197"/>
      <c r="D267" s="181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42"/>
      <c r="D268" s="242"/>
      <c r="E268" s="34">
        <f t="shared" si="14"/>
        <v>0</v>
      </c>
      <c r="F268" s="1216"/>
      <c r="G268" s="805"/>
      <c r="H268" s="224"/>
      <c r="I268" s="175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223"/>
      <c r="Q268" s="125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191"/>
      <c r="D269" s="187"/>
      <c r="E269" s="34">
        <f t="shared" si="14"/>
        <v>0</v>
      </c>
      <c r="F269" s="1216"/>
      <c r="G269" s="805"/>
      <c r="H269" s="224"/>
      <c r="I269" s="175"/>
      <c r="J269" s="805"/>
      <c r="K269" s="39">
        <f t="shared" si="10"/>
        <v>0</v>
      </c>
      <c r="L269" s="81"/>
      <c r="M269" s="566"/>
      <c r="N269" s="274"/>
      <c r="O269" s="42">
        <f t="shared" si="13"/>
        <v>0</v>
      </c>
      <c r="P269" s="223"/>
      <c r="Q269" s="125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5"/>
      <c r="C270" s="154"/>
      <c r="D270" s="182"/>
      <c r="E270" s="34">
        <f t="shared" si="14"/>
        <v>0</v>
      </c>
      <c r="F270" s="1216"/>
      <c r="G270" s="812"/>
      <c r="H270" s="662"/>
      <c r="I270" s="277"/>
      <c r="J270" s="804"/>
      <c r="K270" s="39">
        <f t="shared" si="10"/>
        <v>0</v>
      </c>
      <c r="L270" s="81"/>
      <c r="M270" s="566"/>
      <c r="N270" s="274"/>
      <c r="O270" s="42">
        <f t="shared" si="13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5"/>
      <c r="C271" s="154"/>
      <c r="D271" s="182"/>
      <c r="E271" s="34">
        <f t="shared" si="14"/>
        <v>0</v>
      </c>
      <c r="F271" s="1216"/>
      <c r="G271" s="812"/>
      <c r="H271" s="662"/>
      <c r="I271" s="277"/>
      <c r="J271" s="804"/>
      <c r="K271" s="39">
        <f t="shared" si="10"/>
        <v>0</v>
      </c>
      <c r="L271" s="81"/>
      <c r="M271" s="566"/>
      <c r="N271" s="274"/>
      <c r="O271" s="42">
        <f t="shared" si="13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8"/>
      <c r="C272" s="154"/>
      <c r="D272" s="182"/>
      <c r="E272" s="34">
        <f t="shared" si="14"/>
        <v>0</v>
      </c>
      <c r="F272" s="1216"/>
      <c r="G272" s="812"/>
      <c r="H272" s="662"/>
      <c r="I272" s="277"/>
      <c r="J272" s="804"/>
      <c r="K272" s="39">
        <f t="shared" si="10"/>
        <v>0</v>
      </c>
      <c r="L272" s="81"/>
      <c r="M272" s="566"/>
      <c r="N272" s="274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8"/>
      <c r="C273" s="154"/>
      <c r="D273" s="182"/>
      <c r="E273" s="34">
        <f t="shared" si="14"/>
        <v>0</v>
      </c>
      <c r="F273" s="1216"/>
      <c r="G273" s="812"/>
      <c r="H273" s="662"/>
      <c r="I273" s="277"/>
      <c r="J273" s="804"/>
      <c r="K273" s="39">
        <f t="shared" ref="K273:K286" si="15">J273-G273</f>
        <v>0</v>
      </c>
      <c r="L273" s="81"/>
      <c r="M273" s="566"/>
      <c r="N273" s="274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4"/>
        <v>0</v>
      </c>
      <c r="F274" s="1216"/>
      <c r="G274" s="812"/>
      <c r="H274" s="662"/>
      <c r="I274" s="277"/>
      <c r="J274" s="804"/>
      <c r="K274" s="39">
        <f t="shared" si="15"/>
        <v>0</v>
      </c>
      <c r="L274" s="81"/>
      <c r="M274" s="566"/>
      <c r="N274" s="274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03"/>
      <c r="C275" s="279"/>
      <c r="D275" s="280"/>
      <c r="E275" s="34">
        <f t="shared" si="14"/>
        <v>0</v>
      </c>
      <c r="F275" s="1216"/>
      <c r="G275" s="808"/>
      <c r="H275" s="281"/>
      <c r="I275" s="282"/>
      <c r="J275" s="805"/>
      <c r="K275" s="39">
        <f t="shared" si="15"/>
        <v>0</v>
      </c>
      <c r="L275" s="81"/>
      <c r="M275" s="566"/>
      <c r="N275" s="283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03"/>
      <c r="C276" s="279"/>
      <c r="D276" s="279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5"/>
        <v>0</v>
      </c>
      <c r="L276" s="81"/>
      <c r="M276" s="566"/>
      <c r="N276" s="283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79"/>
      <c r="E277" s="34">
        <f t="shared" si="14"/>
        <v>0</v>
      </c>
      <c r="F277" s="1216"/>
      <c r="G277" s="805"/>
      <c r="H277" s="224"/>
      <c r="I277" s="175"/>
      <c r="J277" s="805"/>
      <c r="K277" s="39">
        <f t="shared" si="15"/>
        <v>0</v>
      </c>
      <c r="L277" s="81"/>
      <c r="M277" s="566"/>
      <c r="N277" s="283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84"/>
      <c r="D278" s="284"/>
      <c r="E278" s="34">
        <f t="shared" si="14"/>
        <v>0</v>
      </c>
      <c r="F278" s="1216"/>
      <c r="G278" s="805"/>
      <c r="H278" s="224"/>
      <c r="I278" s="175"/>
      <c r="J278" s="805"/>
      <c r="K278" s="39">
        <f t="shared" si="15"/>
        <v>0</v>
      </c>
      <c r="L278" s="81"/>
      <c r="M278" s="566"/>
      <c r="N278" s="283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85"/>
      <c r="B279" s="203"/>
      <c r="C279" s="599"/>
      <c r="D279" s="203"/>
      <c r="E279" s="34">
        <f t="shared" si="14"/>
        <v>0</v>
      </c>
      <c r="F279" s="1216"/>
      <c r="G279" s="810"/>
      <c r="H279" s="224"/>
      <c r="I279" s="255"/>
      <c r="J279" s="810">
        <v>0</v>
      </c>
      <c r="K279" s="39">
        <f t="shared" si="15"/>
        <v>0</v>
      </c>
      <c r="L279" s="286"/>
      <c r="M279" s="575"/>
      <c r="N279" s="286"/>
      <c r="O279" s="42">
        <f t="shared" si="13"/>
        <v>0</v>
      </c>
      <c r="P279" s="287"/>
      <c r="Q279" s="125"/>
      <c r="R279" s="124"/>
      <c r="S279" s="288"/>
      <c r="T279" s="289"/>
      <c r="U279" s="290"/>
      <c r="V279" s="259"/>
      <c r="W279" s="263"/>
    </row>
    <row r="280" spans="1:23" ht="24.75" thickTop="1" thickBot="1" x14ac:dyDescent="0.4">
      <c r="A280" s="285"/>
      <c r="B280" s="203"/>
      <c r="C280" s="599"/>
      <c r="D280" s="203"/>
      <c r="E280" s="34">
        <f t="shared" si="14"/>
        <v>0</v>
      </c>
      <c r="F280" s="1216"/>
      <c r="G280" s="810"/>
      <c r="H280" s="224"/>
      <c r="I280" s="255"/>
      <c r="J280" s="810">
        <v>0</v>
      </c>
      <c r="K280" s="39">
        <f t="shared" si="15"/>
        <v>0</v>
      </c>
      <c r="L280" s="286"/>
      <c r="M280" s="575"/>
      <c r="N280" s="286"/>
      <c r="O280" s="42">
        <f t="shared" si="13"/>
        <v>0</v>
      </c>
      <c r="P280" s="287"/>
      <c r="Q280" s="125"/>
      <c r="R280" s="124"/>
      <c r="S280" s="288"/>
      <c r="T280" s="289"/>
      <c r="U280" s="290"/>
      <c r="V280" s="259"/>
      <c r="W280" s="263"/>
    </row>
    <row r="281" spans="1:23" ht="24.75" thickTop="1" thickBot="1" x14ac:dyDescent="0.4">
      <c r="A281" s="285"/>
      <c r="B281" s="203"/>
      <c r="C281" s="599"/>
      <c r="D281" s="203"/>
      <c r="E281" s="34">
        <f t="shared" si="14"/>
        <v>0</v>
      </c>
      <c r="F281" s="1216"/>
      <c r="G281" s="810"/>
      <c r="H281" s="224"/>
      <c r="I281" s="255"/>
      <c r="J281" s="810">
        <v>0</v>
      </c>
      <c r="K281" s="39">
        <f t="shared" si="15"/>
        <v>0</v>
      </c>
      <c r="L281" s="286"/>
      <c r="M281" s="575"/>
      <c r="N281" s="286"/>
      <c r="O281" s="42">
        <f t="shared" si="13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4"/>
        <v>0</v>
      </c>
      <c r="F282" s="1216"/>
      <c r="G282" s="810"/>
      <c r="H282" s="224"/>
      <c r="I282" s="291"/>
      <c r="J282" s="810">
        <v>0</v>
      </c>
      <c r="K282" s="39">
        <f t="shared" si="15"/>
        <v>0</v>
      </c>
      <c r="L282" s="286"/>
      <c r="M282" s="575"/>
      <c r="N282" s="286"/>
      <c r="O282" s="42">
        <f t="shared" si="13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92"/>
      <c r="B283" s="203"/>
      <c r="C283" s="599"/>
      <c r="D283" s="203"/>
      <c r="E283" s="34">
        <f t="shared" si="14"/>
        <v>0</v>
      </c>
      <c r="F283" s="1216"/>
      <c r="G283" s="810"/>
      <c r="H283" s="224"/>
      <c r="I283" s="293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49"/>
      <c r="W283" s="50"/>
    </row>
    <row r="284" spans="1:23" ht="24.75" thickTop="1" thickBot="1" x14ac:dyDescent="0.4">
      <c r="A284" s="294"/>
      <c r="B284" s="295"/>
      <c r="E284" s="34">
        <f t="shared" si="14"/>
        <v>0</v>
      </c>
      <c r="F284" s="1217"/>
      <c r="I284" s="299"/>
      <c r="J284" s="813">
        <v>0</v>
      </c>
      <c r="K284" s="39">
        <f t="shared" si="15"/>
        <v>0</v>
      </c>
      <c r="L284" s="300"/>
      <c r="N284" s="300"/>
      <c r="O284" s="42">
        <f t="shared" si="13"/>
        <v>0</v>
      </c>
      <c r="P284" s="287"/>
      <c r="Q284" s="125"/>
      <c r="R284" s="258"/>
      <c r="S284" s="288"/>
      <c r="T284" s="289"/>
      <c r="U284" s="290"/>
      <c r="V284" s="49"/>
      <c r="W284" s="50"/>
    </row>
    <row r="285" spans="1:23" ht="24.75" thickTop="1" thickBot="1" x14ac:dyDescent="0.4">
      <c r="A285" s="294"/>
      <c r="B285" s="295"/>
      <c r="E285" s="34">
        <f t="shared" si="14"/>
        <v>0</v>
      </c>
      <c r="F285" s="1217"/>
      <c r="J285" s="813">
        <v>0</v>
      </c>
      <c r="K285" s="39">
        <f t="shared" si="15"/>
        <v>0</v>
      </c>
      <c r="L285" s="300"/>
      <c r="N285" s="300"/>
      <c r="O285" s="42">
        <f t="shared" si="13"/>
        <v>0</v>
      </c>
      <c r="P285" s="287"/>
      <c r="Q285" s="125"/>
      <c r="R285" s="258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4"/>
        <v>0</v>
      </c>
      <c r="F286" s="1217"/>
      <c r="J286" s="821">
        <v>0</v>
      </c>
      <c r="K286" s="39">
        <f t="shared" si="15"/>
        <v>0</v>
      </c>
      <c r="L286" s="300"/>
      <c r="N286" s="300"/>
      <c r="O286" s="42">
        <f t="shared" si="13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35">
      <c r="A287" s="294"/>
      <c r="B287" s="295"/>
      <c r="E287" s="34" t="e">
        <f t="shared" si="14"/>
        <v>#VALUE!</v>
      </c>
      <c r="F287" s="1217"/>
      <c r="G287" s="1673" t="s">
        <v>27</v>
      </c>
      <c r="H287" s="1673"/>
      <c r="I287" s="1674"/>
      <c r="J287" s="822">
        <f>SUM(J5:J286)</f>
        <v>384432.21000000008</v>
      </c>
      <c r="K287" s="304"/>
      <c r="L287" s="300"/>
      <c r="M287" s="576"/>
      <c r="N287" s="300"/>
      <c r="O287" s="42">
        <f t="shared" si="13"/>
        <v>0</v>
      </c>
      <c r="P287" s="287"/>
      <c r="Q287" s="125"/>
      <c r="R287" s="258"/>
      <c r="S287" s="288"/>
      <c r="T287" s="306"/>
      <c r="U287" s="261"/>
      <c r="V287" s="262"/>
      <c r="W287" s="50"/>
    </row>
    <row r="288" spans="1:23" ht="24.75" thickTop="1" thickBot="1" x14ac:dyDescent="0.3">
      <c r="A288" s="307"/>
      <c r="B288" s="295"/>
      <c r="E288" s="34">
        <f t="shared" si="14"/>
        <v>0</v>
      </c>
      <c r="F288" s="1217"/>
      <c r="J288" s="823"/>
      <c r="K288" s="304"/>
      <c r="L288" s="300"/>
      <c r="M288" s="576"/>
      <c r="N288" s="300"/>
      <c r="O288" s="42">
        <f t="shared" si="13"/>
        <v>0</v>
      </c>
      <c r="P288" s="309"/>
      <c r="R288" s="6"/>
      <c r="S288" s="310"/>
      <c r="T288" s="311"/>
      <c r="U288" s="312"/>
      <c r="W288" s="9"/>
    </row>
    <row r="289" spans="1:23" ht="24.75" thickTop="1" thickBot="1" x14ac:dyDescent="0.4">
      <c r="A289" s="294"/>
      <c r="B289" s="295"/>
      <c r="E289" s="34">
        <f t="shared" si="14"/>
        <v>0</v>
      </c>
      <c r="F289" s="1217"/>
      <c r="K289" s="297"/>
      <c r="L289" s="300"/>
      <c r="N289" s="300"/>
      <c r="O289" s="42">
        <f t="shared" si="13"/>
        <v>0</v>
      </c>
      <c r="P289" s="309"/>
      <c r="R289" s="6"/>
      <c r="S289" s="310"/>
      <c r="T289" s="311"/>
      <c r="U289" s="312"/>
      <c r="W289" s="9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K290" s="297"/>
      <c r="L290" s="314"/>
      <c r="O290" s="42">
        <f t="shared" si="13"/>
        <v>0</v>
      </c>
      <c r="P290" s="315"/>
      <c r="R290" s="6"/>
      <c r="S290" s="310"/>
      <c r="T290" s="311"/>
      <c r="U290" s="316"/>
      <c r="W290" s="9"/>
    </row>
    <row r="291" spans="1:23" ht="24.75" thickTop="1" thickBot="1" x14ac:dyDescent="0.4">
      <c r="A291" s="294"/>
      <c r="I291" s="318"/>
      <c r="J291" s="824" t="s">
        <v>28</v>
      </c>
      <c r="K291" s="320"/>
      <c r="L291" s="320"/>
      <c r="M291" s="577">
        <f>SUM(M279:M290)</f>
        <v>0</v>
      </c>
      <c r="N291" s="322"/>
      <c r="O291" s="323">
        <f>SUM(O5:O290)</f>
        <v>20314551.855000004</v>
      </c>
      <c r="P291" s="324"/>
      <c r="R291" s="325">
        <f>SUM(R5:R290)</f>
        <v>125817.5</v>
      </c>
      <c r="S291" s="256"/>
      <c r="T291" s="326">
        <f>SUM(T27:T290)</f>
        <v>58800</v>
      </c>
      <c r="U291" s="327"/>
      <c r="V291" s="328"/>
      <c r="W291" s="329">
        <f>SUM(W279:W290)</f>
        <v>0</v>
      </c>
    </row>
    <row r="292" spans="1:23" x14ac:dyDescent="0.35">
      <c r="A292" s="294"/>
      <c r="I292" s="318"/>
      <c r="J292" s="825"/>
      <c r="K292" s="331"/>
      <c r="L292" s="332"/>
      <c r="N292" s="332"/>
      <c r="O292" s="333"/>
      <c r="P292" s="324"/>
      <c r="S292" s="310"/>
      <c r="T292" s="334"/>
      <c r="V292" s="336"/>
      <c r="W292"/>
    </row>
    <row r="293" spans="1:23" ht="24" thickBot="1" x14ac:dyDescent="0.4">
      <c r="A293" s="294"/>
      <c r="I293" s="318"/>
      <c r="J293" s="825"/>
      <c r="K293" s="331"/>
      <c r="L293" s="332"/>
      <c r="N293" s="332"/>
      <c r="O293" s="333"/>
      <c r="P293" s="324"/>
      <c r="S293" s="310"/>
      <c r="T293" s="334"/>
      <c r="V293" s="336"/>
      <c r="W293"/>
    </row>
    <row r="294" spans="1:23" ht="24" thickTop="1" x14ac:dyDescent="0.25">
      <c r="A294" s="294"/>
      <c r="J294" s="826" t="s">
        <v>29</v>
      </c>
      <c r="K294" s="338"/>
      <c r="L294" s="338"/>
      <c r="M294" s="578"/>
      <c r="N294" s="339"/>
      <c r="O294" s="340">
        <f>W291+T291+R291+O291+M291</f>
        <v>20499169.355000004</v>
      </c>
      <c r="P294" s="341"/>
      <c r="S294" s="310"/>
      <c r="T294" s="334"/>
      <c r="V294" s="336"/>
      <c r="W294"/>
    </row>
    <row r="295" spans="1:23" ht="24" thickBot="1" x14ac:dyDescent="0.3">
      <c r="A295" s="342"/>
      <c r="J295" s="827"/>
      <c r="K295" s="344"/>
      <c r="L295" s="344"/>
      <c r="M295" s="579"/>
      <c r="N295" s="345"/>
      <c r="O295" s="346"/>
      <c r="P295" s="347"/>
      <c r="S295" s="310"/>
      <c r="T295" s="334"/>
      <c r="V295" s="336"/>
      <c r="W295"/>
    </row>
    <row r="296" spans="1:23" ht="24" thickTop="1" x14ac:dyDescent="0.35">
      <c r="A296" s="342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x14ac:dyDescent="0.35">
      <c r="A297" s="294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x14ac:dyDescent="0.35">
      <c r="A298" s="294"/>
      <c r="J298" s="825"/>
      <c r="K298" s="348"/>
      <c r="L298" s="332"/>
      <c r="N298" s="332"/>
      <c r="O298" s="333"/>
      <c r="P298" s="349"/>
      <c r="S298" s="310"/>
      <c r="T298" s="334"/>
      <c r="V298" s="336"/>
      <c r="W298"/>
    </row>
    <row r="299" spans="1:23" x14ac:dyDescent="0.35">
      <c r="A299" s="342"/>
      <c r="O299" s="333"/>
      <c r="P299" s="351"/>
      <c r="S299" s="310"/>
      <c r="T299" s="334"/>
      <c r="V299" s="336"/>
      <c r="W299"/>
    </row>
    <row r="300" spans="1:23" x14ac:dyDescent="0.35">
      <c r="A300" s="342"/>
      <c r="P300" s="351"/>
      <c r="T300" s="334"/>
      <c r="V300" s="336"/>
      <c r="W300"/>
    </row>
    <row r="301" spans="1:23" x14ac:dyDescent="0.35">
      <c r="A301" s="294"/>
      <c r="B301" s="295"/>
      <c r="O301" s="333"/>
      <c r="P301" s="324"/>
      <c r="T301" s="334"/>
      <c r="V301" s="336"/>
      <c r="W301"/>
    </row>
    <row r="302" spans="1:23" x14ac:dyDescent="0.35">
      <c r="A302" s="342"/>
      <c r="B302" s="295"/>
      <c r="O302" s="333"/>
      <c r="P302" s="324"/>
      <c r="T302" s="334"/>
      <c r="V302" s="336"/>
      <c r="W302"/>
    </row>
    <row r="303" spans="1:23" x14ac:dyDescent="0.35">
      <c r="A303" s="294"/>
      <c r="B303" s="295"/>
      <c r="J303" s="825"/>
      <c r="K303" s="331"/>
      <c r="L303" s="332"/>
      <c r="N303" s="332"/>
      <c r="O303" s="333"/>
      <c r="P303" s="324"/>
      <c r="T303" s="334"/>
      <c r="V303" s="336"/>
      <c r="W303"/>
    </row>
    <row r="304" spans="1:23" x14ac:dyDescent="0.35">
      <c r="A304" s="342"/>
      <c r="B304" s="295"/>
      <c r="J304" s="825"/>
      <c r="K304" s="331"/>
      <c r="L304" s="332"/>
      <c r="N304" s="332"/>
      <c r="O304" s="333"/>
      <c r="P304" s="324"/>
      <c r="T304" s="334"/>
      <c r="V304" s="336"/>
      <c r="W304"/>
    </row>
    <row r="305" spans="1:23" x14ac:dyDescent="0.35">
      <c r="A305" s="294"/>
      <c r="B305" s="295"/>
      <c r="K305" s="328"/>
      <c r="L305" s="328"/>
      <c r="O305" s="333"/>
      <c r="P305" s="324"/>
      <c r="T305" s="334"/>
      <c r="V305" s="336"/>
      <c r="W305"/>
    </row>
    <row r="306" spans="1:23" x14ac:dyDescent="0.35">
      <c r="A306" s="342"/>
      <c r="T306" s="334"/>
      <c r="V306" s="336"/>
      <c r="W306"/>
    </row>
    <row r="307" spans="1:23" x14ac:dyDescent="0.35">
      <c r="A307" s="294"/>
      <c r="T307" s="334"/>
      <c r="V307" s="336"/>
      <c r="W307"/>
    </row>
    <row r="308" spans="1:23" x14ac:dyDescent="0.35">
      <c r="A308" s="294"/>
      <c r="B308" s="354"/>
      <c r="C308" s="601"/>
      <c r="D308" s="354"/>
      <c r="E308" s="355"/>
      <c r="F308" s="1235"/>
      <c r="G308" s="814"/>
      <c r="H308" s="360"/>
      <c r="I308" s="358"/>
      <c r="J308" s="814"/>
      <c r="K308"/>
      <c r="L308"/>
      <c r="M308" s="580"/>
      <c r="N308"/>
      <c r="Q308" s="679"/>
      <c r="R308" s="334"/>
      <c r="T308" s="334"/>
      <c r="V308" s="336"/>
      <c r="W308"/>
    </row>
    <row r="309" spans="1:23" x14ac:dyDescent="0.35">
      <c r="A309" s="342"/>
      <c r="B309" s="354"/>
      <c r="C309" s="601"/>
      <c r="D309" s="354"/>
      <c r="E309" s="355"/>
      <c r="F309" s="1235"/>
      <c r="G309" s="814"/>
      <c r="H309" s="360"/>
      <c r="I309" s="358"/>
      <c r="J309" s="814"/>
      <c r="K309"/>
      <c r="L309"/>
      <c r="M309" s="580"/>
      <c r="N309"/>
      <c r="Q309" s="679"/>
      <c r="R309" s="334"/>
      <c r="T309" s="334"/>
      <c r="V309" s="336"/>
      <c r="W309"/>
    </row>
    <row r="310" spans="1:23" x14ac:dyDescent="0.35">
      <c r="A310" s="342"/>
      <c r="B310" s="354"/>
      <c r="C310" s="601"/>
      <c r="D310" s="354"/>
      <c r="E310" s="355"/>
      <c r="F310" s="1235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35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61"/>
      <c r="B312" s="354"/>
      <c r="C312" s="601"/>
      <c r="D312" s="354"/>
      <c r="E312" s="355"/>
      <c r="F312" s="1235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07"/>
      <c r="B313" s="354"/>
      <c r="C313" s="601"/>
      <c r="D313" s="354"/>
      <c r="E313" s="355"/>
      <c r="F313" s="1235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</sheetData>
  <mergeCells count="97">
    <mergeCell ref="N96:N99"/>
    <mergeCell ref="M96:M99"/>
    <mergeCell ref="M101:M105"/>
    <mergeCell ref="N101:N105"/>
    <mergeCell ref="Y64:Y68"/>
    <mergeCell ref="X78:X81"/>
    <mergeCell ref="Y78:Y81"/>
    <mergeCell ref="X87:X90"/>
    <mergeCell ref="Y87:Y90"/>
    <mergeCell ref="T101:T105"/>
    <mergeCell ref="U101:U105"/>
    <mergeCell ref="P101:P105"/>
    <mergeCell ref="Q101:Q105"/>
    <mergeCell ref="X64:X68"/>
    <mergeCell ref="T87:T90"/>
    <mergeCell ref="U87:U90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A82:A84"/>
    <mergeCell ref="C82:C84"/>
    <mergeCell ref="H82:H84"/>
    <mergeCell ref="I82:I84"/>
    <mergeCell ref="C78:C81"/>
    <mergeCell ref="H78:H81"/>
    <mergeCell ref="I78:I81"/>
    <mergeCell ref="A72:A76"/>
    <mergeCell ref="C72:C76"/>
    <mergeCell ref="H72:H76"/>
    <mergeCell ref="I72:I76"/>
    <mergeCell ref="A78:A81"/>
    <mergeCell ref="G287:I287"/>
    <mergeCell ref="H87:H90"/>
    <mergeCell ref="I87:I90"/>
    <mergeCell ref="A101:A105"/>
    <mergeCell ref="C101:C105"/>
    <mergeCell ref="I101:I105"/>
    <mergeCell ref="A96:A99"/>
    <mergeCell ref="C96:C99"/>
    <mergeCell ref="I96:I99"/>
    <mergeCell ref="H96:H99"/>
    <mergeCell ref="C87:C90"/>
    <mergeCell ref="A87:A90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V9:V10"/>
    <mergeCell ref="W9:W10"/>
    <mergeCell ref="C16:C17"/>
    <mergeCell ref="H101:H105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V16:V17"/>
    <mergeCell ref="W16:W17"/>
    <mergeCell ref="V101:V105"/>
    <mergeCell ref="W101:W105"/>
    <mergeCell ref="P93:P94"/>
    <mergeCell ref="Q93:Q94"/>
    <mergeCell ref="V78:V81"/>
    <mergeCell ref="W78:W81"/>
    <mergeCell ref="V87:V90"/>
    <mergeCell ref="W87:W90"/>
    <mergeCell ref="P87:P90"/>
    <mergeCell ref="Q64:Q68"/>
    <mergeCell ref="Q69:Q70"/>
    <mergeCell ref="X96:X99"/>
    <mergeCell ref="Y96:Y99"/>
    <mergeCell ref="X101:X105"/>
    <mergeCell ref="Y101:Y105"/>
    <mergeCell ref="V96:V99"/>
    <mergeCell ref="W96:W9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J1" workbookViewId="0">
      <selection activeCell="P9" sqref="P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2" bestFit="1" customWidth="1"/>
    <col min="18" max="18" width="18.42578125" style="1289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204" t="s">
        <v>743</v>
      </c>
      <c r="L1" s="895"/>
      <c r="M1" s="2206" t="s">
        <v>744</v>
      </c>
      <c r="N1" s="1448"/>
      <c r="P1" s="1241" t="s">
        <v>745</v>
      </c>
      <c r="Q1" s="2208" t="s">
        <v>746</v>
      </c>
      <c r="R1" s="897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205"/>
      <c r="L2" s="1245" t="s">
        <v>753</v>
      </c>
      <c r="M2" s="2207"/>
      <c r="N2" s="1454" t="s">
        <v>753</v>
      </c>
      <c r="O2" s="1443" t="s">
        <v>11</v>
      </c>
      <c r="P2" s="1246" t="s">
        <v>754</v>
      </c>
      <c r="Q2" s="2209"/>
      <c r="R2" s="1247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083"/>
      <c r="R3" s="1251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 O M B O S   NOVIEMBRE 2023'!B4</f>
        <v xml:space="preserve">SAM FARMS </v>
      </c>
      <c r="C4" s="1380" t="str">
        <f>'C O M B O S   NOVIEMBRE 2023'!C4</f>
        <v>Seaboard</v>
      </c>
      <c r="D4" s="1398" t="str">
        <f>'C O M B O S   NOVIEMBRE 2023'!D4</f>
        <v>PED. 105609243</v>
      </c>
      <c r="E4" s="1399">
        <f>'C O M B O S   NOVIEMBRE 2023'!E4</f>
        <v>45234</v>
      </c>
      <c r="F4" s="1400">
        <f>'C O M B O S   NOVIEMBRE 2023'!F4</f>
        <v>17893.38</v>
      </c>
      <c r="G4" s="599">
        <f>'C O M B O S   NOVIEMBRE 2023'!G4</f>
        <v>20</v>
      </c>
      <c r="H4" s="1401">
        <f>'C O M B O S   NOVIEMBRE 2023'!H4</f>
        <v>17856.87</v>
      </c>
      <c r="I4" s="1402">
        <f>'C O M B O S   NOVIEMBRE 2023'!I4</f>
        <v>36.510000000002037</v>
      </c>
      <c r="J4" s="1343">
        <f>'C O M B O S   NOVIEMBRE 2023'!K6</f>
        <v>11789</v>
      </c>
      <c r="K4" s="1260">
        <v>12424</v>
      </c>
      <c r="L4" s="1265" t="s">
        <v>851</v>
      </c>
      <c r="M4" s="1260">
        <v>37120</v>
      </c>
      <c r="N4" s="1446" t="s">
        <v>851</v>
      </c>
      <c r="O4" s="1439">
        <v>12177</v>
      </c>
      <c r="P4" s="1600">
        <v>4611</v>
      </c>
      <c r="Q4" s="1253">
        <f>38422.19*17.39</f>
        <v>668161.88410000002</v>
      </c>
      <c r="R4" s="1276" t="s">
        <v>844</v>
      </c>
      <c r="S4" s="898">
        <f>Q4</f>
        <v>668161.88410000002</v>
      </c>
      <c r="T4" s="898">
        <f>S4/H4</f>
        <v>37.417637251097197</v>
      </c>
      <c r="U4" s="1254"/>
    </row>
    <row r="5" spans="1:29" s="336" customFormat="1" ht="78.75" x14ac:dyDescent="0.3">
      <c r="A5" s="313">
        <v>2</v>
      </c>
      <c r="B5" s="1328" t="str">
        <f>'C O M B O S   NOVIEMBRE 2023'!U5</f>
        <v>SAM FARMS  LLC</v>
      </c>
      <c r="C5" s="1379" t="str">
        <f>'C O M B O S   NOVIEMBRE 2023'!V5</f>
        <v>RANTOUL</v>
      </c>
      <c r="D5" s="1398" t="str">
        <f>'C O M B O S   NOVIEMBRE 2023'!W5</f>
        <v>PED. 3002232</v>
      </c>
      <c r="E5" s="1399">
        <f>'C O M B O S   NOVIEMBRE 2023'!X5</f>
        <v>45241</v>
      </c>
      <c r="F5" s="1403">
        <f>'C O M B O S   NOVIEMBRE 2023'!Y5</f>
        <v>17986.830000000002</v>
      </c>
      <c r="G5" s="1404">
        <f>'C O M B O S   NOVIEMBRE 2023'!Z5</f>
        <v>19</v>
      </c>
      <c r="H5" s="1405">
        <f>'C O M B O S   NOVIEMBRE 2023'!AA5</f>
        <v>18281.8</v>
      </c>
      <c r="I5" s="1406">
        <f>'C O M B O S   NOVIEMBRE 2023'!AB5</f>
        <v>-294.96999999999753</v>
      </c>
      <c r="J5" s="1343">
        <f>'C O M B O S   NOVIEMBRE 2023'!U6</f>
        <v>11922</v>
      </c>
      <c r="K5" s="1461">
        <v>10124</v>
      </c>
      <c r="L5" s="1595" t="s">
        <v>931</v>
      </c>
      <c r="M5" s="1260">
        <v>37120</v>
      </c>
      <c r="N5" s="1446" t="s">
        <v>887</v>
      </c>
      <c r="O5" s="1439">
        <v>12196</v>
      </c>
      <c r="P5" s="1605">
        <v>4495</v>
      </c>
      <c r="Q5" s="1253">
        <f>40683.87*17.51</f>
        <v>712374.56370000006</v>
      </c>
      <c r="R5" s="1276" t="s">
        <v>852</v>
      </c>
      <c r="S5" s="898">
        <f>Q5+M5+K5+P5</f>
        <v>764113.56370000006</v>
      </c>
      <c r="T5" s="898">
        <f>S5/H5+0.1</f>
        <v>41.896407558336712</v>
      </c>
      <c r="U5" s="1256"/>
    </row>
    <row r="6" spans="1:29" s="336" customFormat="1" ht="30" customHeight="1" x14ac:dyDescent="0.3">
      <c r="A6" s="313">
        <v>3</v>
      </c>
      <c r="B6" s="1379" t="str">
        <f>'C O M B O S   NOVIEMBRE 2023'!AE5</f>
        <v>IDEAL TRADING</v>
      </c>
      <c r="C6" s="1379" t="str">
        <f>'C O M B O S   NOVIEMBRE 2023'!AF5</f>
        <v>SIOUX</v>
      </c>
      <c r="D6" s="1398" t="str">
        <f>'C O M B O S   NOVIEMBRE 2023'!AG5</f>
        <v>PED. 105993430</v>
      </c>
      <c r="E6" s="1399">
        <f>'C O M B O S   NOVIEMBRE 2023'!AH5</f>
        <v>45244</v>
      </c>
      <c r="F6" s="1403">
        <f>'C O M B O S   NOVIEMBRE 2023'!AI5</f>
        <v>18550.59</v>
      </c>
      <c r="G6" s="1404">
        <f>'C O M B O S   NOVIEMBRE 2023'!AJ5</f>
        <v>23</v>
      </c>
      <c r="H6" s="1405">
        <f>'C O M B O S   NOVIEMBRE 2023'!AK5+'C O M B O S   NOVIEMBRE 2023'!AK5</f>
        <v>37163</v>
      </c>
      <c r="I6" s="1406">
        <f>'C O M B O S   NOVIEMBRE 2023'!AL5</f>
        <v>-30.909999999999854</v>
      </c>
      <c r="J6" s="1372" t="str">
        <f>'C O M B O S   NOVIEMBRE 2023'!AE6</f>
        <v>NLP-212</v>
      </c>
      <c r="K6" s="1260">
        <v>12274</v>
      </c>
      <c r="L6" s="1265" t="s">
        <v>891</v>
      </c>
      <c r="M6" s="1260">
        <v>37120</v>
      </c>
      <c r="N6" s="1446" t="s">
        <v>887</v>
      </c>
      <c r="O6" s="1439">
        <v>203162</v>
      </c>
      <c r="P6" s="1600">
        <v>4582</v>
      </c>
      <c r="Q6" s="1041">
        <f>41375.66*17.615</f>
        <v>728832.25089999998</v>
      </c>
      <c r="R6" s="1287" t="s">
        <v>886</v>
      </c>
      <c r="S6" s="898">
        <f t="shared" si="0"/>
        <v>782808.25089999998</v>
      </c>
      <c r="T6" s="898">
        <f t="shared" ref="T6:T35" si="1">S6/H6+0.1</f>
        <v>21.164183486263219</v>
      </c>
      <c r="U6" s="1254"/>
    </row>
    <row r="7" spans="1:29" s="336" customFormat="1" ht="34.5" customHeight="1" x14ac:dyDescent="0.35">
      <c r="A7" s="313">
        <v>4</v>
      </c>
      <c r="B7" s="1379" t="str">
        <f>'C O M B O S   NOVIEMBRE 2023'!AO5</f>
        <v xml:space="preserve">SAM  FARMS </v>
      </c>
      <c r="C7" s="1379" t="str">
        <f>'C O M B O S   NOVIEMBRE 2023'!AP5</f>
        <v>RANTOUL</v>
      </c>
      <c r="D7" s="1398" t="str">
        <f>'C O M B O S   NOVIEMBRE 2023'!AQ5</f>
        <v>PED. 106002279</v>
      </c>
      <c r="E7" s="1399">
        <f>'C O M B O S   NOVIEMBRE 2023'!AR5</f>
        <v>45245</v>
      </c>
      <c r="F7" s="1403">
        <f>'C O M B O S   NOVIEMBRE 2023'!AS5</f>
        <v>18324.95</v>
      </c>
      <c r="G7" s="1404">
        <f>'C O M B O S   NOVIEMBRE 2023'!AT5</f>
        <v>20</v>
      </c>
      <c r="H7" s="1405">
        <f>'C O M B O S   NOVIEMBRE 2023'!AU5</f>
        <v>18476.599999999999</v>
      </c>
      <c r="I7" s="1406">
        <f>'C O M B O S   NOVIEMBRE 2023'!AV5</f>
        <v>-151.64999999999782</v>
      </c>
      <c r="J7" s="1374">
        <f>'C O M B O S   NOVIEMBRE 2023'!AO6</f>
        <v>11935</v>
      </c>
      <c r="K7" s="1260">
        <v>11424</v>
      </c>
      <c r="L7" s="1265" t="s">
        <v>851</v>
      </c>
      <c r="M7" s="1260">
        <v>37120</v>
      </c>
      <c r="N7" s="1446" t="s">
        <v>888</v>
      </c>
      <c r="O7" s="1439">
        <v>12204</v>
      </c>
      <c r="P7" s="1600">
        <v>4640</v>
      </c>
      <c r="Q7" s="1041">
        <f>41601.63*17.665</f>
        <v>734892.79394999996</v>
      </c>
      <c r="R7" s="1431" t="s">
        <v>886</v>
      </c>
      <c r="S7" s="898">
        <f t="shared" si="0"/>
        <v>788076.79394999996</v>
      </c>
      <c r="T7" s="898">
        <f t="shared" si="1"/>
        <v>42.752695514867455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 O M B O S   NOVIEMBRE 2023'!AY5</f>
        <v>SAM FARMS</v>
      </c>
      <c r="C8" s="1381" t="str">
        <f>'C O M B O S   NOVIEMBRE 2023'!AZ5</f>
        <v xml:space="preserve">I B P </v>
      </c>
      <c r="D8" s="1398" t="str">
        <f>'C O M B O S   NOVIEMBRE 2023'!BA5</f>
        <v>PED. 106240656</v>
      </c>
      <c r="E8" s="1399">
        <f>'C O M B O S   NOVIEMBRE 2023'!BB5</f>
        <v>45248</v>
      </c>
      <c r="F8" s="1403">
        <f>'C O M B O S   NOVIEMBRE 2023'!BC5</f>
        <v>18638.18</v>
      </c>
      <c r="G8" s="1404">
        <f>'C O M B O S   NOVIEMBRE 2023'!BD5</f>
        <v>20</v>
      </c>
      <c r="H8" s="1405">
        <f>'C O M B O S   NOVIEMBRE 2023'!BE5</f>
        <v>18715.12</v>
      </c>
      <c r="I8" s="1406">
        <f>'C O M B O S   NOVIEMBRE 2023'!AV6</f>
        <v>0</v>
      </c>
      <c r="J8" s="1458">
        <v>11872</v>
      </c>
      <c r="K8" s="1260">
        <v>12434</v>
      </c>
      <c r="L8" s="1261" t="s">
        <v>893</v>
      </c>
      <c r="M8" s="1260">
        <v>35840</v>
      </c>
      <c r="N8" s="1446" t="s">
        <v>893</v>
      </c>
      <c r="O8" s="1459">
        <v>12218</v>
      </c>
      <c r="P8" s="1646">
        <v>4582</v>
      </c>
      <c r="Q8" s="1041">
        <f>42254.37*17.31</f>
        <v>731423.14469999995</v>
      </c>
      <c r="R8" s="1431" t="s">
        <v>892</v>
      </c>
      <c r="S8" s="898">
        <f t="shared" si="0"/>
        <v>784279.14469999995</v>
      </c>
      <c r="T8" s="898">
        <f t="shared" si="1"/>
        <v>42.006177716199524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 t="str">
        <f>'C O M B O S   NOVIEMBRE 2023'!BI5</f>
        <v>SAM FARMS</v>
      </c>
      <c r="C9" s="1379" t="str">
        <f>'C O M B O S   NOVIEMBRE 2023'!BJ5</f>
        <v xml:space="preserve">I B P </v>
      </c>
      <c r="D9" s="1398" t="str">
        <f>'C O M B O S   NOVIEMBRE 2023'!BK5</f>
        <v>PED. 106320088</v>
      </c>
      <c r="E9" s="1399">
        <f>'C O M B O S   NOVIEMBRE 2023'!BL5</f>
        <v>45252</v>
      </c>
      <c r="F9" s="1403">
        <f>'C O M B O S   NOVIEMBRE 2023'!BM5</f>
        <v>18855.48</v>
      </c>
      <c r="G9" s="1404">
        <f>'C O M B O S   NOVIEMBRE 2023'!BN5</f>
        <v>20</v>
      </c>
      <c r="H9" s="1405">
        <f>'C O M B O S   NOVIEMBRE 2023'!BO5</f>
        <v>18866.62</v>
      </c>
      <c r="I9" s="1406">
        <f>'C O M B O S   NOVIEMBRE 2023'!AV7</f>
        <v>0</v>
      </c>
      <c r="J9" s="1325">
        <f>'C O M B O S   NOVIEMBRE 2023'!BI6</f>
        <v>11874</v>
      </c>
      <c r="K9" s="1260">
        <v>12274</v>
      </c>
      <c r="L9" s="1263" t="s">
        <v>885</v>
      </c>
      <c r="M9" s="1260">
        <v>35840</v>
      </c>
      <c r="N9" s="1445" t="s">
        <v>885</v>
      </c>
      <c r="O9" s="1439">
        <v>12225</v>
      </c>
      <c r="P9" s="1646">
        <v>4698</v>
      </c>
      <c r="Q9" s="124">
        <f>41793.65*17.137</f>
        <v>716217.78005000006</v>
      </c>
      <c r="R9" s="1324" t="s">
        <v>883</v>
      </c>
      <c r="S9" s="898">
        <f>Q9+M9+K9</f>
        <v>764331.78005000006</v>
      </c>
      <c r="T9" s="898">
        <f t="shared" si="1"/>
        <v>40.612385368974415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325"/>
      <c r="K10" s="1260"/>
      <c r="L10" s="1263"/>
      <c r="M10" s="1260"/>
      <c r="N10" s="1445"/>
      <c r="O10" s="1439"/>
      <c r="P10" s="1253"/>
      <c r="Q10" s="1277"/>
      <c r="R10" s="1432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288"/>
      <c r="K11" s="1260"/>
      <c r="L11" s="1263"/>
      <c r="M11" s="1260"/>
      <c r="N11" s="1445"/>
      <c r="O11" s="506"/>
      <c r="P11" s="1253"/>
      <c r="Q11" s="1253"/>
      <c r="R11" s="126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326"/>
      <c r="K12" s="1260"/>
      <c r="L12" s="1265"/>
      <c r="M12" s="1260"/>
      <c r="N12" s="1445"/>
      <c r="O12" s="506"/>
      <c r="P12" s="1253"/>
      <c r="Q12" s="1253"/>
      <c r="R12" s="126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327"/>
      <c r="K13" s="1260"/>
      <c r="L13" s="1265"/>
      <c r="M13" s="1260"/>
      <c r="N13" s="1445"/>
      <c r="O13" s="506"/>
      <c r="P13" s="1267"/>
      <c r="Q13" s="124"/>
      <c r="R13" s="126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124"/>
      <c r="R14" s="1268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124"/>
      <c r="R15" s="1270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253"/>
      <c r="R16" s="126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253"/>
      <c r="R17" s="126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253"/>
      <c r="R18" s="1268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253"/>
      <c r="R19" s="1262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253"/>
      <c r="R20" s="1262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253"/>
      <c r="R21" s="1262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253"/>
      <c r="R22" s="1262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253"/>
      <c r="R23" s="1262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253"/>
      <c r="R24" s="1262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253"/>
      <c r="R25" s="1262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253"/>
      <c r="R26" s="127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277"/>
      <c r="R27" s="12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253"/>
      <c r="R28" s="127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277"/>
      <c r="R29" s="12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253"/>
      <c r="R30" s="127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277"/>
      <c r="R31" s="127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253"/>
      <c r="R32" s="127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277"/>
      <c r="R33" s="127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1"/>
      <c r="R34" s="1287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124"/>
      <c r="R35" s="127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124"/>
      <c r="R36" s="1290"/>
      <c r="S36" s="898">
        <f t="shared" ref="S36:S37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316"/>
      <c r="R37" s="1291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297"/>
      <c r="R38" s="1298"/>
      <c r="S38" s="898">
        <f t="shared" ref="S38:S49" si="8">Q38+M38+K38</f>
        <v>0</v>
      </c>
      <c r="T38" s="898" t="e">
        <f t="shared" ref="T38:T46" si="9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299"/>
      <c r="R39" s="1300"/>
      <c r="S39" s="898">
        <f t="shared" si="8"/>
        <v>0</v>
      </c>
      <c r="T39" s="898" t="e">
        <f t="shared" si="9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299"/>
      <c r="R40" s="1300"/>
      <c r="S40" s="898">
        <f t="shared" si="8"/>
        <v>0</v>
      </c>
      <c r="T40" s="898" t="e">
        <f t="shared" si="9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299"/>
      <c r="R41" s="1301"/>
      <c r="S41" s="898">
        <f t="shared" si="8"/>
        <v>0</v>
      </c>
      <c r="T41" s="898" t="e">
        <f t="shared" si="9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299"/>
      <c r="R42" s="1301"/>
      <c r="S42" s="898">
        <f t="shared" si="8"/>
        <v>0</v>
      </c>
      <c r="T42" s="898" t="e">
        <f t="shared" si="9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2"/>
      <c r="R43" s="1302"/>
      <c r="S43" s="898">
        <f t="shared" si="8"/>
        <v>0</v>
      </c>
      <c r="T43" s="898" t="e">
        <f t="shared" si="9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2"/>
      <c r="R44" s="1302"/>
      <c r="S44" s="898">
        <f t="shared" si="8"/>
        <v>0</v>
      </c>
      <c r="T44" s="898" t="e">
        <f t="shared" si="9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2"/>
      <c r="R45" s="1302"/>
      <c r="S45" s="898">
        <f t="shared" si="8"/>
        <v>0</v>
      </c>
      <c r="T45" s="898" t="e">
        <f t="shared" si="9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2"/>
      <c r="R46" s="1302"/>
      <c r="S46" s="898">
        <f t="shared" si="8"/>
        <v>0</v>
      </c>
      <c r="T46" s="898" t="e">
        <f t="shared" si="9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2"/>
      <c r="R47" s="1302"/>
      <c r="S47" s="898">
        <f t="shared" si="8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303"/>
      <c r="R48" s="1298"/>
      <c r="S48" s="898">
        <f t="shared" si="8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303"/>
      <c r="R49" s="1304"/>
      <c r="S49" s="898">
        <f t="shared" si="8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2"/>
      <c r="R50" s="1307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102</v>
      </c>
      <c r="H51" s="1426">
        <f>SUM(H3:H50)</f>
        <v>129360.00999999998</v>
      </c>
      <c r="I51" s="1427">
        <f>[1]PIERNA!I37</f>
        <v>0</v>
      </c>
      <c r="J51" s="1308"/>
      <c r="K51" s="1309">
        <f>SUM(K5:K50)</f>
        <v>58530</v>
      </c>
      <c r="L51" s="1310"/>
      <c r="M51" s="1309">
        <f>SUM(M5:M50)</f>
        <v>183040</v>
      </c>
      <c r="N51" s="1452"/>
      <c r="O51" s="1444"/>
      <c r="P51" s="1311"/>
      <c r="Q51" s="1312">
        <f>SUM(Q5:Q50)</f>
        <v>3623740.5333000002</v>
      </c>
      <c r="R51" s="1313"/>
      <c r="S51" s="909">
        <f>Q51+M51+K51</f>
        <v>3865310.5333000002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2"/>
      <c r="R52" s="1289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4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11" t="s">
        <v>808</v>
      </c>
      <c r="L1" s="2211"/>
      <c r="M1" s="2211"/>
      <c r="N1" s="2211"/>
      <c r="O1" s="2211"/>
      <c r="P1" s="2211"/>
      <c r="Q1" s="2211"/>
      <c r="R1" s="1111">
        <f>I1+1</f>
        <v>1</v>
      </c>
      <c r="S1" s="1111"/>
      <c r="U1" s="2210" t="str">
        <f>K1</f>
        <v>ENTRADAS DEL MES DE  NOVIEMBRE  2023</v>
      </c>
      <c r="V1" s="2210"/>
      <c r="W1" s="2210"/>
      <c r="X1" s="2210"/>
      <c r="Y1" s="2210"/>
      <c r="Z1" s="2210"/>
      <c r="AA1" s="2210"/>
      <c r="AB1" s="1111">
        <f>R1+1</f>
        <v>2</v>
      </c>
      <c r="AC1" s="1112"/>
      <c r="AE1" s="2210" t="str">
        <f>U1</f>
        <v>ENTRADAS DEL MES DE  NOVIEMBRE  2023</v>
      </c>
      <c r="AF1" s="2210"/>
      <c r="AG1" s="2210"/>
      <c r="AH1" s="2210"/>
      <c r="AI1" s="2210"/>
      <c r="AJ1" s="2210"/>
      <c r="AK1" s="2210"/>
      <c r="AL1" s="1111">
        <f>AB1+1</f>
        <v>3</v>
      </c>
      <c r="AM1" s="1111"/>
      <c r="AO1" s="2210" t="str">
        <f>AE1</f>
        <v>ENTRADAS DEL MES DE  NOVIEMBRE  2023</v>
      </c>
      <c r="AP1" s="2210"/>
      <c r="AQ1" s="2210"/>
      <c r="AR1" s="2210"/>
      <c r="AS1" s="2210"/>
      <c r="AT1" s="2210"/>
      <c r="AU1" s="2210"/>
      <c r="AV1" s="1111">
        <f>AL1+1</f>
        <v>4</v>
      </c>
      <c r="AW1" s="1112"/>
      <c r="AY1" s="2210" t="str">
        <f>AO1</f>
        <v>ENTRADAS DEL MES DE  NOVIEMBRE  2023</v>
      </c>
      <c r="AZ1" s="2210"/>
      <c r="BA1" s="2210"/>
      <c r="BB1" s="2210"/>
      <c r="BC1" s="2210"/>
      <c r="BD1" s="2210"/>
      <c r="BE1" s="2210"/>
      <c r="BF1" s="1111">
        <f>AV1+1</f>
        <v>5</v>
      </c>
      <c r="BG1" s="1112"/>
      <c r="BI1" s="2210" t="str">
        <f>AY1</f>
        <v>ENTRADAS DEL MES DE  NOVIEMBRE  2023</v>
      </c>
      <c r="BJ1" s="2210"/>
      <c r="BK1" s="2210"/>
      <c r="BL1" s="2210"/>
      <c r="BM1" s="2210"/>
      <c r="BN1" s="2210"/>
      <c r="BO1" s="2210"/>
      <c r="BP1" s="1111">
        <f>BF1+1</f>
        <v>6</v>
      </c>
      <c r="BQ1" s="1112"/>
      <c r="BS1" s="2210" t="str">
        <f>BI1</f>
        <v>ENTRADAS DEL MES DE  NOVIEMBRE  2023</v>
      </c>
      <c r="BT1" s="2210"/>
      <c r="BU1" s="2210"/>
      <c r="BV1" s="2210"/>
      <c r="BW1" s="2210"/>
      <c r="BX1" s="2210"/>
      <c r="BY1" s="2210"/>
      <c r="BZ1" s="1111">
        <f>BP1+1</f>
        <v>7</v>
      </c>
      <c r="CA1" s="1204"/>
      <c r="CC1" s="2210" t="str">
        <f>BS1</f>
        <v>ENTRADAS DEL MES DE  NOVIEMBRE  2023</v>
      </c>
      <c r="CD1" s="2210"/>
      <c r="CE1" s="2210"/>
      <c r="CF1" s="2210"/>
      <c r="CG1" s="2210"/>
      <c r="CH1" s="2210"/>
      <c r="CI1" s="2210"/>
      <c r="CJ1" s="1111">
        <f>BZ1+1</f>
        <v>8</v>
      </c>
      <c r="CK1" s="1204"/>
      <c r="CM1" s="2210" t="str">
        <f>CC1</f>
        <v>ENTRADAS DEL MES DE  NOVIEMBRE  2023</v>
      </c>
      <c r="CN1" s="2210"/>
      <c r="CO1" s="2210"/>
      <c r="CP1" s="2210"/>
      <c r="CQ1" s="2210"/>
      <c r="CR1" s="2210"/>
      <c r="CS1" s="2210"/>
      <c r="CT1" s="1111">
        <f>CJ1+1</f>
        <v>9</v>
      </c>
      <c r="CU1" s="1112"/>
      <c r="CW1" s="2210" t="str">
        <f>CM1</f>
        <v>ENTRADAS DEL MES DE  NOVIEMBRE  2023</v>
      </c>
      <c r="CX1" s="2210"/>
      <c r="CY1" s="2210"/>
      <c r="CZ1" s="2210"/>
      <c r="DA1" s="2210"/>
      <c r="DB1" s="2210"/>
      <c r="DC1" s="2210"/>
      <c r="DD1" s="1111">
        <f>CT1+1</f>
        <v>10</v>
      </c>
      <c r="DE1" s="1112"/>
      <c r="DG1" s="2210" t="str">
        <f>CW1</f>
        <v>ENTRADAS DEL MES DE  NOVIEMBRE  2023</v>
      </c>
      <c r="DH1" s="2210"/>
      <c r="DI1" s="2210"/>
      <c r="DJ1" s="2210"/>
      <c r="DK1" s="2210"/>
      <c r="DL1" s="2210"/>
      <c r="DM1" s="2210"/>
      <c r="DN1" s="1111">
        <f>DD1+1</f>
        <v>11</v>
      </c>
      <c r="DO1" s="1112"/>
      <c r="DQ1" s="2210" t="str">
        <f>DG1</f>
        <v>ENTRADAS DEL MES DE  NOVIEMBRE  2023</v>
      </c>
      <c r="DR1" s="2210"/>
      <c r="DS1" s="2210"/>
      <c r="DT1" s="2210"/>
      <c r="DU1" s="2210"/>
      <c r="DV1" s="2210"/>
      <c r="DW1" s="2210"/>
      <c r="DX1" s="1111">
        <f>DN1+1</f>
        <v>12</v>
      </c>
      <c r="DY1" s="1204"/>
      <c r="EA1" s="2210" t="str">
        <f>DQ1</f>
        <v>ENTRADAS DEL MES DE  NOVIEMBRE  2023</v>
      </c>
      <c r="EB1" s="2210"/>
      <c r="EC1" s="2210"/>
      <c r="ED1" s="2210"/>
      <c r="EE1" s="2210"/>
      <c r="EF1" s="2210"/>
      <c r="EG1" s="2210"/>
      <c r="EH1" s="1111">
        <f>DX1+1</f>
        <v>13</v>
      </c>
      <c r="EI1" s="1112"/>
      <c r="EK1" s="2210" t="str">
        <f>EA1</f>
        <v>ENTRADAS DEL MES DE  NOVIEMBRE  2023</v>
      </c>
      <c r="EL1" s="2210"/>
      <c r="EM1" s="2210"/>
      <c r="EN1" s="2210"/>
      <c r="EO1" s="2210"/>
      <c r="EP1" s="2210"/>
      <c r="EQ1" s="2210"/>
      <c r="ER1" s="1111">
        <f>EH1+1</f>
        <v>14</v>
      </c>
      <c r="ES1" s="1112"/>
      <c r="EU1" s="2210" t="str">
        <f>EK1</f>
        <v>ENTRADAS DEL MES DE  NOVIEMBRE  2023</v>
      </c>
      <c r="EV1" s="2210"/>
      <c r="EW1" s="2210"/>
      <c r="EX1" s="2210"/>
      <c r="EY1" s="2210"/>
      <c r="EZ1" s="2210"/>
      <c r="FA1" s="2210"/>
      <c r="FB1" s="1111">
        <f>ER1+1</f>
        <v>15</v>
      </c>
      <c r="FC1" s="1112"/>
      <c r="FE1" s="2210" t="str">
        <f>EU1</f>
        <v>ENTRADAS DEL MES DE  NOVIEMBRE  2023</v>
      </c>
      <c r="FF1" s="2210"/>
      <c r="FG1" s="2210"/>
      <c r="FH1" s="2210"/>
      <c r="FI1" s="2210"/>
      <c r="FJ1" s="2210"/>
      <c r="FK1" s="2210"/>
      <c r="FL1" s="1111">
        <f>FB1+1</f>
        <v>16</v>
      </c>
      <c r="FM1" s="1112"/>
      <c r="FO1" s="2210" t="str">
        <f>FE1</f>
        <v>ENTRADAS DEL MES DE  NOVIEMBRE  2023</v>
      </c>
      <c r="FP1" s="2210"/>
      <c r="FQ1" s="2210"/>
      <c r="FR1" s="2210"/>
      <c r="FS1" s="2210"/>
      <c r="FT1" s="2210"/>
      <c r="FU1" s="2210"/>
      <c r="FV1" s="1111">
        <f>FL1+1</f>
        <v>17</v>
      </c>
      <c r="FW1" s="1112"/>
      <c r="FY1" s="2210" t="str">
        <f>FO1</f>
        <v>ENTRADAS DEL MES DE  NOVIEMBRE  2023</v>
      </c>
      <c r="FZ1" s="2210"/>
      <c r="GA1" s="2210"/>
      <c r="GB1" s="2210"/>
      <c r="GC1" s="2210"/>
      <c r="GD1" s="2210"/>
      <c r="GE1" s="2210"/>
      <c r="GF1" s="1111">
        <f>FV1+1</f>
        <v>18</v>
      </c>
      <c r="GG1" s="1112"/>
      <c r="GH1" s="1042" t="s">
        <v>793</v>
      </c>
      <c r="GI1" s="2210" t="str">
        <f>FY1</f>
        <v>ENTRADAS DEL MES DE  NOVIEMBRE  2023</v>
      </c>
      <c r="GJ1" s="2210"/>
      <c r="GK1" s="2210"/>
      <c r="GL1" s="2210"/>
      <c r="GM1" s="2210"/>
      <c r="GN1" s="2210"/>
      <c r="GO1" s="2210"/>
      <c r="GP1" s="1111">
        <f>GF1+1</f>
        <v>19</v>
      </c>
      <c r="GQ1" s="1112"/>
      <c r="GS1" s="2210" t="str">
        <f>GI1</f>
        <v>ENTRADAS DEL MES DE  NOVIEMBRE  2023</v>
      </c>
      <c r="GT1" s="2210"/>
      <c r="GU1" s="2210"/>
      <c r="GV1" s="2210"/>
      <c r="GW1" s="2210"/>
      <c r="GX1" s="2210"/>
      <c r="GY1" s="2210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16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>Seaboard</v>
      </c>
      <c r="D4" s="1127" t="str">
        <f t="shared" si="0"/>
        <v>PED. 105609243</v>
      </c>
      <c r="E4" s="1128">
        <f t="shared" si="0"/>
        <v>45234</v>
      </c>
      <c r="F4" s="1129">
        <f t="shared" si="0"/>
        <v>17893.38</v>
      </c>
      <c r="G4" s="3">
        <f t="shared" si="0"/>
        <v>20</v>
      </c>
      <c r="H4" s="333">
        <f t="shared" si="0"/>
        <v>17856.87</v>
      </c>
      <c r="I4" s="915">
        <f t="shared" si="0"/>
        <v>36.510000000002037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1" customHeight="1" x14ac:dyDescent="0.25">
      <c r="A5" s="1113">
        <v>2</v>
      </c>
      <c r="B5" s="1042" t="str">
        <f t="shared" ref="B5:H5" si="1">U5</f>
        <v>SAM FARMS  LLC</v>
      </c>
      <c r="C5" s="1042" t="str">
        <f t="shared" si="1"/>
        <v>RANTOUL</v>
      </c>
      <c r="D5" s="1125" t="str">
        <f t="shared" si="1"/>
        <v>PED. 3002232</v>
      </c>
      <c r="E5" s="1126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5">
        <f>AB5</f>
        <v>-294.96999999999753</v>
      </c>
      <c r="K5" s="1053" t="s">
        <v>795</v>
      </c>
      <c r="L5" s="1228" t="s">
        <v>771</v>
      </c>
      <c r="M5" s="1137" t="s">
        <v>824</v>
      </c>
      <c r="N5" s="1055">
        <v>45234</v>
      </c>
      <c r="O5" s="1056">
        <v>17893.38</v>
      </c>
      <c r="P5" s="1057">
        <v>20</v>
      </c>
      <c r="Q5" s="1059">
        <v>17856.87</v>
      </c>
      <c r="R5" s="1051">
        <f>O5-Q5</f>
        <v>36.510000000002037</v>
      </c>
      <c r="S5" s="1052"/>
      <c r="U5" s="1053" t="s">
        <v>836</v>
      </c>
      <c r="V5" s="1317" t="s">
        <v>837</v>
      </c>
      <c r="W5" s="1054" t="s">
        <v>838</v>
      </c>
      <c r="X5" s="1055">
        <v>45241</v>
      </c>
      <c r="Y5" s="1056">
        <v>17986.830000000002</v>
      </c>
      <c r="Z5" s="1057">
        <v>19</v>
      </c>
      <c r="AA5" s="1059">
        <v>18281.8</v>
      </c>
      <c r="AB5" s="1051">
        <f>Y5-AA5</f>
        <v>-294.96999999999753</v>
      </c>
      <c r="AC5" s="1052"/>
      <c r="AE5" s="1053" t="s">
        <v>856</v>
      </c>
      <c r="AF5" s="1057" t="s">
        <v>857</v>
      </c>
      <c r="AG5" s="1054" t="s">
        <v>858</v>
      </c>
      <c r="AH5" s="1058">
        <v>45244</v>
      </c>
      <c r="AI5" s="1056">
        <v>18550.59</v>
      </c>
      <c r="AJ5" s="1057">
        <v>23</v>
      </c>
      <c r="AK5" s="1059">
        <v>18581.5</v>
      </c>
      <c r="AL5" s="1051">
        <f>AI5-AK5</f>
        <v>-30.909999999999854</v>
      </c>
      <c r="AM5" s="1051"/>
      <c r="AO5" s="1053" t="s">
        <v>862</v>
      </c>
      <c r="AP5" s="1362" t="s">
        <v>837</v>
      </c>
      <c r="AQ5" s="1054" t="s">
        <v>863</v>
      </c>
      <c r="AR5" s="1058">
        <v>45245</v>
      </c>
      <c r="AS5" s="1056">
        <v>18324.95</v>
      </c>
      <c r="AT5" s="1057">
        <v>20</v>
      </c>
      <c r="AU5" s="1059">
        <v>18476.599999999999</v>
      </c>
      <c r="AV5" s="1051">
        <f>AS5-AU5</f>
        <v>-151.64999999999782</v>
      </c>
      <c r="AW5" s="1051"/>
      <c r="AY5" s="1053" t="s">
        <v>758</v>
      </c>
      <c r="AZ5" s="1377" t="s">
        <v>759</v>
      </c>
      <c r="BA5" s="1054" t="s">
        <v>872</v>
      </c>
      <c r="BB5" s="1055">
        <v>45248</v>
      </c>
      <c r="BC5" s="1056">
        <v>18638.18</v>
      </c>
      <c r="BD5" s="1057">
        <v>20</v>
      </c>
      <c r="BE5" s="1059">
        <v>18715.12</v>
      </c>
      <c r="BF5" s="1051">
        <f>BC5-BE5</f>
        <v>-76.93999999999869</v>
      </c>
      <c r="BG5" s="1052"/>
      <c r="BI5" s="1053" t="s">
        <v>758</v>
      </c>
      <c r="BJ5" s="1377" t="s">
        <v>759</v>
      </c>
      <c r="BK5" s="1054" t="s">
        <v>874</v>
      </c>
      <c r="BL5" s="1055">
        <v>45252</v>
      </c>
      <c r="BM5" s="1056">
        <v>18855.48</v>
      </c>
      <c r="BN5" s="1057">
        <v>20</v>
      </c>
      <c r="BO5" s="1059">
        <v>18866.62</v>
      </c>
      <c r="BP5" s="1051">
        <f>BM5-BO5</f>
        <v>-11.139999999999418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19.5" thickBot="1" x14ac:dyDescent="0.35">
      <c r="A6" s="1113">
        <v>3</v>
      </c>
      <c r="B6" s="1042" t="str">
        <f t="shared" ref="B6:H6" si="2">AE5</f>
        <v>IDEAL TRADING</v>
      </c>
      <c r="C6" s="1042" t="str">
        <f t="shared" si="2"/>
        <v>SIOUX</v>
      </c>
      <c r="D6" s="1125" t="str">
        <f t="shared" si="2"/>
        <v>PED. 105993430</v>
      </c>
      <c r="E6" s="1126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5">
        <f>AL5</f>
        <v>-30.909999999999854</v>
      </c>
      <c r="K6" s="1342">
        <v>11789</v>
      </c>
      <c r="L6" s="1060"/>
      <c r="M6" s="1053"/>
      <c r="N6" s="1053"/>
      <c r="O6" s="1053"/>
      <c r="P6" s="1053"/>
      <c r="Q6" s="1057"/>
      <c r="S6" s="2"/>
      <c r="U6" s="1342">
        <v>11922</v>
      </c>
      <c r="V6" s="1060"/>
      <c r="W6" s="1053"/>
      <c r="X6" s="1053"/>
      <c r="Y6" s="1053"/>
      <c r="Z6" s="1053"/>
      <c r="AA6" s="1057"/>
      <c r="AE6" s="1061" t="s">
        <v>859</v>
      </c>
      <c r="AF6" s="1060"/>
      <c r="AG6" s="1053"/>
      <c r="AH6" s="1053"/>
      <c r="AI6" s="1053"/>
      <c r="AJ6" s="1053"/>
      <c r="AK6" s="1057"/>
      <c r="AO6" s="1061">
        <v>11935</v>
      </c>
      <c r="AP6" s="1062"/>
      <c r="AQ6" s="1053"/>
      <c r="AR6" s="1053"/>
      <c r="AS6" s="1053"/>
      <c r="AT6" s="1053"/>
      <c r="AU6" s="1057"/>
      <c r="AW6" s="1042"/>
      <c r="AY6" s="1061" t="s">
        <v>873</v>
      </c>
      <c r="AZ6" s="1060"/>
      <c r="BA6" s="1053"/>
      <c r="BB6" s="1053"/>
      <c r="BC6" s="1053"/>
      <c r="BD6" s="1053"/>
      <c r="BE6" s="1057"/>
      <c r="BI6" s="1061">
        <v>11874</v>
      </c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17.25" thickTop="1" thickBot="1" x14ac:dyDescent="0.3">
      <c r="A7" s="1113">
        <v>4</v>
      </c>
      <c r="B7" s="307" t="str">
        <f>AO5</f>
        <v xml:space="preserve">SAM  FARMS </v>
      </c>
      <c r="C7" s="1042" t="str">
        <f t="shared" ref="C7:I7" si="3">AP5</f>
        <v>RANTOUL</v>
      </c>
      <c r="D7" s="1125" t="str">
        <f t="shared" si="3"/>
        <v>PED. 106002279</v>
      </c>
      <c r="E7" s="1126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5">
        <f t="shared" si="3"/>
        <v>-151.64999999999782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16.5" thickTop="1" x14ac:dyDescent="0.25">
      <c r="A8" s="1113">
        <v>5</v>
      </c>
      <c r="B8" s="1042" t="str">
        <f>AY5</f>
        <v>SAM FARMS</v>
      </c>
      <c r="C8" s="1042" t="str">
        <f t="shared" ref="C8:I8" si="4">AZ5</f>
        <v xml:space="preserve">I B P </v>
      </c>
      <c r="D8" s="1125" t="str">
        <f t="shared" si="4"/>
        <v>PED. 106240656</v>
      </c>
      <c r="E8" s="1126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5">
        <f t="shared" si="4"/>
        <v>-76.93999999999869</v>
      </c>
      <c r="K8" s="361"/>
      <c r="L8" s="1070"/>
      <c r="M8" s="1071">
        <v>1</v>
      </c>
      <c r="N8" s="1072">
        <v>894.98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979.3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879.5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923.1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949.82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>
        <v>974.31</v>
      </c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x14ac:dyDescent="0.25">
      <c r="A9" s="1113">
        <v>6</v>
      </c>
      <c r="B9" s="1042" t="str">
        <f>BI5</f>
        <v>SAM FARMS</v>
      </c>
      <c r="C9" s="1042" t="str">
        <f t="shared" ref="C9:H9" si="6">BJ5</f>
        <v xml:space="preserve">I B P </v>
      </c>
      <c r="D9" s="1125" t="str">
        <f t="shared" si="6"/>
        <v>PED. 106320088</v>
      </c>
      <c r="E9" s="1126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5">
        <f>BP5</f>
        <v>-11.139999999999418</v>
      </c>
      <c r="L9" s="1088"/>
      <c r="M9" s="1071">
        <v>2</v>
      </c>
      <c r="N9" s="1072">
        <v>887.68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945.7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840.5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900.8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916.25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>
        <v>929.86</v>
      </c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888.58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924.9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846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906.7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914.44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>
        <v>946.19</v>
      </c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891.3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979.8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883.5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850.9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944.37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>
        <v>946.19</v>
      </c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873.61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917.2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794.5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908.5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912.62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>
        <v>920.79</v>
      </c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889.94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957.2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903.5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868.6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947.1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>
        <v>957.98</v>
      </c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874.07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1013.8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874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947.6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919.88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>
        <v>949.82</v>
      </c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907.18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963.4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591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898.6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946.19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>
        <v>941.65</v>
      </c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896.75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919.4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879.5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921.7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949.82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>
        <v>906.27</v>
      </c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889.49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968.9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450.5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909.5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940.75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>
        <v>925.32</v>
      </c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917.61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940.8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821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989.7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948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>
        <v>928.04</v>
      </c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891.3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943.9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752.5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863.2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946.19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>
        <v>902.64</v>
      </c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903.55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991.1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791.5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953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941.65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>
        <v>941.65</v>
      </c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906.73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911.3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862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941.7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916.25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>
        <v>956.17</v>
      </c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907.63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983.4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784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966.6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918.97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>
        <v>963.43</v>
      </c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870.44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1064.0999999999999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890.5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961.6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930.77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>
        <v>968.87</v>
      </c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907.18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911.7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809.5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923.5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918.97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>
        <v>955.26</v>
      </c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889.4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983.9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884.5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982.9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956.17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>
        <v>952.54</v>
      </c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871.8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982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791.5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913.1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948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>
        <v>937.12</v>
      </c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897.65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11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857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945.3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948.91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>
        <v>962.52</v>
      </c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800.35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>
        <v>799</v>
      </c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>
        <v>795.5</v>
      </c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17856.87</v>
      </c>
      <c r="P32" s="915">
        <f>SUM(P8:P31)</f>
        <v>0</v>
      </c>
      <c r="S32" s="2"/>
      <c r="X32" s="297">
        <f>SUM(X8:X31)</f>
        <v>18292.8</v>
      </c>
      <c r="Z32" s="915">
        <f>SUM(Z8:Z31)</f>
        <v>0</v>
      </c>
      <c r="AH32" s="915">
        <f>SUM(AH8:AH31)</f>
        <v>18581.349999999999</v>
      </c>
      <c r="AJ32" s="915">
        <f>SUM(AJ8:AJ31)</f>
        <v>0</v>
      </c>
      <c r="AR32" s="297">
        <f>SUM(AR8:AR31)</f>
        <v>18476.600000000002</v>
      </c>
      <c r="AT32" s="297">
        <f>SUM(AT8:AT31)</f>
        <v>0</v>
      </c>
      <c r="AW32" s="1042"/>
      <c r="AZ32" s="1042"/>
      <c r="BB32" s="297">
        <f>SUM(BB8:BB31)</f>
        <v>18715.12</v>
      </c>
      <c r="BD32" s="915">
        <f>SUM(BD8:BD31)</f>
        <v>0</v>
      </c>
      <c r="BL32" s="297">
        <f>SUM(BL8:BL31)</f>
        <v>18866.62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17856.87</v>
      </c>
      <c r="S33" s="2"/>
      <c r="X33" s="1106" t="s">
        <v>800</v>
      </c>
      <c r="Y33" s="1107"/>
      <c r="Z33" s="1108">
        <f>AA5-Z32</f>
        <v>18281.8</v>
      </c>
      <c r="AH33" s="1106" t="s">
        <v>800</v>
      </c>
      <c r="AI33" s="1107"/>
      <c r="AJ33" s="1108">
        <f>AK5-AJ32</f>
        <v>18581.5</v>
      </c>
      <c r="AR33" s="1106" t="s">
        <v>800</v>
      </c>
      <c r="AS33" s="1107"/>
      <c r="AT33" s="1108">
        <f>AU5-AT32</f>
        <v>18476.599999999999</v>
      </c>
      <c r="AW33" s="1042"/>
      <c r="AZ33" s="1042"/>
      <c r="BB33" s="1106" t="s">
        <v>800</v>
      </c>
      <c r="BC33" s="1107"/>
      <c r="BD33" s="1108">
        <f>BE5-BD32</f>
        <v>18715.12</v>
      </c>
      <c r="BL33" s="1106" t="s">
        <v>800</v>
      </c>
      <c r="BM33" s="1107"/>
      <c r="BN33" s="1108">
        <f>BO5-BN32</f>
        <v>18866.62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6"/>
  <sheetViews>
    <sheetView tabSelected="1" workbookViewId="0">
      <pane xSplit="9" ySplit="3" topLeftCell="R13" activePane="bottomRight" state="frozen"/>
      <selection pane="topRight" activeCell="J1" sqref="J1"/>
      <selection pane="bottomLeft" activeCell="A4" sqref="A4"/>
      <selection pane="bottomRight" activeCell="S21" sqref="S2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75" t="s">
        <v>911</v>
      </c>
      <c r="B1" s="1675"/>
      <c r="C1" s="1675"/>
      <c r="D1" s="1675"/>
      <c r="E1" s="1675"/>
      <c r="F1" s="1675"/>
      <c r="G1" s="1675"/>
      <c r="H1" s="1675"/>
      <c r="I1" s="1675"/>
      <c r="J1" s="1675"/>
      <c r="K1" s="1675"/>
      <c r="L1" s="363"/>
      <c r="M1" s="562"/>
      <c r="N1" s="363"/>
      <c r="O1" s="363"/>
      <c r="P1" s="364"/>
      <c r="T1" s="1676" t="s">
        <v>0</v>
      </c>
      <c r="U1" s="1676"/>
      <c r="V1" s="4" t="s">
        <v>1</v>
      </c>
      <c r="W1" s="5" t="s">
        <v>2</v>
      </c>
      <c r="X1" s="1678" t="s">
        <v>3</v>
      </c>
      <c r="Y1" s="1679"/>
    </row>
    <row r="2" spans="1:25" ht="24" thickBot="1" x14ac:dyDescent="0.4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1675"/>
      <c r="L2" s="365"/>
      <c r="M2" s="563"/>
      <c r="N2" s="365"/>
      <c r="O2" s="366"/>
      <c r="P2" s="367"/>
      <c r="R2" s="6"/>
      <c r="S2" s="7"/>
      <c r="T2" s="1677"/>
      <c r="U2" s="1677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548" t="s">
        <v>809</v>
      </c>
      <c r="D3" s="14" t="s">
        <v>7</v>
      </c>
      <c r="E3" s="15" t="s">
        <v>8</v>
      </c>
      <c r="F3" s="1549" t="s">
        <v>791</v>
      </c>
      <c r="G3" s="800" t="s">
        <v>9</v>
      </c>
      <c r="H3" s="17" t="s">
        <v>10</v>
      </c>
      <c r="I3" s="18" t="s">
        <v>11</v>
      </c>
      <c r="J3" s="1550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74" t="s">
        <v>16</v>
      </c>
      <c r="Q3" s="2075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49.5" thickTop="1" x14ac:dyDescent="0.35">
      <c r="A4" s="1593" t="s">
        <v>562</v>
      </c>
      <c r="B4" s="683" t="s">
        <v>912</v>
      </c>
      <c r="C4" s="1544">
        <v>11535</v>
      </c>
      <c r="D4" s="1545"/>
      <c r="E4" s="784"/>
      <c r="F4" s="1222"/>
      <c r="G4" s="1546">
        <v>21580</v>
      </c>
      <c r="H4" s="781">
        <v>45261</v>
      </c>
      <c r="I4" s="1547" t="s">
        <v>948</v>
      </c>
      <c r="J4" s="834">
        <f>22310+5515</f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 t="s">
        <v>21</v>
      </c>
      <c r="Q4" s="764">
        <v>45278</v>
      </c>
      <c r="R4" s="1035">
        <v>31400</v>
      </c>
      <c r="S4" s="1594">
        <v>45261</v>
      </c>
      <c r="T4" s="1037"/>
      <c r="U4" s="176"/>
      <c r="V4" s="887"/>
      <c r="W4" s="888"/>
      <c r="X4" s="472" t="s">
        <v>961</v>
      </c>
      <c r="Y4" s="996">
        <v>4176</v>
      </c>
    </row>
    <row r="5" spans="1:25" ht="33" customHeight="1" x14ac:dyDescent="0.35">
      <c r="A5" s="767" t="s">
        <v>31</v>
      </c>
      <c r="B5" s="449" t="s">
        <v>915</v>
      </c>
      <c r="C5" s="1500">
        <v>11538</v>
      </c>
      <c r="D5" s="56"/>
      <c r="E5" s="56"/>
      <c r="F5" s="1214"/>
      <c r="G5" s="817">
        <v>22530</v>
      </c>
      <c r="H5" s="376">
        <v>45264</v>
      </c>
      <c r="I5" s="506">
        <v>44650</v>
      </c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 t="s">
        <v>22</v>
      </c>
      <c r="Q5" s="764">
        <v>45281</v>
      </c>
      <c r="R5" s="210"/>
      <c r="S5" s="125"/>
      <c r="T5" s="176"/>
      <c r="U5" s="48"/>
      <c r="V5" s="49"/>
      <c r="W5" s="50"/>
      <c r="X5" s="1038"/>
      <c r="Y5" s="1457"/>
    </row>
    <row r="6" spans="1:25" ht="33" customHeight="1" x14ac:dyDescent="0.35">
      <c r="A6" s="767" t="s">
        <v>562</v>
      </c>
      <c r="B6" s="449" t="s">
        <v>915</v>
      </c>
      <c r="C6" s="1500">
        <v>11543</v>
      </c>
      <c r="D6" s="56"/>
      <c r="E6" s="56"/>
      <c r="F6" s="1214"/>
      <c r="G6" s="817">
        <v>22050</v>
      </c>
      <c r="H6" s="376">
        <v>45268</v>
      </c>
      <c r="I6" s="506" t="s">
        <v>964</v>
      </c>
      <c r="J6" s="801">
        <v>28520</v>
      </c>
      <c r="K6" s="39">
        <f t="shared" ref="K6:K76" si="0">J6-G6</f>
        <v>6470</v>
      </c>
      <c r="L6" s="40">
        <v>35</v>
      </c>
      <c r="M6" s="565"/>
      <c r="N6" s="554"/>
      <c r="O6" s="42">
        <f t="shared" ref="O6:O75" si="1">L6*J6</f>
        <v>998200</v>
      </c>
      <c r="P6" s="472" t="s">
        <v>466</v>
      </c>
      <c r="Q6" s="764">
        <v>45288</v>
      </c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8" t="s">
        <v>961</v>
      </c>
      <c r="Y6" s="998">
        <v>4176</v>
      </c>
    </row>
    <row r="7" spans="1:25" ht="36" customHeight="1" x14ac:dyDescent="0.35">
      <c r="A7" s="53" t="s">
        <v>31</v>
      </c>
      <c r="B7" s="449" t="s">
        <v>203</v>
      </c>
      <c r="C7" s="1500">
        <v>11551</v>
      </c>
      <c r="D7" s="56"/>
      <c r="E7" s="56"/>
      <c r="F7" s="1214"/>
      <c r="G7" s="817">
        <v>20880</v>
      </c>
      <c r="H7" s="658">
        <v>45271</v>
      </c>
      <c r="I7" s="453">
        <v>44747</v>
      </c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 t="s">
        <v>953</v>
      </c>
      <c r="Q7" s="1039">
        <v>45286</v>
      </c>
      <c r="R7" s="210"/>
      <c r="S7" s="125"/>
      <c r="T7" s="176"/>
      <c r="U7" s="48"/>
      <c r="V7" s="49"/>
      <c r="W7" s="50"/>
      <c r="X7" s="111"/>
      <c r="Y7" s="998"/>
    </row>
    <row r="8" spans="1:25" ht="28.5" customHeight="1" x14ac:dyDescent="0.35">
      <c r="A8" s="767" t="s">
        <v>31</v>
      </c>
      <c r="B8" s="449" t="s">
        <v>915</v>
      </c>
      <c r="C8" s="1500">
        <v>11554</v>
      </c>
      <c r="D8" s="56"/>
      <c r="E8" s="56"/>
      <c r="F8" s="1214"/>
      <c r="G8" s="817">
        <v>21530</v>
      </c>
      <c r="H8" s="376">
        <v>45273</v>
      </c>
      <c r="I8" s="556">
        <v>44790</v>
      </c>
      <c r="J8" s="802">
        <v>21530</v>
      </c>
      <c r="K8" s="39">
        <f>J8-G8</f>
        <v>0</v>
      </c>
      <c r="L8" s="40">
        <v>48</v>
      </c>
      <c r="M8" s="568"/>
      <c r="N8" s="463"/>
      <c r="O8" s="42">
        <f>L8*J8</f>
        <v>1033440</v>
      </c>
      <c r="P8" s="472" t="s">
        <v>21</v>
      </c>
      <c r="Q8" s="1039">
        <v>45289</v>
      </c>
      <c r="R8" s="210"/>
      <c r="S8" s="125"/>
      <c r="T8" s="176"/>
      <c r="U8" s="48"/>
      <c r="V8" s="49"/>
      <c r="W8" s="50"/>
      <c r="X8" s="1038"/>
      <c r="Y8" s="1457"/>
    </row>
    <row r="9" spans="1:25" ht="37.5" x14ac:dyDescent="0.35">
      <c r="A9" s="53" t="s">
        <v>940</v>
      </c>
      <c r="B9" s="449" t="s">
        <v>59</v>
      </c>
      <c r="C9" s="1500"/>
      <c r="D9" s="56"/>
      <c r="E9" s="56"/>
      <c r="F9" s="1214"/>
      <c r="G9" s="817">
        <v>21250</v>
      </c>
      <c r="H9" s="658">
        <v>45275</v>
      </c>
      <c r="I9" s="506" t="s">
        <v>965</v>
      </c>
      <c r="J9" s="802">
        <v>22140</v>
      </c>
      <c r="K9" s="39">
        <f>J9-G9</f>
        <v>890</v>
      </c>
      <c r="L9" s="40">
        <v>34.5</v>
      </c>
      <c r="M9" s="565"/>
      <c r="N9" s="554"/>
      <c r="O9" s="42">
        <f>L9*J9</f>
        <v>763830</v>
      </c>
      <c r="P9" s="476" t="s">
        <v>21</v>
      </c>
      <c r="Q9" s="1039">
        <v>45289</v>
      </c>
      <c r="R9" s="210">
        <v>31275</v>
      </c>
      <c r="S9" s="125">
        <v>45278</v>
      </c>
      <c r="T9" s="176"/>
      <c r="U9" s="48"/>
      <c r="V9" s="49"/>
      <c r="W9" s="50"/>
      <c r="X9" s="111" t="s">
        <v>961</v>
      </c>
      <c r="Y9" s="998">
        <v>4176</v>
      </c>
    </row>
    <row r="10" spans="1:25" x14ac:dyDescent="0.35">
      <c r="A10" s="767" t="s">
        <v>562</v>
      </c>
      <c r="B10" s="449" t="s">
        <v>488</v>
      </c>
      <c r="C10" s="1500"/>
      <c r="D10" s="56"/>
      <c r="E10" s="56"/>
      <c r="F10" s="1214"/>
      <c r="G10" s="817">
        <v>0</v>
      </c>
      <c r="H10" s="376">
        <v>45275</v>
      </c>
      <c r="I10" s="556">
        <v>13483</v>
      </c>
      <c r="J10" s="802">
        <v>5450</v>
      </c>
      <c r="K10" s="39">
        <f>J10-G10</f>
        <v>5450</v>
      </c>
      <c r="L10" s="40">
        <v>34.5</v>
      </c>
      <c r="M10" s="568"/>
      <c r="N10" s="463"/>
      <c r="O10" s="42">
        <f>L10*J10</f>
        <v>188025</v>
      </c>
      <c r="P10" s="472" t="s">
        <v>21</v>
      </c>
      <c r="Q10" s="1039">
        <v>45289</v>
      </c>
      <c r="R10" s="210"/>
      <c r="S10" s="125"/>
      <c r="T10" s="176"/>
      <c r="U10" s="48"/>
      <c r="V10" s="49"/>
      <c r="W10" s="50"/>
      <c r="X10" s="1038" t="s">
        <v>961</v>
      </c>
      <c r="Y10" s="1457">
        <v>0</v>
      </c>
    </row>
    <row r="11" spans="1:25" ht="39.75" customHeight="1" x14ac:dyDescent="0.35">
      <c r="A11" s="76" t="s">
        <v>31</v>
      </c>
      <c r="B11" s="449" t="s">
        <v>58</v>
      </c>
      <c r="C11" s="1501">
        <v>11567</v>
      </c>
      <c r="D11" s="56"/>
      <c r="E11" s="56"/>
      <c r="F11" s="1214"/>
      <c r="G11" s="817">
        <v>19700</v>
      </c>
      <c r="H11" s="658">
        <v>45278</v>
      </c>
      <c r="I11" s="506">
        <v>44864</v>
      </c>
      <c r="J11" s="802">
        <v>19700</v>
      </c>
      <c r="K11" s="39">
        <f t="shared" si="0"/>
        <v>0</v>
      </c>
      <c r="L11" s="40">
        <v>48</v>
      </c>
      <c r="M11" s="568"/>
      <c r="N11" s="463"/>
      <c r="O11" s="42">
        <f t="shared" si="1"/>
        <v>945600</v>
      </c>
      <c r="P11" s="508" t="s">
        <v>21</v>
      </c>
      <c r="Q11" s="1039">
        <v>45289</v>
      </c>
      <c r="R11" s="210"/>
      <c r="S11" s="125"/>
      <c r="T11" s="176"/>
      <c r="U11" s="48"/>
      <c r="V11" s="49"/>
      <c r="W11" s="50"/>
      <c r="X11" s="1008"/>
      <c r="Y11" s="997"/>
    </row>
    <row r="12" spans="1:25" ht="31.5" customHeight="1" x14ac:dyDescent="0.35">
      <c r="A12" s="76" t="s">
        <v>31</v>
      </c>
      <c r="B12" s="449" t="s">
        <v>941</v>
      </c>
      <c r="C12" s="1501">
        <v>11573</v>
      </c>
      <c r="D12" s="56"/>
      <c r="E12" s="56"/>
      <c r="F12" s="1214"/>
      <c r="G12" s="817">
        <v>20380</v>
      </c>
      <c r="H12" s="658">
        <v>45280</v>
      </c>
      <c r="I12" s="453"/>
      <c r="J12" s="802">
        <v>20380</v>
      </c>
      <c r="K12" s="39">
        <f t="shared" si="0"/>
        <v>0</v>
      </c>
      <c r="L12" s="40">
        <v>48</v>
      </c>
      <c r="M12" s="568"/>
      <c r="N12" s="463"/>
      <c r="O12" s="42">
        <f t="shared" si="1"/>
        <v>978240</v>
      </c>
      <c r="P12" s="508"/>
      <c r="Q12" s="1039"/>
      <c r="R12" s="210"/>
      <c r="S12" s="125"/>
      <c r="T12" s="176"/>
      <c r="U12" s="48"/>
      <c r="V12" s="49"/>
      <c r="W12" s="50"/>
      <c r="X12" s="111"/>
      <c r="Y12" s="998"/>
    </row>
    <row r="13" spans="1:25" ht="30.75" customHeight="1" thickBot="1" x14ac:dyDescent="0.35">
      <c r="A13" s="76" t="s">
        <v>920</v>
      </c>
      <c r="B13" s="449" t="s">
        <v>34</v>
      </c>
      <c r="C13" s="1624">
        <v>11575</v>
      </c>
      <c r="D13" s="56"/>
      <c r="E13" s="56"/>
      <c r="F13" s="1214"/>
      <c r="G13" s="817">
        <v>21840</v>
      </c>
      <c r="H13" s="658">
        <v>45281</v>
      </c>
      <c r="I13" s="506">
        <v>21188</v>
      </c>
      <c r="J13" s="802">
        <v>21950</v>
      </c>
      <c r="K13" s="39">
        <f t="shared" si="0"/>
        <v>110</v>
      </c>
      <c r="L13" s="40">
        <v>47</v>
      </c>
      <c r="M13" s="1871"/>
      <c r="N13" s="1872"/>
      <c r="O13" s="42">
        <f t="shared" si="1"/>
        <v>1031650</v>
      </c>
      <c r="P13" s="474" t="s">
        <v>21</v>
      </c>
      <c r="Q13" s="764">
        <v>45288</v>
      </c>
      <c r="R13" s="210"/>
      <c r="S13" s="125"/>
      <c r="T13" s="176"/>
      <c r="U13" s="48"/>
      <c r="V13" s="49"/>
      <c r="W13" s="50"/>
      <c r="X13" s="111"/>
      <c r="Y13" s="998"/>
    </row>
    <row r="14" spans="1:25" ht="30.75" customHeight="1" x14ac:dyDescent="0.3">
      <c r="A14" s="76" t="s">
        <v>413</v>
      </c>
      <c r="B14" s="54" t="s">
        <v>60</v>
      </c>
      <c r="C14" s="2238">
        <v>11576</v>
      </c>
      <c r="D14" s="1367"/>
      <c r="E14" s="56"/>
      <c r="F14" s="1214"/>
      <c r="G14" s="817">
        <v>20410</v>
      </c>
      <c r="H14" s="658">
        <v>45282</v>
      </c>
      <c r="I14" s="506">
        <v>24827</v>
      </c>
      <c r="J14" s="802">
        <v>21040</v>
      </c>
      <c r="K14" s="39">
        <f t="shared" si="0"/>
        <v>630</v>
      </c>
      <c r="L14" s="40">
        <v>34.5</v>
      </c>
      <c r="M14" s="973"/>
      <c r="N14" s="973"/>
      <c r="O14" s="42">
        <f t="shared" si="1"/>
        <v>725880</v>
      </c>
      <c r="P14" s="474" t="s">
        <v>21</v>
      </c>
      <c r="Q14" s="764">
        <v>45289</v>
      </c>
      <c r="R14" s="210">
        <v>26867.5</v>
      </c>
      <c r="S14" s="125">
        <v>45286</v>
      </c>
      <c r="T14" s="176">
        <v>30240</v>
      </c>
      <c r="U14" s="48" t="s">
        <v>951</v>
      </c>
      <c r="V14" s="49"/>
      <c r="W14" s="50"/>
      <c r="X14" s="111" t="s">
        <v>961</v>
      </c>
      <c r="Y14" s="998">
        <v>4176</v>
      </c>
    </row>
    <row r="15" spans="1:25" ht="30.75" customHeight="1" thickBot="1" x14ac:dyDescent="0.4">
      <c r="A15" s="76" t="s">
        <v>963</v>
      </c>
      <c r="B15" s="54" t="s">
        <v>488</v>
      </c>
      <c r="C15" s="2239"/>
      <c r="D15" s="1367"/>
      <c r="E15" s="56"/>
      <c r="F15" s="1214"/>
      <c r="G15" s="817"/>
      <c r="H15" s="658">
        <v>45282</v>
      </c>
      <c r="I15" s="453" t="s">
        <v>967</v>
      </c>
      <c r="J15" s="802">
        <v>5330</v>
      </c>
      <c r="K15" s="39">
        <f t="shared" si="0"/>
        <v>5330</v>
      </c>
      <c r="L15" s="40">
        <v>34.5</v>
      </c>
      <c r="M15" s="568"/>
      <c r="N15" s="463"/>
      <c r="O15" s="42">
        <f t="shared" si="1"/>
        <v>183885</v>
      </c>
      <c r="P15" s="474" t="s">
        <v>21</v>
      </c>
      <c r="Q15" s="764">
        <v>45289</v>
      </c>
      <c r="R15" s="210">
        <v>0</v>
      </c>
      <c r="S15" s="208">
        <v>45286</v>
      </c>
      <c r="T15" s="176"/>
      <c r="U15" s="48"/>
      <c r="V15" s="49"/>
      <c r="W15" s="50"/>
      <c r="X15" s="111" t="s">
        <v>961</v>
      </c>
      <c r="Y15" s="998">
        <v>0</v>
      </c>
    </row>
    <row r="16" spans="1:25" ht="30.75" customHeight="1" x14ac:dyDescent="0.3">
      <c r="A16" s="76" t="s">
        <v>31</v>
      </c>
      <c r="B16" s="449" t="s">
        <v>942</v>
      </c>
      <c r="C16" s="1625">
        <v>11582</v>
      </c>
      <c r="D16" s="56"/>
      <c r="E16" s="56"/>
      <c r="F16" s="1214"/>
      <c r="G16" s="817">
        <v>11980</v>
      </c>
      <c r="H16" s="658">
        <v>45283</v>
      </c>
      <c r="I16" s="506"/>
      <c r="J16" s="802">
        <v>11980</v>
      </c>
      <c r="K16" s="39">
        <f t="shared" ref="K16" si="2">J16-G16</f>
        <v>0</v>
      </c>
      <c r="L16" s="40">
        <v>48</v>
      </c>
      <c r="M16" s="973"/>
      <c r="N16" s="973"/>
      <c r="O16" s="42">
        <f t="shared" ref="O16" si="3">L16*J16</f>
        <v>575040</v>
      </c>
      <c r="P16" s="474"/>
      <c r="Q16" s="764"/>
      <c r="R16" s="210"/>
      <c r="S16" s="125"/>
      <c r="T16" s="176"/>
      <c r="U16" s="48"/>
      <c r="V16" s="49"/>
      <c r="W16" s="50"/>
      <c r="X16" s="111"/>
      <c r="Y16" s="998"/>
    </row>
    <row r="17" spans="1:25" ht="27.75" customHeight="1" x14ac:dyDescent="0.35">
      <c r="A17" s="53" t="s">
        <v>31</v>
      </c>
      <c r="B17" s="449" t="s">
        <v>203</v>
      </c>
      <c r="C17" s="1501">
        <v>11586</v>
      </c>
      <c r="D17" s="56"/>
      <c r="E17" s="56"/>
      <c r="F17" s="1214"/>
      <c r="G17" s="817">
        <v>21530</v>
      </c>
      <c r="H17" s="658">
        <v>45287</v>
      </c>
      <c r="I17" s="453"/>
      <c r="J17" s="802">
        <v>21530</v>
      </c>
      <c r="K17" s="39">
        <f t="shared" si="0"/>
        <v>0</v>
      </c>
      <c r="L17" s="40">
        <v>48</v>
      </c>
      <c r="M17" s="566"/>
      <c r="N17" s="61"/>
      <c r="O17" s="42">
        <f t="shared" si="1"/>
        <v>1033440</v>
      </c>
      <c r="P17" s="476"/>
      <c r="Q17" s="764"/>
      <c r="R17" s="210"/>
      <c r="S17" s="208"/>
      <c r="T17" s="176"/>
      <c r="U17" s="48"/>
      <c r="V17" s="49"/>
      <c r="W17" s="50"/>
      <c r="X17" s="111"/>
      <c r="Y17" s="998"/>
    </row>
    <row r="18" spans="1:25" ht="37.5" customHeight="1" thickBot="1" x14ac:dyDescent="0.4">
      <c r="A18" s="53" t="s">
        <v>31</v>
      </c>
      <c r="B18" s="449" t="s">
        <v>94</v>
      </c>
      <c r="C18" s="1624">
        <v>11588</v>
      </c>
      <c r="D18" s="73"/>
      <c r="E18" s="56"/>
      <c r="F18" s="1214"/>
      <c r="G18" s="817">
        <v>19730</v>
      </c>
      <c r="H18" s="1661">
        <v>45288</v>
      </c>
      <c r="I18" s="453"/>
      <c r="J18" s="802">
        <v>19730</v>
      </c>
      <c r="K18" s="39">
        <f t="shared" si="0"/>
        <v>0</v>
      </c>
      <c r="L18" s="40">
        <v>48</v>
      </c>
      <c r="M18" s="566"/>
      <c r="N18" s="61"/>
      <c r="O18" s="42">
        <f t="shared" si="1"/>
        <v>947040</v>
      </c>
      <c r="P18" s="476"/>
      <c r="Q18" s="764"/>
      <c r="R18" s="210"/>
      <c r="S18" s="208"/>
      <c r="T18" s="176"/>
      <c r="U18" s="48"/>
      <c r="V18" s="49"/>
      <c r="W18" s="50"/>
      <c r="X18" s="1008"/>
      <c r="Y18" s="997"/>
    </row>
    <row r="19" spans="1:25" ht="51" customHeight="1" x14ac:dyDescent="0.35">
      <c r="A19" s="76" t="s">
        <v>971</v>
      </c>
      <c r="B19" s="54" t="s">
        <v>60</v>
      </c>
      <c r="C19" s="2238">
        <v>11594</v>
      </c>
      <c r="D19" s="1367"/>
      <c r="E19" s="56"/>
      <c r="F19" s="1214"/>
      <c r="G19" s="1672">
        <v>21140</v>
      </c>
      <c r="H19" s="2078">
        <v>45289</v>
      </c>
      <c r="I19" s="1868" t="s">
        <v>973</v>
      </c>
      <c r="J19" s="817">
        <v>21540</v>
      </c>
      <c r="K19" s="39">
        <f t="shared" si="0"/>
        <v>400</v>
      </c>
      <c r="L19" s="40">
        <v>34.5</v>
      </c>
      <c r="M19" s="566"/>
      <c r="N19" s="61"/>
      <c r="O19" s="42">
        <f t="shared" si="1"/>
        <v>743130</v>
      </c>
      <c r="P19" s="476"/>
      <c r="Q19" s="764"/>
      <c r="R19" s="210">
        <v>31400</v>
      </c>
      <c r="S19" s="208">
        <v>45289</v>
      </c>
      <c r="T19" s="176"/>
      <c r="U19" s="48"/>
      <c r="V19" s="49"/>
      <c r="W19" s="50"/>
      <c r="X19" s="1008"/>
      <c r="Y19" s="997"/>
    </row>
    <row r="20" spans="1:25" ht="27.75" customHeight="1" thickBot="1" x14ac:dyDescent="0.4">
      <c r="A20" s="76" t="s">
        <v>972</v>
      </c>
      <c r="B20" s="54" t="s">
        <v>415</v>
      </c>
      <c r="C20" s="2239"/>
      <c r="D20" s="1367"/>
      <c r="E20" s="56"/>
      <c r="F20" s="1214"/>
      <c r="G20" s="1672">
        <v>0</v>
      </c>
      <c r="H20" s="2079"/>
      <c r="I20" s="1870"/>
      <c r="J20" s="817">
        <v>5260</v>
      </c>
      <c r="K20" s="39">
        <f t="shared" si="0"/>
        <v>5260</v>
      </c>
      <c r="L20" s="40">
        <v>34.5</v>
      </c>
      <c r="M20" s="566"/>
      <c r="N20" s="61"/>
      <c r="O20" s="42">
        <f t="shared" si="1"/>
        <v>181470</v>
      </c>
      <c r="P20" s="792"/>
      <c r="Q20" s="1641"/>
      <c r="R20" s="210">
        <v>0</v>
      </c>
      <c r="S20" s="208">
        <v>45289</v>
      </c>
      <c r="T20" s="176"/>
      <c r="U20" s="48"/>
      <c r="V20" s="49"/>
      <c r="W20" s="50"/>
      <c r="X20" s="111"/>
      <c r="Y20" s="998"/>
    </row>
    <row r="21" spans="1:25" ht="27.75" customHeight="1" x14ac:dyDescent="0.35">
      <c r="A21" s="712"/>
      <c r="B21" s="449"/>
      <c r="C21" s="1671"/>
      <c r="D21" s="56"/>
      <c r="E21" s="56"/>
      <c r="F21" s="1214"/>
      <c r="G21" s="817"/>
      <c r="H21" s="501"/>
      <c r="I21" s="1656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1649"/>
      <c r="Q21" s="1650"/>
      <c r="R21" s="1640"/>
      <c r="S21" s="208"/>
      <c r="T21" s="176"/>
      <c r="U21" s="48"/>
      <c r="V21" s="49"/>
      <c r="W21" s="50"/>
      <c r="X21" s="111"/>
      <c r="Y21" s="998"/>
    </row>
    <row r="22" spans="1:25" ht="27.75" customHeight="1" thickBot="1" x14ac:dyDescent="0.4">
      <c r="A22" s="712"/>
      <c r="B22" s="449"/>
      <c r="C22" s="1502"/>
      <c r="D22" s="56"/>
      <c r="E22" s="56"/>
      <c r="F22" s="1214"/>
      <c r="G22" s="817"/>
      <c r="H22" s="376"/>
      <c r="I22" s="1656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1651"/>
      <c r="Q22" s="1652"/>
      <c r="R22" s="1640"/>
      <c r="S22" s="208"/>
      <c r="T22" s="176"/>
      <c r="U22" s="48"/>
      <c r="V22" s="49"/>
      <c r="W22" s="50"/>
      <c r="X22" s="1008"/>
      <c r="Y22" s="997"/>
    </row>
    <row r="23" spans="1:25" ht="27.75" customHeight="1" x14ac:dyDescent="0.35">
      <c r="A23" s="53"/>
      <c r="B23" s="449"/>
      <c r="C23" s="1502"/>
      <c r="D23" s="56"/>
      <c r="E23" s="56">
        <f t="shared" ref="E23:E63" si="4">D23*G23</f>
        <v>0</v>
      </c>
      <c r="F23" s="1214"/>
      <c r="G23" s="817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0"/>
      <c r="Q23" s="1487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x14ac:dyDescent="0.35">
      <c r="A24" s="712"/>
      <c r="B24" s="449"/>
      <c r="C24" s="1502"/>
      <c r="D24" s="56"/>
      <c r="E24" s="56">
        <f t="shared" si="4"/>
        <v>0</v>
      </c>
      <c r="F24" s="1214"/>
      <c r="G24" s="817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Bot="1" x14ac:dyDescent="0.4">
      <c r="A25" s="611"/>
      <c r="B25" s="1653"/>
      <c r="C25" s="1366"/>
      <c r="D25" s="784"/>
      <c r="E25" s="1499">
        <f t="shared" si="4"/>
        <v>0</v>
      </c>
      <c r="F25" s="1222"/>
      <c r="G25" s="1654"/>
      <c r="H25" s="1648"/>
      <c r="I25" s="1647"/>
      <c r="J25" s="1655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4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4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4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4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4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4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4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4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4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4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4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4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4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4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4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4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4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4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4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4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4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4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4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6" ht="24.75" thickTop="1" thickBot="1" x14ac:dyDescent="0.4">
      <c r="A49" s="98"/>
      <c r="B49" s="95"/>
      <c r="C49" s="96"/>
      <c r="D49" s="56"/>
      <c r="E49" s="1211">
        <f t="shared" si="4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6" ht="24.75" thickTop="1" thickBot="1" x14ac:dyDescent="0.4">
      <c r="A50" s="101"/>
      <c r="B50" s="95"/>
      <c r="C50" s="96"/>
      <c r="D50" s="56"/>
      <c r="E50" s="1211">
        <f t="shared" si="4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6" ht="24.75" thickTop="1" thickBot="1" x14ac:dyDescent="0.4">
      <c r="A51" s="110"/>
      <c r="B51" s="95"/>
      <c r="C51" s="96"/>
      <c r="D51" s="56"/>
      <c r="E51" s="1211">
        <f t="shared" si="4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6" ht="24.75" thickTop="1" thickBot="1" x14ac:dyDescent="0.4">
      <c r="A52" s="112"/>
      <c r="B52" s="95"/>
      <c r="C52" s="113"/>
      <c r="D52" s="114"/>
      <c r="E52" s="1211">
        <f t="shared" si="4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6" ht="24.75" thickTop="1" thickBot="1" x14ac:dyDescent="0.4">
      <c r="A53" s="102"/>
      <c r="B53" s="95"/>
      <c r="C53" s="96"/>
      <c r="D53" s="114"/>
      <c r="E53" s="1211">
        <f t="shared" si="4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6" ht="24.75" thickTop="1" thickBot="1" x14ac:dyDescent="0.4">
      <c r="A54" s="101"/>
      <c r="B54" s="95"/>
      <c r="C54" s="96"/>
      <c r="D54" s="114"/>
      <c r="E54" s="1211">
        <f t="shared" si="4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6" ht="24.75" thickTop="1" thickBot="1" x14ac:dyDescent="0.4">
      <c r="A55" s="102"/>
      <c r="B55" s="95"/>
      <c r="C55" s="96"/>
      <c r="D55" s="114"/>
      <c r="E55" s="1211">
        <f t="shared" si="4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6" ht="24.75" thickTop="1" thickBot="1" x14ac:dyDescent="0.4">
      <c r="A56" s="102"/>
      <c r="B56" s="95"/>
      <c r="C56" s="96"/>
      <c r="D56" s="114"/>
      <c r="E56" s="1211">
        <f t="shared" si="4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6" ht="24.75" thickTop="1" thickBot="1" x14ac:dyDescent="0.4">
      <c r="A57" s="101"/>
      <c r="B57" s="102"/>
      <c r="C57" s="116"/>
      <c r="D57" s="114"/>
      <c r="E57" s="1211">
        <f t="shared" si="4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6" ht="24.75" thickTop="1" thickBot="1" x14ac:dyDescent="0.4">
      <c r="A58" s="102"/>
      <c r="B58" s="102"/>
      <c r="C58" s="116"/>
      <c r="D58" s="114"/>
      <c r="E58" s="1211">
        <f t="shared" si="4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6" ht="24.75" thickTop="1" thickBot="1" x14ac:dyDescent="0.4">
      <c r="A59" s="102"/>
      <c r="B59" s="102"/>
      <c r="C59" s="116"/>
      <c r="D59" s="114"/>
      <c r="E59" s="1211">
        <f t="shared" si="4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1">
        <f t="shared" si="4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1">
        <f t="shared" si="4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1">
        <f t="shared" si="4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06"/>
      <c r="C63" s="128"/>
      <c r="D63" s="128"/>
      <c r="E63" s="1211">
        <f t="shared" si="4"/>
        <v>0</v>
      </c>
      <c r="F63" s="1507"/>
      <c r="G63" s="1212"/>
      <c r="H63" s="136"/>
      <c r="I63" s="131"/>
      <c r="J63" s="819"/>
      <c r="K63" s="39">
        <f t="shared" si="0"/>
        <v>0</v>
      </c>
      <c r="L63" s="1527"/>
      <c r="M63" s="567"/>
      <c r="N63" s="134"/>
      <c r="O63" s="42">
        <f t="shared" si="1"/>
        <v>0</v>
      </c>
      <c r="P63" s="135"/>
      <c r="Q63" s="671"/>
      <c r="R63" s="137"/>
      <c r="S63" s="1532"/>
      <c r="T63" s="1533"/>
      <c r="U63" s="1533"/>
      <c r="V63" s="1534"/>
      <c r="W63" s="1535"/>
    </row>
    <row r="64" spans="1:26" s="889" customFormat="1" ht="30.75" customHeight="1" x14ac:dyDescent="0.3">
      <c r="A64" s="1508" t="s">
        <v>641</v>
      </c>
      <c r="B64" s="853" t="s">
        <v>137</v>
      </c>
      <c r="C64" s="558">
        <v>11540</v>
      </c>
      <c r="D64" s="1509"/>
      <c r="E64" s="56"/>
      <c r="F64" s="1218"/>
      <c r="G64" s="1505">
        <v>720</v>
      </c>
      <c r="H64" s="1510">
        <v>45266</v>
      </c>
      <c r="I64" s="506" t="s">
        <v>916</v>
      </c>
      <c r="J64" s="1505">
        <v>720</v>
      </c>
      <c r="K64" s="39">
        <f t="shared" si="0"/>
        <v>0</v>
      </c>
      <c r="L64" s="468">
        <v>260</v>
      </c>
      <c r="M64" s="756"/>
      <c r="N64" s="1528"/>
      <c r="O64" s="1437">
        <f t="shared" si="1"/>
        <v>187200</v>
      </c>
      <c r="P64" s="763" t="s">
        <v>21</v>
      </c>
      <c r="Q64" s="1022">
        <v>45273</v>
      </c>
      <c r="R64" s="124"/>
      <c r="S64" s="886"/>
      <c r="T64" s="48"/>
      <c r="U64" s="48"/>
      <c r="V64" s="887"/>
      <c r="W64" s="888"/>
      <c r="X64" s="1536"/>
      <c r="Y64" s="1031"/>
      <c r="Z64" s="1537"/>
    </row>
    <row r="65" spans="1:26" ht="45" customHeight="1" x14ac:dyDescent="0.3">
      <c r="A65" s="1508" t="s">
        <v>504</v>
      </c>
      <c r="B65" s="386" t="s">
        <v>918</v>
      </c>
      <c r="C65" s="558">
        <v>11544</v>
      </c>
      <c r="D65" s="445"/>
      <c r="E65" s="1015"/>
      <c r="F65" s="1221"/>
      <c r="G65" s="738">
        <v>2649.87</v>
      </c>
      <c r="H65" s="151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28"/>
      <c r="O65" s="1437">
        <f t="shared" si="1"/>
        <v>63596.88</v>
      </c>
      <c r="P65" s="763" t="s">
        <v>22</v>
      </c>
      <c r="Q65" s="1022">
        <v>45271</v>
      </c>
      <c r="R65" s="374"/>
      <c r="S65" s="125"/>
      <c r="T65" s="1023"/>
      <c r="U65" s="1023"/>
      <c r="V65" s="49"/>
      <c r="W65" s="1024"/>
      <c r="X65" s="1536"/>
      <c r="Y65" s="1031"/>
      <c r="Z65" s="1538"/>
    </row>
    <row r="66" spans="1:26" ht="30.75" customHeight="1" x14ac:dyDescent="0.3">
      <c r="A66" s="1508" t="s">
        <v>920</v>
      </c>
      <c r="B66" s="386" t="s">
        <v>828</v>
      </c>
      <c r="C66" s="558">
        <v>11545</v>
      </c>
      <c r="D66" s="445"/>
      <c r="E66" s="1015"/>
      <c r="F66" s="1221">
        <v>39</v>
      </c>
      <c r="G66" s="738">
        <v>1019.2</v>
      </c>
      <c r="H66" s="1510">
        <v>45269</v>
      </c>
      <c r="I66" s="506">
        <v>21130</v>
      </c>
      <c r="J66" s="738">
        <v>1019.2</v>
      </c>
      <c r="K66" s="39">
        <f t="shared" si="0"/>
        <v>0</v>
      </c>
      <c r="L66" s="468">
        <v>79.5</v>
      </c>
      <c r="M66" s="756"/>
      <c r="N66" s="1528"/>
      <c r="O66" s="1437">
        <f t="shared" si="1"/>
        <v>81026.400000000009</v>
      </c>
      <c r="P66" s="763" t="s">
        <v>957</v>
      </c>
      <c r="Q66" s="1022">
        <v>45280</v>
      </c>
      <c r="R66" s="375"/>
      <c r="S66" s="125"/>
      <c r="T66" s="1023"/>
      <c r="U66" s="1023"/>
      <c r="V66" s="49"/>
      <c r="W66" s="1024"/>
      <c r="X66" s="1536"/>
      <c r="Y66" s="1031"/>
      <c r="Z66" s="1538"/>
    </row>
    <row r="67" spans="1:26" ht="30.75" customHeight="1" x14ac:dyDescent="0.3">
      <c r="A67" s="1508" t="s">
        <v>920</v>
      </c>
      <c r="B67" s="386" t="s">
        <v>828</v>
      </c>
      <c r="C67" s="558">
        <v>11548</v>
      </c>
      <c r="D67" s="445"/>
      <c r="E67" s="1015"/>
      <c r="F67" s="1221">
        <v>40</v>
      </c>
      <c r="G67" s="738">
        <v>956.17</v>
      </c>
      <c r="H67" s="1510">
        <v>45271</v>
      </c>
      <c r="I67" s="506">
        <v>21131</v>
      </c>
      <c r="J67" s="738">
        <v>956.17</v>
      </c>
      <c r="K67" s="977">
        <f t="shared" si="0"/>
        <v>0</v>
      </c>
      <c r="L67" s="468">
        <v>79.5</v>
      </c>
      <c r="M67" s="756"/>
      <c r="N67" s="1528"/>
      <c r="O67" s="1369">
        <f t="shared" si="1"/>
        <v>76015.514999999999</v>
      </c>
      <c r="P67" s="763" t="s">
        <v>22</v>
      </c>
      <c r="Q67" s="1022">
        <v>45280</v>
      </c>
      <c r="R67" s="375"/>
      <c r="S67" s="125"/>
      <c r="T67" s="1023"/>
      <c r="U67" s="1023"/>
      <c r="V67" s="49"/>
      <c r="W67" s="1024"/>
      <c r="X67" s="1536"/>
      <c r="Y67" s="1031"/>
      <c r="Z67" s="1538"/>
    </row>
    <row r="68" spans="1:26" ht="30.75" customHeight="1" x14ac:dyDescent="0.3">
      <c r="A68" s="1508" t="s">
        <v>925</v>
      </c>
      <c r="B68" s="386" t="s">
        <v>924</v>
      </c>
      <c r="C68" s="558">
        <v>11552</v>
      </c>
      <c r="D68" s="445"/>
      <c r="E68" s="1015"/>
      <c r="F68" s="1221">
        <v>41</v>
      </c>
      <c r="G68" s="738">
        <v>251.6</v>
      </c>
      <c r="H68" s="1510">
        <v>45272</v>
      </c>
      <c r="I68" s="506">
        <v>44746</v>
      </c>
      <c r="J68" s="738">
        <v>251.6</v>
      </c>
      <c r="K68" s="977">
        <f t="shared" si="0"/>
        <v>0</v>
      </c>
      <c r="L68" s="468">
        <v>81</v>
      </c>
      <c r="M68" s="756"/>
      <c r="N68" s="1528"/>
      <c r="O68" s="1369">
        <f t="shared" si="1"/>
        <v>20379.599999999999</v>
      </c>
      <c r="P68" s="763" t="s">
        <v>21</v>
      </c>
      <c r="Q68" s="1022">
        <v>45286</v>
      </c>
      <c r="R68" s="375"/>
      <c r="S68" s="125"/>
      <c r="T68" s="1023"/>
      <c r="U68" s="1023"/>
      <c r="V68" s="49"/>
      <c r="W68" s="1024"/>
      <c r="X68" s="1536"/>
      <c r="Y68" s="1031"/>
      <c r="Z68" s="1538"/>
    </row>
    <row r="69" spans="1:26" s="889" customFormat="1" ht="30.75" customHeight="1" x14ac:dyDescent="0.35">
      <c r="A69" s="1229" t="s">
        <v>925</v>
      </c>
      <c r="B69" s="386" t="s">
        <v>924</v>
      </c>
      <c r="C69" s="1598">
        <v>11555</v>
      </c>
      <c r="D69" s="445"/>
      <c r="E69" s="1015"/>
      <c r="F69" s="1511">
        <v>118</v>
      </c>
      <c r="G69" s="738">
        <v>674.4</v>
      </c>
      <c r="H69" s="1512">
        <v>45274</v>
      </c>
      <c r="I69" s="1634">
        <v>44757</v>
      </c>
      <c r="J69" s="738">
        <v>674.4</v>
      </c>
      <c r="K69" s="977">
        <f t="shared" si="0"/>
        <v>0</v>
      </c>
      <c r="L69" s="468">
        <v>81</v>
      </c>
      <c r="M69" s="591"/>
      <c r="N69" s="585"/>
      <c r="O69" s="1369">
        <f t="shared" si="1"/>
        <v>54626.400000000001</v>
      </c>
      <c r="P69" s="1460" t="s">
        <v>21</v>
      </c>
      <c r="Q69" s="1599">
        <v>45286</v>
      </c>
      <c r="R69" s="375"/>
      <c r="S69" s="886"/>
      <c r="T69" s="1023"/>
      <c r="U69" s="1023"/>
      <c r="V69" s="887"/>
      <c r="W69" s="1025"/>
      <c r="X69" s="1029"/>
      <c r="Y69" s="1030"/>
      <c r="Z69" s="1537"/>
    </row>
    <row r="70" spans="1:26" s="889" customFormat="1" ht="30.75" customHeight="1" x14ac:dyDescent="0.35">
      <c r="A70" s="1612" t="s">
        <v>925</v>
      </c>
      <c r="B70" s="519" t="s">
        <v>924</v>
      </c>
      <c r="C70" s="1613">
        <v>11558</v>
      </c>
      <c r="D70" s="517"/>
      <c r="E70" s="1015"/>
      <c r="F70" s="1511">
        <v>268</v>
      </c>
      <c r="G70" s="738">
        <v>1267</v>
      </c>
      <c r="H70" s="1619">
        <v>45275</v>
      </c>
      <c r="I70" s="1636">
        <v>44791</v>
      </c>
      <c r="J70" s="772">
        <v>1267</v>
      </c>
      <c r="K70" s="977">
        <f t="shared" si="0"/>
        <v>0</v>
      </c>
      <c r="L70" s="468">
        <v>81</v>
      </c>
      <c r="M70" s="591"/>
      <c r="N70" s="585"/>
      <c r="O70" s="1369">
        <f t="shared" si="1"/>
        <v>102627</v>
      </c>
      <c r="P70" s="1614" t="s">
        <v>966</v>
      </c>
      <c r="Q70" s="1615">
        <v>45289</v>
      </c>
      <c r="R70" s="543"/>
      <c r="S70" s="886"/>
      <c r="T70" s="1023"/>
      <c r="U70" s="1023"/>
      <c r="V70" s="887"/>
      <c r="W70" s="1025"/>
      <c r="X70" s="1029"/>
      <c r="Y70" s="1030"/>
      <c r="Z70" s="1537"/>
    </row>
    <row r="71" spans="1:26" s="889" customFormat="1" ht="30.75" customHeight="1" x14ac:dyDescent="0.35">
      <c r="A71" s="1612" t="s">
        <v>920</v>
      </c>
      <c r="B71" s="519" t="s">
        <v>828</v>
      </c>
      <c r="C71" s="1613">
        <v>11564</v>
      </c>
      <c r="D71" s="517"/>
      <c r="E71" s="1015"/>
      <c r="F71" s="1511"/>
      <c r="G71" s="1016">
        <v>732.03</v>
      </c>
      <c r="H71" s="1622">
        <v>45276</v>
      </c>
      <c r="I71" s="1636">
        <v>21158</v>
      </c>
      <c r="J71" s="772">
        <v>732.03</v>
      </c>
      <c r="K71" s="977">
        <f t="shared" si="0"/>
        <v>0</v>
      </c>
      <c r="L71" s="468">
        <v>79.5</v>
      </c>
      <c r="M71" s="591"/>
      <c r="N71" s="585"/>
      <c r="O71" s="1369">
        <f t="shared" si="1"/>
        <v>58196.384999999995</v>
      </c>
      <c r="P71" s="1614" t="s">
        <v>22</v>
      </c>
      <c r="Q71" s="1615">
        <v>45280</v>
      </c>
      <c r="R71" s="543"/>
      <c r="S71" s="886"/>
      <c r="T71" s="1023"/>
      <c r="U71" s="1023"/>
      <c r="V71" s="887"/>
      <c r="W71" s="1025"/>
      <c r="X71" s="1029"/>
      <c r="Y71" s="1030"/>
      <c r="Z71" s="1537"/>
    </row>
    <row r="72" spans="1:26" s="889" customFormat="1" ht="30.75" customHeight="1" thickBot="1" x14ac:dyDescent="0.4">
      <c r="A72" s="1612" t="s">
        <v>920</v>
      </c>
      <c r="B72" s="519" t="s">
        <v>828</v>
      </c>
      <c r="C72" s="1613">
        <v>11565</v>
      </c>
      <c r="D72" s="517"/>
      <c r="E72" s="1015"/>
      <c r="F72" s="1511"/>
      <c r="G72" s="1016">
        <v>1133.71</v>
      </c>
      <c r="H72" s="1622">
        <v>45276</v>
      </c>
      <c r="I72" s="1636">
        <v>21159</v>
      </c>
      <c r="J72" s="772">
        <v>1133.71</v>
      </c>
      <c r="K72" s="977">
        <f t="shared" si="0"/>
        <v>0</v>
      </c>
      <c r="L72" s="468">
        <v>79.5</v>
      </c>
      <c r="M72" s="591"/>
      <c r="N72" s="585"/>
      <c r="O72" s="1369">
        <f t="shared" si="1"/>
        <v>90129.945000000007</v>
      </c>
      <c r="P72" s="1614" t="s">
        <v>22</v>
      </c>
      <c r="Q72" s="1615">
        <v>45280</v>
      </c>
      <c r="R72" s="543"/>
      <c r="S72" s="886"/>
      <c r="T72" s="1023"/>
      <c r="U72" s="1023"/>
      <c r="V72" s="887"/>
      <c r="W72" s="1025"/>
      <c r="X72" s="1029"/>
      <c r="Y72" s="1030"/>
      <c r="Z72" s="1537"/>
    </row>
    <row r="73" spans="1:26" ht="30.75" customHeight="1" x14ac:dyDescent="0.35">
      <c r="A73" s="2225" t="s">
        <v>681</v>
      </c>
      <c r="B73" s="519" t="s">
        <v>23</v>
      </c>
      <c r="C73" s="2227">
        <v>11572</v>
      </c>
      <c r="D73" s="517"/>
      <c r="E73" s="1015"/>
      <c r="F73" s="1221">
        <v>10</v>
      </c>
      <c r="G73" s="1017">
        <v>4012.4</v>
      </c>
      <c r="H73" s="2231">
        <v>45646</v>
      </c>
      <c r="I73" s="2229" t="s">
        <v>954</v>
      </c>
      <c r="J73" s="1018">
        <v>4012.4</v>
      </c>
      <c r="K73" s="977">
        <f t="shared" si="0"/>
        <v>0</v>
      </c>
      <c r="L73" s="468">
        <v>102</v>
      </c>
      <c r="M73" s="1635" t="s">
        <v>955</v>
      </c>
      <c r="N73" s="894">
        <f>200000+289584.8</f>
        <v>489584.8</v>
      </c>
      <c r="O73" s="1369">
        <f t="shared" si="1"/>
        <v>409264.8</v>
      </c>
      <c r="P73" s="2221" t="s">
        <v>22</v>
      </c>
      <c r="Q73" s="2223" t="s">
        <v>956</v>
      </c>
      <c r="R73" s="543"/>
      <c r="S73" s="125"/>
      <c r="T73" s="1031"/>
      <c r="U73" s="1031"/>
      <c r="V73" s="49" t="s">
        <v>961</v>
      </c>
      <c r="W73" s="1024">
        <v>4176</v>
      </c>
      <c r="X73" s="1028"/>
      <c r="Y73" s="1032"/>
      <c r="Z73" s="1538"/>
    </row>
    <row r="74" spans="1:26" ht="30.75" customHeight="1" thickBot="1" x14ac:dyDescent="0.35">
      <c r="A74" s="2226"/>
      <c r="B74" s="519" t="s">
        <v>939</v>
      </c>
      <c r="C74" s="2228"/>
      <c r="D74" s="517"/>
      <c r="E74" s="1015"/>
      <c r="F74" s="1221"/>
      <c r="G74" s="1017">
        <v>1004</v>
      </c>
      <c r="H74" s="2232"/>
      <c r="I74" s="2230"/>
      <c r="J74" s="1018">
        <v>1004</v>
      </c>
      <c r="K74" s="977">
        <f t="shared" si="0"/>
        <v>0</v>
      </c>
      <c r="L74" s="468">
        <v>80</v>
      </c>
      <c r="M74" s="584"/>
      <c r="N74" s="585"/>
      <c r="O74" s="1369">
        <f t="shared" si="1"/>
        <v>80320</v>
      </c>
      <c r="P74" s="2222"/>
      <c r="Q74" s="2224"/>
      <c r="R74" s="543"/>
      <c r="S74" s="125"/>
      <c r="T74" s="1031"/>
      <c r="U74" s="1031"/>
      <c r="V74" s="49" t="s">
        <v>961</v>
      </c>
      <c r="W74" s="1024">
        <v>0</v>
      </c>
      <c r="X74" s="1028"/>
      <c r="Y74" s="1032"/>
      <c r="Z74" s="1538"/>
    </row>
    <row r="75" spans="1:26" ht="30.75" customHeight="1" thickBot="1" x14ac:dyDescent="0.35">
      <c r="A75" s="1620" t="s">
        <v>920</v>
      </c>
      <c r="B75" s="799" t="s">
        <v>828</v>
      </c>
      <c r="C75" s="1621">
        <v>11579</v>
      </c>
      <c r="D75" s="1616"/>
      <c r="E75" s="1617"/>
      <c r="F75" s="1618">
        <v>40</v>
      </c>
      <c r="G75" s="820">
        <v>1043.94</v>
      </c>
      <c r="H75" s="1236">
        <v>45283</v>
      </c>
      <c r="I75" s="1657">
        <v>21192</v>
      </c>
      <c r="J75" s="1018">
        <v>1043.94</v>
      </c>
      <c r="K75" s="977">
        <f t="shared" si="0"/>
        <v>0</v>
      </c>
      <c r="L75" s="468">
        <v>79.5</v>
      </c>
      <c r="M75" s="584"/>
      <c r="N75" s="585"/>
      <c r="O75" s="1369">
        <f t="shared" si="1"/>
        <v>82993.23000000001</v>
      </c>
      <c r="P75" s="1348" t="s">
        <v>21</v>
      </c>
      <c r="Q75" s="1658">
        <v>45288</v>
      </c>
      <c r="R75" s="543"/>
      <c r="S75" s="125"/>
      <c r="T75" s="1031"/>
      <c r="U75" s="1031"/>
      <c r="V75" s="49"/>
      <c r="W75" s="1024"/>
      <c r="X75" s="1028"/>
      <c r="Y75" s="1032"/>
      <c r="Z75" s="1538"/>
    </row>
    <row r="76" spans="1:26" ht="30.75" customHeight="1" x14ac:dyDescent="0.3">
      <c r="A76" s="2233" t="s">
        <v>920</v>
      </c>
      <c r="B76" s="519" t="s">
        <v>828</v>
      </c>
      <c r="C76" s="2227">
        <v>11580</v>
      </c>
      <c r="D76" s="517"/>
      <c r="E76" s="1015"/>
      <c r="F76" s="1221">
        <v>39</v>
      </c>
      <c r="G76" s="1017">
        <v>993.23</v>
      </c>
      <c r="H76" s="2236">
        <v>45283</v>
      </c>
      <c r="I76" s="2218">
        <v>21191</v>
      </c>
      <c r="J76" s="1018">
        <v>993.23</v>
      </c>
      <c r="K76" s="977">
        <f t="shared" si="0"/>
        <v>0</v>
      </c>
      <c r="L76" s="468">
        <v>81</v>
      </c>
      <c r="M76" s="749"/>
      <c r="N76" s="468"/>
      <c r="O76" s="1369">
        <f t="shared" ref="O76:O140" si="5">L76*J76</f>
        <v>80451.63</v>
      </c>
      <c r="P76" s="2196" t="s">
        <v>21</v>
      </c>
      <c r="Q76" s="2220">
        <v>45288</v>
      </c>
      <c r="R76" s="543"/>
      <c r="S76" s="125"/>
      <c r="T76" s="1031"/>
      <c r="U76" s="1031"/>
      <c r="V76" s="49"/>
      <c r="W76" s="1024"/>
      <c r="X76" s="1028"/>
      <c r="Y76" s="1032"/>
      <c r="Z76" s="1538"/>
    </row>
    <row r="77" spans="1:26" ht="26.25" customHeight="1" thickBot="1" x14ac:dyDescent="0.35">
      <c r="A77" s="2234"/>
      <c r="B77" s="519" t="s">
        <v>943</v>
      </c>
      <c r="C77" s="2235"/>
      <c r="D77" s="517"/>
      <c r="E77" s="1015"/>
      <c r="F77" s="1221">
        <v>14</v>
      </c>
      <c r="G77" s="1017">
        <v>413.55</v>
      </c>
      <c r="H77" s="2237"/>
      <c r="I77" s="2219"/>
      <c r="J77" s="1018">
        <v>413.55</v>
      </c>
      <c r="K77" s="977">
        <f t="shared" ref="K77:K140" si="6">J77-G77</f>
        <v>0</v>
      </c>
      <c r="L77" s="468">
        <v>50</v>
      </c>
      <c r="M77" s="749"/>
      <c r="N77" s="468"/>
      <c r="O77" s="1525">
        <f t="shared" si="5"/>
        <v>20677.5</v>
      </c>
      <c r="P77" s="2154"/>
      <c r="Q77" s="2036"/>
      <c r="R77" s="543"/>
      <c r="S77" s="125"/>
      <c r="T77" s="1031"/>
      <c r="U77" s="1031"/>
      <c r="V77" s="49"/>
      <c r="W77" s="1024"/>
      <c r="X77" s="1028"/>
      <c r="Y77" s="1032"/>
      <c r="Z77" s="1538"/>
    </row>
    <row r="78" spans="1:26" s="889" customFormat="1" ht="32.25" customHeight="1" thickTop="1" x14ac:dyDescent="0.3">
      <c r="A78" s="1749" t="s">
        <v>920</v>
      </c>
      <c r="B78" s="519" t="s">
        <v>945</v>
      </c>
      <c r="C78" s="2244">
        <v>11584</v>
      </c>
      <c r="D78" s="776"/>
      <c r="E78" s="737"/>
      <c r="F78" s="1231"/>
      <c r="G78" s="1017">
        <v>470.87</v>
      </c>
      <c r="H78" s="2246">
        <v>45286</v>
      </c>
      <c r="I78" s="2212">
        <v>21199</v>
      </c>
      <c r="J78" s="1018">
        <v>470.87</v>
      </c>
      <c r="K78" s="977">
        <f t="shared" si="6"/>
        <v>0</v>
      </c>
      <c r="L78" s="468">
        <v>82</v>
      </c>
      <c r="M78" s="1498"/>
      <c r="N78" s="468"/>
      <c r="O78" s="1526">
        <f t="shared" si="5"/>
        <v>38611.340000000004</v>
      </c>
      <c r="P78" s="2214" t="s">
        <v>21</v>
      </c>
      <c r="Q78" s="2216">
        <v>45288</v>
      </c>
      <c r="R78" s="543"/>
      <c r="S78" s="886"/>
      <c r="T78" s="1031"/>
      <c r="U78" s="1031"/>
      <c r="V78" s="887"/>
      <c r="W78" s="1025"/>
      <c r="X78" s="1029"/>
      <c r="Y78" s="1030"/>
      <c r="Z78" s="1537"/>
    </row>
    <row r="79" spans="1:26" ht="31.5" customHeight="1" thickBot="1" x14ac:dyDescent="0.35">
      <c r="A79" s="1750"/>
      <c r="B79" s="519" t="s">
        <v>946</v>
      </c>
      <c r="C79" s="2245"/>
      <c r="D79" s="776"/>
      <c r="E79" s="737"/>
      <c r="F79" s="1231"/>
      <c r="G79" s="1017">
        <v>432.65</v>
      </c>
      <c r="H79" s="2247"/>
      <c r="I79" s="2213"/>
      <c r="J79" s="1018">
        <v>432.65</v>
      </c>
      <c r="K79" s="977">
        <f t="shared" si="6"/>
        <v>0</v>
      </c>
      <c r="L79" s="468">
        <v>82</v>
      </c>
      <c r="M79" s="756"/>
      <c r="N79" s="468"/>
      <c r="O79" s="1369">
        <f t="shared" si="5"/>
        <v>35477.299999999996</v>
      </c>
      <c r="P79" s="2215"/>
      <c r="Q79" s="2217"/>
      <c r="R79" s="543"/>
      <c r="S79" s="125"/>
      <c r="T79" s="1031"/>
      <c r="U79" s="1031"/>
      <c r="V79" s="49"/>
      <c r="W79" s="1024"/>
      <c r="X79" s="257"/>
      <c r="Y79" s="1033"/>
      <c r="Z79" s="1538"/>
    </row>
    <row r="80" spans="1:26" ht="46.5" customHeight="1" thickBot="1" x14ac:dyDescent="0.4">
      <c r="A80" s="1664" t="s">
        <v>681</v>
      </c>
      <c r="B80" s="1665" t="s">
        <v>23</v>
      </c>
      <c r="C80" s="1666">
        <v>11587</v>
      </c>
      <c r="D80" s="1225"/>
      <c r="E80" s="1499">
        <f t="shared" ref="E80:E81" si="7">D80*G80</f>
        <v>0</v>
      </c>
      <c r="F80" s="1222">
        <v>10</v>
      </c>
      <c r="G80" s="1226">
        <v>4146.3999999999996</v>
      </c>
      <c r="H80" s="1668">
        <v>45287</v>
      </c>
      <c r="I80" s="1667" t="s">
        <v>969</v>
      </c>
      <c r="J80" s="802">
        <f>1960.785+2185.616</f>
        <v>4146.4009999999998</v>
      </c>
      <c r="K80" s="39">
        <f t="shared" ref="K80:K81" si="8">J80-G80</f>
        <v>1.0000000002037268E-3</v>
      </c>
      <c r="L80" s="40">
        <v>102</v>
      </c>
      <c r="M80" s="566" t="s">
        <v>683</v>
      </c>
      <c r="N80" s="61">
        <f>200000+222932.8</f>
        <v>422932.8</v>
      </c>
      <c r="O80" s="42">
        <f t="shared" si="5"/>
        <v>422932.902</v>
      </c>
      <c r="P80" s="1669" t="s">
        <v>957</v>
      </c>
      <c r="Q80" s="1670" t="s">
        <v>959</v>
      </c>
      <c r="R80" s="1640"/>
      <c r="S80" s="1659"/>
      <c r="T80" s="2240">
        <v>28000</v>
      </c>
      <c r="U80" s="2242" t="s">
        <v>968</v>
      </c>
      <c r="V80" s="1660"/>
      <c r="W80" s="50"/>
      <c r="X80" s="111"/>
      <c r="Y80" s="998"/>
    </row>
    <row r="81" spans="1:26" ht="42" customHeight="1" thickTop="1" thickBot="1" x14ac:dyDescent="0.4">
      <c r="A81" s="1662" t="s">
        <v>970</v>
      </c>
      <c r="B81" s="613" t="s">
        <v>828</v>
      </c>
      <c r="C81" s="1478">
        <v>11591</v>
      </c>
      <c r="D81" s="56"/>
      <c r="E81" s="1211">
        <f t="shared" si="7"/>
        <v>0</v>
      </c>
      <c r="F81" s="1214">
        <v>84</v>
      </c>
      <c r="G81" s="802">
        <v>2200.54</v>
      </c>
      <c r="H81" s="501">
        <v>45290</v>
      </c>
      <c r="I81" s="1663"/>
      <c r="J81" s="817">
        <v>2200.54</v>
      </c>
      <c r="K81" s="39">
        <f t="shared" si="8"/>
        <v>0</v>
      </c>
      <c r="L81" s="40">
        <v>79.5</v>
      </c>
      <c r="M81" s="566"/>
      <c r="N81" s="61"/>
      <c r="O81" s="42">
        <f t="shared" si="5"/>
        <v>174942.93</v>
      </c>
      <c r="P81" s="1651"/>
      <c r="Q81" s="1652"/>
      <c r="R81" s="1640"/>
      <c r="S81" s="1659"/>
      <c r="T81" s="2241"/>
      <c r="U81" s="2243"/>
      <c r="V81" s="1660"/>
      <c r="W81" s="50"/>
      <c r="X81" s="1008"/>
      <c r="Y81" s="997"/>
    </row>
    <row r="82" spans="1:26" ht="31.5" customHeight="1" x14ac:dyDescent="0.3">
      <c r="A82" s="80"/>
      <c r="B82" s="737"/>
      <c r="C82" s="1515"/>
      <c r="D82" s="737"/>
      <c r="E82" s="737"/>
      <c r="F82" s="1231"/>
      <c r="G82" s="820"/>
      <c r="H82" s="1514"/>
      <c r="I82" s="1638"/>
      <c r="J82" s="820"/>
      <c r="K82" s="977">
        <f t="shared" si="6"/>
        <v>0</v>
      </c>
      <c r="L82" s="468"/>
      <c r="M82" s="756"/>
      <c r="N82" s="1528"/>
      <c r="O82" s="1369">
        <f t="shared" si="5"/>
        <v>0</v>
      </c>
      <c r="P82" s="763"/>
      <c r="Q82" s="1022"/>
      <c r="R82" s="375"/>
      <c r="S82" s="125"/>
      <c r="T82" s="892"/>
      <c r="U82" s="892"/>
      <c r="V82" s="49"/>
      <c r="W82" s="50"/>
      <c r="X82" s="537"/>
      <c r="Y82" s="1539"/>
      <c r="Z82" s="1538"/>
    </row>
    <row r="83" spans="1:26" ht="25.5" customHeight="1" x14ac:dyDescent="0.3">
      <c r="A83" s="80"/>
      <c r="B83" s="737"/>
      <c r="C83" s="1515"/>
      <c r="D83" s="737"/>
      <c r="E83" s="737"/>
      <c r="F83" s="1231"/>
      <c r="G83" s="820"/>
      <c r="H83" s="1514"/>
      <c r="I83" s="1638"/>
      <c r="J83" s="820"/>
      <c r="K83" s="977">
        <f t="shared" si="6"/>
        <v>0</v>
      </c>
      <c r="L83" s="760"/>
      <c r="M83" s="756"/>
      <c r="N83" s="1528"/>
      <c r="O83" s="1369">
        <f t="shared" si="5"/>
        <v>0</v>
      </c>
      <c r="P83" s="763"/>
      <c r="Q83" s="1022"/>
      <c r="R83" s="375"/>
      <c r="S83" s="125"/>
      <c r="T83" s="48"/>
      <c r="U83" s="48"/>
      <c r="V83" s="49"/>
      <c r="W83" s="50"/>
      <c r="X83" s="537"/>
      <c r="Y83" s="1539"/>
      <c r="Z83" s="1538"/>
    </row>
    <row r="84" spans="1:26" ht="18.75" customHeight="1" x14ac:dyDescent="0.3">
      <c r="A84" s="80"/>
      <c r="B84" s="737"/>
      <c r="C84" s="1513"/>
      <c r="D84" s="737"/>
      <c r="E84" s="737"/>
      <c r="F84" s="1231"/>
      <c r="G84" s="807"/>
      <c r="H84" s="1516"/>
      <c r="I84" s="1637"/>
      <c r="J84" s="1517"/>
      <c r="K84" s="977">
        <f t="shared" si="6"/>
        <v>0</v>
      </c>
      <c r="L84" s="468"/>
      <c r="M84" s="756"/>
      <c r="N84" s="468"/>
      <c r="O84" s="1369">
        <f t="shared" si="5"/>
        <v>0</v>
      </c>
      <c r="P84" s="375"/>
      <c r="Q84" s="1022"/>
      <c r="R84" s="375"/>
      <c r="S84" s="125"/>
      <c r="T84" s="48"/>
      <c r="U84" s="48"/>
      <c r="V84" s="49"/>
      <c r="W84" s="50"/>
      <c r="X84" s="257"/>
      <c r="Y84" s="1540"/>
      <c r="Z84" s="1538"/>
    </row>
    <row r="85" spans="1:26" ht="18.75" x14ac:dyDescent="0.3">
      <c r="A85" s="80"/>
      <c r="B85" s="737"/>
      <c r="C85" s="1513"/>
      <c r="D85" s="737"/>
      <c r="E85" s="737"/>
      <c r="F85" s="1231"/>
      <c r="G85" s="807"/>
      <c r="H85" s="1516"/>
      <c r="I85" s="1637"/>
      <c r="J85" s="1517"/>
      <c r="K85" s="977">
        <f t="shared" si="6"/>
        <v>0</v>
      </c>
      <c r="L85" s="468"/>
      <c r="M85" s="756"/>
      <c r="N85" s="757"/>
      <c r="O85" s="1369">
        <f t="shared" si="5"/>
        <v>0</v>
      </c>
      <c r="P85" s="375"/>
      <c r="Q85" s="1022"/>
      <c r="R85" s="375"/>
      <c r="S85" s="125"/>
      <c r="T85" s="48"/>
      <c r="U85" s="48"/>
      <c r="V85" s="49"/>
      <c r="W85" s="50"/>
      <c r="X85" s="257"/>
      <c r="Y85" s="1540"/>
      <c r="Z85" s="1538"/>
    </row>
    <row r="86" spans="1:26" ht="18.75" x14ac:dyDescent="0.3">
      <c r="A86" s="80"/>
      <c r="B86" s="737"/>
      <c r="C86" s="1513"/>
      <c r="D86" s="737"/>
      <c r="E86" s="737"/>
      <c r="F86" s="1231"/>
      <c r="G86" s="807"/>
      <c r="H86" s="1516"/>
      <c r="I86" s="1637"/>
      <c r="J86" s="820"/>
      <c r="K86" s="977">
        <f t="shared" si="6"/>
        <v>0</v>
      </c>
      <c r="L86" s="468"/>
      <c r="M86" s="749"/>
      <c r="N86" s="757"/>
      <c r="O86" s="1369">
        <f t="shared" si="5"/>
        <v>0</v>
      </c>
      <c r="P86" s="375"/>
      <c r="Q86" s="1022"/>
      <c r="R86" s="375"/>
      <c r="S86" s="125"/>
      <c r="T86" s="48"/>
      <c r="U86" s="48"/>
      <c r="V86" s="49"/>
      <c r="W86" s="50"/>
      <c r="X86" s="257"/>
      <c r="Y86" s="1540"/>
      <c r="Z86" s="1538"/>
    </row>
    <row r="87" spans="1:26" ht="30.75" customHeight="1" x14ac:dyDescent="0.3">
      <c r="A87" s="449"/>
      <c r="B87" s="737"/>
      <c r="C87" s="1518"/>
      <c r="D87" s="737"/>
      <c r="E87" s="737"/>
      <c r="F87" s="1231"/>
      <c r="G87" s="807"/>
      <c r="H87" s="1519"/>
      <c r="I87" s="739"/>
      <c r="J87" s="820"/>
      <c r="K87" s="977">
        <f t="shared" si="6"/>
        <v>0</v>
      </c>
      <c r="L87" s="468"/>
      <c r="M87" s="750"/>
      <c r="N87" s="468"/>
      <c r="O87" s="1369">
        <f t="shared" si="5"/>
        <v>0</v>
      </c>
      <c r="P87" s="375"/>
      <c r="Q87" s="674"/>
      <c r="R87" s="375"/>
      <c r="S87" s="125"/>
      <c r="T87" s="48"/>
      <c r="U87" s="48"/>
      <c r="V87" s="49"/>
      <c r="W87" s="50"/>
      <c r="X87" s="257"/>
      <c r="Y87" s="1540"/>
      <c r="Z87" s="1538"/>
    </row>
    <row r="88" spans="1:26" ht="51.75" customHeight="1" x14ac:dyDescent="0.3">
      <c r="A88" s="53"/>
      <c r="B88" s="737"/>
      <c r="C88" s="1520"/>
      <c r="D88" s="737"/>
      <c r="E88" s="737"/>
      <c r="F88" s="1231"/>
      <c r="G88" s="807"/>
      <c r="H88" s="1519"/>
      <c r="I88" s="739"/>
      <c r="J88" s="820"/>
      <c r="K88" s="977">
        <f t="shared" si="6"/>
        <v>0</v>
      </c>
      <c r="L88" s="468"/>
      <c r="M88" s="750"/>
      <c r="N88" s="468"/>
      <c r="O88" s="1369">
        <f t="shared" si="5"/>
        <v>0</v>
      </c>
      <c r="P88" s="375"/>
      <c r="Q88" s="674"/>
      <c r="R88" s="375"/>
      <c r="S88" s="125"/>
      <c r="T88" s="48"/>
      <c r="U88" s="48"/>
      <c r="V88" s="49"/>
      <c r="W88" s="50"/>
      <c r="X88" s="257"/>
      <c r="Y88" s="1540"/>
      <c r="Z88" s="1538"/>
    </row>
    <row r="89" spans="1:26" ht="30" customHeight="1" x14ac:dyDescent="0.3">
      <c r="A89" s="456"/>
      <c r="B89" s="737"/>
      <c r="C89" s="1553"/>
      <c r="D89" s="737"/>
      <c r="E89" s="737"/>
      <c r="F89" s="1233"/>
      <c r="G89" s="807"/>
      <c r="H89" s="1514"/>
      <c r="I89" s="453"/>
      <c r="J89" s="820"/>
      <c r="K89" s="977">
        <f t="shared" si="6"/>
        <v>0</v>
      </c>
      <c r="L89" s="468"/>
      <c r="M89" s="758"/>
      <c r="N89" s="468"/>
      <c r="O89" s="1369">
        <f t="shared" si="5"/>
        <v>0</v>
      </c>
      <c r="P89" s="375"/>
      <c r="Q89" s="1022"/>
      <c r="R89" s="375"/>
      <c r="S89" s="125"/>
      <c r="T89" s="1279"/>
      <c r="U89" s="1279"/>
      <c r="V89" s="49"/>
      <c r="W89" s="50"/>
      <c r="X89" s="537"/>
      <c r="Y89" s="1539"/>
      <c r="Z89" s="1538"/>
    </row>
    <row r="90" spans="1:26" ht="21" x14ac:dyDescent="0.35">
      <c r="A90" s="456"/>
      <c r="B90" s="737"/>
      <c r="C90" s="1553"/>
      <c r="D90" s="737"/>
      <c r="E90" s="737"/>
      <c r="F90" s="1233"/>
      <c r="G90" s="807"/>
      <c r="H90" s="1514"/>
      <c r="I90" s="453"/>
      <c r="J90" s="820"/>
      <c r="K90" s="977">
        <f t="shared" si="6"/>
        <v>0</v>
      </c>
      <c r="L90" s="468"/>
      <c r="M90" s="758"/>
      <c r="N90" s="759"/>
      <c r="O90" s="1369">
        <f t="shared" si="5"/>
        <v>0</v>
      </c>
      <c r="P90" s="375"/>
      <c r="Q90" s="1022"/>
      <c r="R90" s="375"/>
      <c r="S90" s="125"/>
      <c r="T90" s="1279"/>
      <c r="U90" s="1279"/>
      <c r="V90" s="49"/>
      <c r="W90" s="50"/>
      <c r="X90" s="537"/>
      <c r="Y90" s="1539"/>
      <c r="Z90" s="1538"/>
    </row>
    <row r="91" spans="1:26" ht="19.5" customHeight="1" x14ac:dyDescent="0.3">
      <c r="A91" s="456"/>
      <c r="B91" s="737"/>
      <c r="C91" s="1553"/>
      <c r="D91" s="737"/>
      <c r="E91" s="737"/>
      <c r="F91" s="1233"/>
      <c r="G91" s="807"/>
      <c r="H91" s="1514"/>
      <c r="I91" s="453"/>
      <c r="J91" s="820"/>
      <c r="K91" s="977">
        <f t="shared" si="6"/>
        <v>0</v>
      </c>
      <c r="L91" s="468"/>
      <c r="M91" s="758"/>
      <c r="N91" s="760"/>
      <c r="O91" s="1369">
        <f t="shared" si="5"/>
        <v>0</v>
      </c>
      <c r="P91" s="375"/>
      <c r="Q91" s="1022"/>
      <c r="R91" s="375"/>
      <c r="S91" s="125"/>
      <c r="T91" s="1279"/>
      <c r="U91" s="1279"/>
      <c r="V91" s="49"/>
      <c r="W91" s="50"/>
      <c r="X91" s="537"/>
      <c r="Y91" s="1539"/>
      <c r="Z91" s="1538"/>
    </row>
    <row r="92" spans="1:26" ht="19.5" x14ac:dyDescent="0.3">
      <c r="A92" s="456"/>
      <c r="B92" s="737"/>
      <c r="C92" s="1553"/>
      <c r="D92" s="737"/>
      <c r="E92" s="737"/>
      <c r="F92" s="1233"/>
      <c r="G92" s="807"/>
      <c r="H92" s="1514"/>
      <c r="I92" s="453"/>
      <c r="J92" s="820"/>
      <c r="K92" s="977">
        <f t="shared" si="6"/>
        <v>0</v>
      </c>
      <c r="L92" s="468"/>
      <c r="M92" s="750"/>
      <c r="N92" s="468"/>
      <c r="O92" s="1369">
        <f t="shared" si="5"/>
        <v>0</v>
      </c>
      <c r="P92" s="375"/>
      <c r="Q92" s="1022"/>
      <c r="R92" s="375"/>
      <c r="S92" s="125"/>
      <c r="T92" s="1279"/>
      <c r="U92" s="1279"/>
      <c r="V92" s="49"/>
      <c r="W92" s="50"/>
      <c r="X92" s="537"/>
      <c r="Y92" s="1539"/>
      <c r="Z92" s="1538"/>
    </row>
    <row r="93" spans="1:26" ht="53.25" customHeight="1" x14ac:dyDescent="0.3">
      <c r="A93" s="538"/>
      <c r="B93" s="737"/>
      <c r="C93" s="412"/>
      <c r="D93" s="737"/>
      <c r="E93" s="737"/>
      <c r="F93" s="1233"/>
      <c r="G93" s="807"/>
      <c r="H93" s="742"/>
      <c r="I93" s="739"/>
      <c r="J93" s="820"/>
      <c r="K93" s="977">
        <f t="shared" si="6"/>
        <v>0</v>
      </c>
      <c r="L93" s="468"/>
      <c r="M93" s="750"/>
      <c r="N93" s="468"/>
      <c r="O93" s="1369">
        <f t="shared" si="5"/>
        <v>0</v>
      </c>
      <c r="P93" s="763"/>
      <c r="Q93" s="674"/>
      <c r="R93" s="375"/>
      <c r="S93" s="125"/>
      <c r="T93" s="176"/>
      <c r="U93" s="177"/>
      <c r="V93" s="49"/>
      <c r="W93" s="50"/>
      <c r="X93" s="257"/>
      <c r="Y93" s="1540"/>
      <c r="Z93" s="1538"/>
    </row>
    <row r="94" spans="1:26" ht="42" customHeight="1" x14ac:dyDescent="0.3">
      <c r="A94" s="1363"/>
      <c r="B94" s="737"/>
      <c r="C94" s="412"/>
      <c r="D94" s="737"/>
      <c r="E94" s="737"/>
      <c r="F94" s="1233"/>
      <c r="G94" s="807"/>
      <c r="H94" s="742"/>
      <c r="I94" s="739"/>
      <c r="J94" s="820"/>
      <c r="K94" s="977">
        <f t="shared" si="6"/>
        <v>0</v>
      </c>
      <c r="L94" s="468"/>
      <c r="M94" s="750"/>
      <c r="N94" s="468"/>
      <c r="O94" s="1369">
        <f t="shared" si="5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40"/>
      <c r="Z94" s="1538"/>
    </row>
    <row r="95" spans="1:26" ht="19.5" x14ac:dyDescent="0.3">
      <c r="A95" s="90"/>
      <c r="B95" s="737"/>
      <c r="C95" s="853"/>
      <c r="D95" s="737"/>
      <c r="E95" s="737"/>
      <c r="F95" s="1233"/>
      <c r="G95" s="807"/>
      <c r="H95" s="742"/>
      <c r="I95" s="739"/>
      <c r="J95" s="820"/>
      <c r="K95" s="39">
        <f t="shared" si="6"/>
        <v>0</v>
      </c>
      <c r="L95" s="468"/>
      <c r="M95" s="751"/>
      <c r="N95" s="468"/>
      <c r="O95" s="1369">
        <f t="shared" si="5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40"/>
      <c r="Z95" s="1538"/>
    </row>
    <row r="96" spans="1:26" ht="19.5" x14ac:dyDescent="0.3">
      <c r="A96" s="90"/>
      <c r="B96" s="737"/>
      <c r="C96" s="853"/>
      <c r="D96" s="737"/>
      <c r="E96" s="737"/>
      <c r="F96" s="1233"/>
      <c r="G96" s="807"/>
      <c r="H96" s="742"/>
      <c r="I96" s="739"/>
      <c r="J96" s="820"/>
      <c r="K96" s="39">
        <f t="shared" si="6"/>
        <v>0</v>
      </c>
      <c r="L96" s="468"/>
      <c r="M96" s="751"/>
      <c r="N96" s="468"/>
      <c r="O96" s="1369">
        <f t="shared" si="5"/>
        <v>0</v>
      </c>
      <c r="P96" s="763"/>
      <c r="Q96" s="674"/>
      <c r="R96" s="375"/>
      <c r="S96" s="125"/>
      <c r="T96" s="176"/>
      <c r="U96" s="177"/>
      <c r="V96" s="49"/>
      <c r="W96" s="50"/>
      <c r="X96" s="257"/>
      <c r="Y96" s="1540"/>
      <c r="Z96" s="1538"/>
    </row>
    <row r="97" spans="1:26" ht="19.5" x14ac:dyDescent="0.3">
      <c r="A97" s="456"/>
      <c r="B97" s="737"/>
      <c r="C97" s="412"/>
      <c r="D97" s="737"/>
      <c r="E97" s="737"/>
      <c r="F97" s="1233"/>
      <c r="G97" s="807"/>
      <c r="H97" s="742"/>
      <c r="I97" s="739"/>
      <c r="J97" s="820"/>
      <c r="K97" s="39">
        <f t="shared" si="6"/>
        <v>0</v>
      </c>
      <c r="L97" s="468"/>
      <c r="M97" s="751"/>
      <c r="N97" s="468"/>
      <c r="O97" s="1369">
        <f t="shared" si="5"/>
        <v>0</v>
      </c>
      <c r="P97" s="763"/>
      <c r="Q97" s="674"/>
      <c r="R97" s="375"/>
      <c r="S97" s="125"/>
      <c r="T97" s="176"/>
      <c r="U97" s="177"/>
      <c r="V97" s="49"/>
      <c r="W97" s="50"/>
      <c r="X97" s="257"/>
      <c r="Y97" s="1540"/>
      <c r="Z97" s="1538"/>
    </row>
    <row r="98" spans="1:26" ht="35.25" customHeight="1" x14ac:dyDescent="0.3">
      <c r="A98" s="1508"/>
      <c r="B98" s="737"/>
      <c r="C98" s="390"/>
      <c r="D98" s="737"/>
      <c r="E98" s="737"/>
      <c r="F98" s="1233"/>
      <c r="G98" s="807"/>
      <c r="H98" s="1510"/>
      <c r="I98" s="506"/>
      <c r="J98" s="820"/>
      <c r="K98" s="39">
        <f t="shared" si="6"/>
        <v>0</v>
      </c>
      <c r="L98" s="468"/>
      <c r="M98" s="1529"/>
      <c r="N98" s="1530"/>
      <c r="O98" s="1369">
        <f t="shared" si="5"/>
        <v>0</v>
      </c>
      <c r="P98" s="1541"/>
      <c r="Q98" s="1542"/>
      <c r="R98" s="375"/>
      <c r="S98" s="125"/>
      <c r="T98" s="176"/>
      <c r="U98" s="177"/>
      <c r="V98" s="49"/>
      <c r="W98" s="50"/>
      <c r="X98" s="257"/>
      <c r="Y98" s="1540"/>
      <c r="Z98" s="1538"/>
    </row>
    <row r="99" spans="1:26" ht="32.25" customHeight="1" x14ac:dyDescent="0.3">
      <c r="A99" s="1508"/>
      <c r="B99" s="737"/>
      <c r="C99" s="390"/>
      <c r="D99" s="737"/>
      <c r="E99" s="737"/>
      <c r="F99" s="1233"/>
      <c r="G99" s="807"/>
      <c r="H99" s="1510"/>
      <c r="I99" s="506"/>
      <c r="J99" s="820"/>
      <c r="K99" s="39">
        <f t="shared" si="6"/>
        <v>0</v>
      </c>
      <c r="L99" s="468"/>
      <c r="M99" s="1529"/>
      <c r="N99" s="1530"/>
      <c r="O99" s="1369">
        <f t="shared" si="5"/>
        <v>0</v>
      </c>
      <c r="P99" s="1541"/>
      <c r="Q99" s="1542"/>
      <c r="R99" s="375"/>
      <c r="S99" s="125"/>
      <c r="T99" s="176"/>
      <c r="U99" s="177"/>
      <c r="V99" s="49"/>
      <c r="W99" s="50"/>
      <c r="X99" s="257"/>
      <c r="Y99" s="1540"/>
      <c r="Z99" s="1538"/>
    </row>
    <row r="100" spans="1:26" ht="39.75" customHeight="1" x14ac:dyDescent="0.3">
      <c r="A100" s="1508"/>
      <c r="B100" s="737"/>
      <c r="C100" s="390"/>
      <c r="D100" s="737"/>
      <c r="E100" s="737"/>
      <c r="F100" s="1233"/>
      <c r="G100" s="807"/>
      <c r="H100" s="1510"/>
      <c r="I100" s="506"/>
      <c r="J100" s="820"/>
      <c r="K100" s="39">
        <f t="shared" si="6"/>
        <v>0</v>
      </c>
      <c r="L100" s="468"/>
      <c r="M100" s="1529"/>
      <c r="N100" s="1530"/>
      <c r="O100" s="1369">
        <f t="shared" si="5"/>
        <v>0</v>
      </c>
      <c r="P100" s="1541"/>
      <c r="Q100" s="1542"/>
      <c r="R100" s="375"/>
      <c r="S100" s="125"/>
      <c r="T100" s="176"/>
      <c r="U100" s="177"/>
      <c r="V100" s="49"/>
      <c r="W100" s="50"/>
      <c r="X100" s="257"/>
      <c r="Y100" s="1540"/>
      <c r="Z100" s="1538"/>
    </row>
    <row r="101" spans="1:26" ht="32.25" customHeight="1" x14ac:dyDescent="0.3">
      <c r="A101" s="1508"/>
      <c r="B101" s="737"/>
      <c r="C101" s="390"/>
      <c r="D101" s="737"/>
      <c r="E101" s="737"/>
      <c r="F101" s="1233"/>
      <c r="G101" s="807"/>
      <c r="H101" s="1510"/>
      <c r="I101" s="506"/>
      <c r="J101" s="820"/>
      <c r="K101" s="39">
        <f t="shared" si="6"/>
        <v>0</v>
      </c>
      <c r="L101" s="468"/>
      <c r="M101" s="1529"/>
      <c r="N101" s="1530"/>
      <c r="O101" s="1369">
        <f t="shared" si="5"/>
        <v>0</v>
      </c>
      <c r="P101" s="1541"/>
      <c r="Q101" s="1542"/>
      <c r="R101" s="375"/>
      <c r="S101" s="125"/>
      <c r="T101" s="176"/>
      <c r="U101" s="177"/>
      <c r="V101" s="49"/>
      <c r="W101" s="50"/>
      <c r="X101" s="257"/>
      <c r="Y101" s="1540"/>
      <c r="Z101" s="1538"/>
    </row>
    <row r="102" spans="1:26" ht="46.5" customHeight="1" x14ac:dyDescent="0.35">
      <c r="A102" s="456"/>
      <c r="B102" s="737"/>
      <c r="C102" s="412"/>
      <c r="D102" s="737"/>
      <c r="E102" s="737"/>
      <c r="F102" s="1233"/>
      <c r="G102" s="807"/>
      <c r="H102" s="745"/>
      <c r="I102" s="748"/>
      <c r="J102" s="820"/>
      <c r="K102" s="39">
        <f t="shared" si="6"/>
        <v>0</v>
      </c>
      <c r="L102" s="468"/>
      <c r="M102" s="761"/>
      <c r="N102" s="468"/>
      <c r="O102" s="1437">
        <f t="shared" si="5"/>
        <v>0</v>
      </c>
      <c r="P102" s="763"/>
      <c r="Q102" s="674"/>
      <c r="R102" s="375"/>
      <c r="S102" s="125"/>
      <c r="T102" s="176"/>
      <c r="U102" s="177"/>
      <c r="V102" s="49"/>
      <c r="W102" s="50"/>
      <c r="X102" s="257"/>
      <c r="Y102" s="1540"/>
      <c r="Z102" s="1538"/>
    </row>
    <row r="103" spans="1:26" x14ac:dyDescent="0.35">
      <c r="A103" s="456"/>
      <c r="B103" s="737"/>
      <c r="C103" s="412"/>
      <c r="D103" s="737"/>
      <c r="E103" s="737"/>
      <c r="F103" s="1233"/>
      <c r="G103" s="807"/>
      <c r="H103" s="745"/>
      <c r="I103" s="739"/>
      <c r="J103" s="820"/>
      <c r="K103" s="39">
        <f t="shared" si="6"/>
        <v>0</v>
      </c>
      <c r="L103" s="468"/>
      <c r="M103" s="761"/>
      <c r="N103" s="468"/>
      <c r="O103" s="1437">
        <f t="shared" si="5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40"/>
      <c r="Z103" s="1538"/>
    </row>
    <row r="104" spans="1:26" ht="32.25" customHeight="1" x14ac:dyDescent="0.35">
      <c r="A104" s="456"/>
      <c r="B104" s="737"/>
      <c r="C104" s="412"/>
      <c r="D104" s="737"/>
      <c r="E104" s="737"/>
      <c r="F104" s="1233"/>
      <c r="G104" s="807"/>
      <c r="H104" s="745"/>
      <c r="I104" s="739"/>
      <c r="J104" s="820"/>
      <c r="K104" s="39">
        <f t="shared" si="6"/>
        <v>0</v>
      </c>
      <c r="L104" s="468"/>
      <c r="M104" s="761"/>
      <c r="N104" s="468"/>
      <c r="O104" s="1437">
        <f t="shared" si="5"/>
        <v>0</v>
      </c>
      <c r="P104" s="763"/>
      <c r="Q104" s="674"/>
      <c r="R104" s="375"/>
      <c r="S104" s="125"/>
      <c r="T104" s="176"/>
      <c r="U104" s="177"/>
      <c r="V104" s="49"/>
      <c r="W104" s="50"/>
      <c r="X104" s="257"/>
      <c r="Y104" s="1540"/>
      <c r="Z104" s="1538"/>
    </row>
    <row r="105" spans="1:26" ht="24" customHeight="1" x14ac:dyDescent="0.35">
      <c r="A105" s="456"/>
      <c r="B105" s="737"/>
      <c r="C105" s="412"/>
      <c r="D105" s="737"/>
      <c r="E105" s="737"/>
      <c r="F105" s="1233"/>
      <c r="G105" s="807"/>
      <c r="H105" s="745"/>
      <c r="I105" s="739"/>
      <c r="J105" s="820"/>
      <c r="K105" s="39">
        <f t="shared" si="6"/>
        <v>0</v>
      </c>
      <c r="L105" s="468"/>
      <c r="M105" s="761"/>
      <c r="N105" s="468"/>
      <c r="O105" s="1437">
        <f t="shared" si="5"/>
        <v>0</v>
      </c>
      <c r="P105" s="763"/>
      <c r="Q105" s="674"/>
      <c r="R105" s="375"/>
      <c r="S105" s="125"/>
      <c r="T105" s="176"/>
      <c r="U105" s="177"/>
      <c r="V105" s="49"/>
      <c r="W105" s="50"/>
      <c r="X105" s="257"/>
      <c r="Y105" s="1540"/>
      <c r="Z105" s="1538"/>
    </row>
    <row r="106" spans="1:26" ht="21" x14ac:dyDescent="0.3">
      <c r="A106" s="456"/>
      <c r="B106" s="737"/>
      <c r="C106" s="412"/>
      <c r="D106" s="737"/>
      <c r="E106" s="737"/>
      <c r="F106" s="1233"/>
      <c r="G106" s="807"/>
      <c r="H106" s="743"/>
      <c r="I106" s="748"/>
      <c r="J106" s="820"/>
      <c r="K106" s="39">
        <f t="shared" si="6"/>
        <v>0</v>
      </c>
      <c r="L106" s="468"/>
      <c r="M106" s="762"/>
      <c r="N106" s="468"/>
      <c r="O106" s="1437">
        <f t="shared" si="5"/>
        <v>0</v>
      </c>
      <c r="P106" s="445"/>
      <c r="Q106" s="674"/>
      <c r="R106" s="375"/>
      <c r="S106" s="125"/>
      <c r="T106" s="176"/>
      <c r="U106" s="177"/>
      <c r="V106" s="49"/>
      <c r="W106" s="50"/>
      <c r="X106" s="257"/>
      <c r="Y106" s="1540"/>
      <c r="Z106" s="1538"/>
    </row>
    <row r="107" spans="1:26" ht="23.25" customHeight="1" x14ac:dyDescent="0.3">
      <c r="A107" s="456"/>
      <c r="B107" s="737"/>
      <c r="C107" s="1500"/>
      <c r="D107" s="737"/>
      <c r="E107" s="737"/>
      <c r="F107" s="1233"/>
      <c r="G107" s="807"/>
      <c r="H107" s="745"/>
      <c r="I107" s="453"/>
      <c r="J107" s="820"/>
      <c r="K107" s="39">
        <f t="shared" si="6"/>
        <v>0</v>
      </c>
      <c r="L107" s="468"/>
      <c r="M107" s="762"/>
      <c r="N107" s="1531"/>
      <c r="O107" s="1437">
        <f t="shared" si="5"/>
        <v>0</v>
      </c>
      <c r="P107" s="763"/>
      <c r="Q107" s="1022"/>
      <c r="R107" s="375"/>
      <c r="S107" s="125"/>
      <c r="T107" s="1281"/>
      <c r="U107" s="1543"/>
      <c r="V107" s="49"/>
      <c r="W107" s="50"/>
      <c r="X107" s="257"/>
      <c r="Y107" s="1540"/>
      <c r="Z107" s="1538"/>
    </row>
    <row r="108" spans="1:26" ht="23.25" customHeight="1" x14ac:dyDescent="0.3">
      <c r="A108" s="456"/>
      <c r="B108" s="737"/>
      <c r="C108" s="1500"/>
      <c r="D108" s="737"/>
      <c r="E108" s="737"/>
      <c r="F108" s="1233"/>
      <c r="G108" s="807"/>
      <c r="H108" s="745"/>
      <c r="I108" s="453"/>
      <c r="J108" s="820"/>
      <c r="K108" s="39">
        <f t="shared" si="6"/>
        <v>0</v>
      </c>
      <c r="L108" s="468"/>
      <c r="M108" s="762"/>
      <c r="N108" s="1531"/>
      <c r="O108" s="1437">
        <f t="shared" si="5"/>
        <v>0</v>
      </c>
      <c r="P108" s="763"/>
      <c r="Q108" s="1022"/>
      <c r="R108" s="375"/>
      <c r="S108" s="125"/>
      <c r="T108" s="1281"/>
      <c r="U108" s="1543"/>
      <c r="V108" s="49"/>
      <c r="W108" s="50"/>
      <c r="X108" s="257"/>
      <c r="Y108" s="1540"/>
      <c r="Z108" s="1538"/>
    </row>
    <row r="109" spans="1:26" ht="23.25" customHeight="1" x14ac:dyDescent="0.3">
      <c r="A109" s="456"/>
      <c r="B109" s="737"/>
      <c r="C109" s="1500"/>
      <c r="D109" s="737"/>
      <c r="E109" s="737"/>
      <c r="F109" s="1233"/>
      <c r="G109" s="807"/>
      <c r="H109" s="745"/>
      <c r="I109" s="453"/>
      <c r="J109" s="820"/>
      <c r="K109" s="39">
        <f t="shared" si="6"/>
        <v>0</v>
      </c>
      <c r="L109" s="468"/>
      <c r="M109" s="762"/>
      <c r="N109" s="1531"/>
      <c r="O109" s="1437">
        <f t="shared" si="5"/>
        <v>0</v>
      </c>
      <c r="P109" s="763"/>
      <c r="Q109" s="1022"/>
      <c r="R109" s="375"/>
      <c r="S109" s="125"/>
      <c r="T109" s="1281"/>
      <c r="U109" s="1543"/>
      <c r="V109" s="49"/>
      <c r="W109" s="50"/>
      <c r="X109" s="257"/>
      <c r="Y109" s="1540"/>
      <c r="Z109" s="1538"/>
    </row>
    <row r="110" spans="1:26" ht="23.25" customHeight="1" x14ac:dyDescent="0.3">
      <c r="A110" s="456"/>
      <c r="B110" s="737"/>
      <c r="C110" s="1500"/>
      <c r="D110" s="737"/>
      <c r="E110" s="737"/>
      <c r="F110" s="1233"/>
      <c r="G110" s="807"/>
      <c r="H110" s="745"/>
      <c r="I110" s="453"/>
      <c r="J110" s="820"/>
      <c r="K110" s="39">
        <f t="shared" si="6"/>
        <v>0</v>
      </c>
      <c r="L110" s="468"/>
      <c r="M110" s="762"/>
      <c r="N110" s="1531"/>
      <c r="O110" s="1437">
        <f t="shared" si="5"/>
        <v>0</v>
      </c>
      <c r="P110" s="763"/>
      <c r="Q110" s="1022"/>
      <c r="R110" s="375"/>
      <c r="S110" s="125"/>
      <c r="T110" s="1281"/>
      <c r="U110" s="1543"/>
      <c r="V110" s="49"/>
      <c r="W110" s="50"/>
      <c r="X110" s="257"/>
      <c r="Y110" s="1540"/>
      <c r="Z110" s="1538"/>
    </row>
    <row r="111" spans="1:26" ht="23.25" customHeight="1" x14ac:dyDescent="0.3">
      <c r="A111" s="456"/>
      <c r="B111" s="386"/>
      <c r="C111" s="1500"/>
      <c r="D111" s="454"/>
      <c r="E111" s="56"/>
      <c r="F111" s="1214"/>
      <c r="G111" s="1521"/>
      <c r="H111" s="745"/>
      <c r="I111" s="453"/>
      <c r="J111" s="1505"/>
      <c r="K111" s="39">
        <f t="shared" si="6"/>
        <v>0</v>
      </c>
      <c r="L111" s="468"/>
      <c r="M111" s="762"/>
      <c r="N111" s="1531"/>
      <c r="O111" s="1437">
        <f t="shared" si="5"/>
        <v>0</v>
      </c>
      <c r="P111" s="763"/>
      <c r="Q111" s="1022"/>
      <c r="R111" s="375"/>
      <c r="S111" s="125"/>
      <c r="T111" s="1281"/>
      <c r="U111" s="1543"/>
      <c r="V111" s="49"/>
      <c r="W111" s="50"/>
      <c r="X111" s="257"/>
      <c r="Y111" s="1540"/>
      <c r="Z111" s="1538"/>
    </row>
    <row r="112" spans="1:26" ht="16.5" customHeight="1" x14ac:dyDescent="0.35">
      <c r="A112" s="456"/>
      <c r="B112" s="386"/>
      <c r="C112" s="596"/>
      <c r="D112" s="1504"/>
      <c r="E112" s="56"/>
      <c r="F112" s="1214"/>
      <c r="G112" s="1505"/>
      <c r="H112" s="660"/>
      <c r="I112" s="451"/>
      <c r="J112" s="1505"/>
      <c r="K112" s="39">
        <f t="shared" si="6"/>
        <v>0</v>
      </c>
      <c r="L112" s="468"/>
      <c r="M112" s="752"/>
      <c r="N112" s="468"/>
      <c r="O112" s="1437">
        <f t="shared" si="5"/>
        <v>0</v>
      </c>
      <c r="P112" s="375"/>
      <c r="Q112" s="764"/>
      <c r="R112" s="375"/>
      <c r="S112" s="125"/>
      <c r="T112" s="176"/>
      <c r="U112" s="177"/>
      <c r="V112" s="49"/>
      <c r="W112" s="50"/>
      <c r="X112" s="257"/>
      <c r="Y112" s="1540"/>
      <c r="Z112" s="1538"/>
    </row>
    <row r="113" spans="1:26" ht="16.5" customHeight="1" x14ac:dyDescent="0.35">
      <c r="A113" s="456"/>
      <c r="B113" s="386"/>
      <c r="C113" s="596"/>
      <c r="D113" s="1504"/>
      <c r="E113" s="56"/>
      <c r="F113" s="1214"/>
      <c r="G113" s="1505"/>
      <c r="H113" s="660"/>
      <c r="I113" s="1639"/>
      <c r="J113" s="1505"/>
      <c r="K113" s="39">
        <f t="shared" si="6"/>
        <v>0</v>
      </c>
      <c r="L113" s="468"/>
      <c r="M113" s="752"/>
      <c r="N113" s="468"/>
      <c r="O113" s="1437">
        <f t="shared" si="5"/>
        <v>0</v>
      </c>
      <c r="P113" s="375"/>
      <c r="Q113" s="674"/>
      <c r="R113" s="375"/>
      <c r="S113" s="125"/>
      <c r="T113" s="176"/>
      <c r="U113" s="177"/>
      <c r="V113" s="49"/>
      <c r="W113" s="50"/>
      <c r="X113" s="257"/>
      <c r="Y113" s="1540"/>
      <c r="Z113" s="1538"/>
    </row>
    <row r="114" spans="1:26" ht="16.5" customHeight="1" x14ac:dyDescent="0.35">
      <c r="A114" s="456"/>
      <c r="B114" s="386"/>
      <c r="C114" s="596"/>
      <c r="D114" s="1504"/>
      <c r="E114" s="56"/>
      <c r="F114" s="1214"/>
      <c r="G114" s="1505"/>
      <c r="H114" s="660"/>
      <c r="I114" s="1639"/>
      <c r="J114" s="1505"/>
      <c r="K114" s="39">
        <f t="shared" si="6"/>
        <v>0</v>
      </c>
      <c r="L114" s="468"/>
      <c r="M114" s="752"/>
      <c r="N114" s="468"/>
      <c r="O114" s="1437">
        <f t="shared" si="5"/>
        <v>0</v>
      </c>
      <c r="P114" s="375"/>
      <c r="Q114" s="674"/>
      <c r="R114" s="375"/>
      <c r="S114" s="125"/>
      <c r="T114" s="176"/>
      <c r="U114" s="177"/>
      <c r="V114" s="49"/>
      <c r="W114" s="50"/>
      <c r="X114" s="257"/>
      <c r="Y114" s="1540"/>
      <c r="Z114" s="1538"/>
    </row>
    <row r="115" spans="1:26" ht="16.5" customHeight="1" x14ac:dyDescent="0.35">
      <c r="A115" s="152"/>
      <c r="B115" s="167"/>
      <c r="C115" s="194"/>
      <c r="D115" s="181"/>
      <c r="E115" s="56"/>
      <c r="F115" s="1214"/>
      <c r="G115" s="798"/>
      <c r="H115" s="659"/>
      <c r="I115" s="162"/>
      <c r="J115" s="798"/>
      <c r="K115" s="39">
        <f t="shared" si="6"/>
        <v>0</v>
      </c>
      <c r="L115" s="468"/>
      <c r="M115" s="752"/>
      <c r="N115" s="468"/>
      <c r="O115" s="1437">
        <f t="shared" si="5"/>
        <v>0</v>
      </c>
      <c r="P115" s="1486"/>
      <c r="Q115" s="783"/>
      <c r="R115" s="1486"/>
      <c r="S115" s="122"/>
      <c r="T115" s="1455"/>
      <c r="U115" s="1456"/>
      <c r="V115" s="960"/>
      <c r="W115" s="961"/>
    </row>
    <row r="116" spans="1:26" ht="16.5" customHeight="1" x14ac:dyDescent="0.35">
      <c r="A116" s="152"/>
      <c r="B116" s="167"/>
      <c r="C116" s="174"/>
      <c r="D116" s="181"/>
      <c r="E116" s="56">
        <f t="shared" ref="E116:E181" si="9">D116*G116</f>
        <v>0</v>
      </c>
      <c r="F116" s="1214"/>
      <c r="G116" s="798"/>
      <c r="H116" s="659"/>
      <c r="I116" s="162"/>
      <c r="J116" s="798"/>
      <c r="K116" s="39">
        <f t="shared" si="6"/>
        <v>0</v>
      </c>
      <c r="L116" s="468"/>
      <c r="M116" s="752"/>
      <c r="N116" s="468"/>
      <c r="O116" s="1437">
        <f t="shared" si="5"/>
        <v>0</v>
      </c>
      <c r="P116" s="375"/>
      <c r="Q116" s="674"/>
      <c r="R116" s="375"/>
      <c r="S116" s="125"/>
      <c r="T116" s="176"/>
      <c r="U116" s="177"/>
      <c r="V116" s="49"/>
      <c r="W116" s="50"/>
    </row>
    <row r="117" spans="1:26" ht="16.5" customHeight="1" x14ac:dyDescent="0.35">
      <c r="A117" s="98"/>
      <c r="B117" s="167"/>
      <c r="C117" s="188"/>
      <c r="D117" s="187"/>
      <c r="E117" s="56">
        <f t="shared" si="9"/>
        <v>0</v>
      </c>
      <c r="F117" s="1214"/>
      <c r="G117" s="798"/>
      <c r="H117" s="659"/>
      <c r="I117" s="168"/>
      <c r="J117" s="798"/>
      <c r="K117" s="39">
        <f t="shared" si="6"/>
        <v>0</v>
      </c>
      <c r="L117" s="468"/>
      <c r="M117" s="752"/>
      <c r="N117" s="468"/>
      <c r="O117" s="1437">
        <f t="shared" si="5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6" ht="16.5" customHeight="1" x14ac:dyDescent="0.35">
      <c r="A118" s="98"/>
      <c r="B118" s="167"/>
      <c r="C118" s="189"/>
      <c r="D118" s="187"/>
      <c r="E118" s="56">
        <f t="shared" si="9"/>
        <v>0</v>
      </c>
      <c r="F118" s="1214"/>
      <c r="G118" s="798"/>
      <c r="H118" s="659"/>
      <c r="I118" s="168"/>
      <c r="J118" s="798"/>
      <c r="K118" s="39">
        <f t="shared" si="6"/>
        <v>0</v>
      </c>
      <c r="L118" s="468"/>
      <c r="M118" s="752"/>
      <c r="N118" s="468"/>
      <c r="O118" s="1437">
        <f t="shared" si="5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6" ht="16.5" customHeight="1" x14ac:dyDescent="0.35">
      <c r="A119" s="98"/>
      <c r="B119" s="167"/>
      <c r="C119" s="191"/>
      <c r="D119" s="191"/>
      <c r="E119" s="56">
        <f t="shared" si="9"/>
        <v>0</v>
      </c>
      <c r="F119" s="1214"/>
      <c r="G119" s="798"/>
      <c r="H119" s="659"/>
      <c r="I119" s="168"/>
      <c r="J119" s="798"/>
      <c r="K119" s="39">
        <f t="shared" si="6"/>
        <v>0</v>
      </c>
      <c r="L119" s="468"/>
      <c r="M119" s="752"/>
      <c r="N119" s="468"/>
      <c r="O119" s="1437">
        <f t="shared" si="5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6" ht="16.5" customHeight="1" x14ac:dyDescent="0.35">
      <c r="A120" s="110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6"/>
        <v>0</v>
      </c>
      <c r="L120" s="468"/>
      <c r="M120" s="752"/>
      <c r="N120" s="468"/>
      <c r="O120" s="1437">
        <f t="shared" si="5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6" ht="17.25" x14ac:dyDescent="0.3">
      <c r="A121" s="110"/>
      <c r="B121" s="99"/>
      <c r="C121" s="194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6"/>
        <v>0</v>
      </c>
      <c r="L121" s="468"/>
      <c r="M121" s="1522"/>
      <c r="N121" s="1522"/>
      <c r="O121" s="1437">
        <f t="shared" si="5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6" ht="17.25" x14ac:dyDescent="0.3">
      <c r="A122" s="110"/>
      <c r="B122" s="99"/>
      <c r="C122" s="154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6"/>
        <v>0</v>
      </c>
      <c r="L122" s="468"/>
      <c r="M122" s="1522"/>
      <c r="N122" s="1522"/>
      <c r="O122" s="1437">
        <f t="shared" si="5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6" ht="21" customHeight="1" x14ac:dyDescent="0.3">
      <c r="A123" s="193"/>
      <c r="B123" s="99"/>
      <c r="C123" s="194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6"/>
        <v>0</v>
      </c>
      <c r="L123" s="468"/>
      <c r="M123" s="1523"/>
      <c r="N123" s="1524"/>
      <c r="O123" s="1437">
        <f t="shared" si="5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6" ht="26.25" customHeight="1" x14ac:dyDescent="0.3">
      <c r="A124" s="196"/>
      <c r="B124" s="99"/>
      <c r="C124" s="154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6"/>
        <v>0</v>
      </c>
      <c r="L124" s="468"/>
      <c r="M124" s="1523"/>
      <c r="N124" s="1524"/>
      <c r="O124" s="1437">
        <f t="shared" si="5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6" x14ac:dyDescent="0.35">
      <c r="A125" s="101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6"/>
        <v>0</v>
      </c>
      <c r="L125" s="468"/>
      <c r="M125" s="752"/>
      <c r="N125" s="468"/>
      <c r="O125" s="1437">
        <f t="shared" si="5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6" x14ac:dyDescent="0.35">
      <c r="A126" s="101"/>
      <c r="B126" s="99"/>
      <c r="C126" s="191"/>
      <c r="D126" s="191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6"/>
        <v>0</v>
      </c>
      <c r="L126" s="468"/>
      <c r="M126" s="752"/>
      <c r="N126" s="468"/>
      <c r="O126" s="1437">
        <f t="shared" si="5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6" x14ac:dyDescent="0.35">
      <c r="A127" s="101"/>
      <c r="B127" s="99"/>
      <c r="C127" s="191"/>
      <c r="D127" s="191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6"/>
        <v>0</v>
      </c>
      <c r="L127" s="468"/>
      <c r="M127" s="591"/>
      <c r="N127" s="585"/>
      <c r="O127" s="1437">
        <f t="shared" si="5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6" x14ac:dyDescent="0.35">
      <c r="A128" s="110"/>
      <c r="B128" s="99"/>
      <c r="C128" s="191"/>
      <c r="D128" s="191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6"/>
        <v>0</v>
      </c>
      <c r="L128" s="468"/>
      <c r="M128" s="591"/>
      <c r="N128" s="585"/>
      <c r="O128" s="1437">
        <f t="shared" si="5"/>
        <v>0</v>
      </c>
      <c r="P128" s="375"/>
      <c r="Q128" s="674"/>
      <c r="R128" s="375"/>
      <c r="S128" s="125"/>
      <c r="T128" s="176"/>
      <c r="U128" s="177"/>
      <c r="V128" s="49"/>
      <c r="W128" s="50"/>
    </row>
    <row r="129" spans="1:23" x14ac:dyDescent="0.35">
      <c r="A129" s="110"/>
      <c r="B129" s="99"/>
      <c r="C129" s="191"/>
      <c r="D129" s="191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6"/>
        <v>0</v>
      </c>
      <c r="L129" s="468"/>
      <c r="M129" s="591"/>
      <c r="N129" s="585"/>
      <c r="O129" s="1437">
        <f t="shared" si="5"/>
        <v>0</v>
      </c>
      <c r="P129" s="375"/>
      <c r="Q129" s="674"/>
      <c r="R129" s="375"/>
      <c r="S129" s="125"/>
      <c r="T129" s="176"/>
      <c r="U129" s="177"/>
      <c r="V129" s="49"/>
      <c r="W129" s="50"/>
    </row>
    <row r="130" spans="1:23" x14ac:dyDescent="0.35">
      <c r="A130" s="99"/>
      <c r="B130" s="99"/>
      <c r="C130" s="191"/>
      <c r="D130" s="191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6"/>
        <v>0</v>
      </c>
      <c r="L130" s="468"/>
      <c r="M130" s="591"/>
      <c r="N130" s="585"/>
      <c r="O130" s="1437">
        <f t="shared" si="5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99"/>
      <c r="B131" s="99"/>
      <c r="C131" s="191"/>
      <c r="D131" s="191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6"/>
        <v>0</v>
      </c>
      <c r="L131" s="468"/>
      <c r="M131" s="591"/>
      <c r="N131" s="585"/>
      <c r="O131" s="1437">
        <f t="shared" si="5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02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6"/>
        <v>0</v>
      </c>
      <c r="L132" s="468"/>
      <c r="M132" s="591"/>
      <c r="N132" s="585"/>
      <c r="O132" s="1437">
        <f t="shared" si="5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4"/>
      <c r="D133" s="194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6"/>
        <v>0</v>
      </c>
      <c r="L133" s="40"/>
      <c r="M133" s="566"/>
      <c r="N133" s="61"/>
      <c r="O133" s="42">
        <f t="shared" si="5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52"/>
      <c r="B134" s="110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6"/>
        <v>0</v>
      </c>
      <c r="L134" s="81"/>
      <c r="M134" s="566"/>
      <c r="N134" s="61"/>
      <c r="O134" s="42">
        <f t="shared" si="5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152"/>
      <c r="B135" s="110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si="6"/>
        <v>0</v>
      </c>
      <c r="L135" s="81"/>
      <c r="M135" s="566"/>
      <c r="N135" s="61"/>
      <c r="O135" s="42">
        <f t="shared" si="5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6"/>
        <v>0</v>
      </c>
      <c r="L136" s="81"/>
      <c r="M136" s="566"/>
      <c r="N136" s="61"/>
      <c r="O136" s="42">
        <f t="shared" si="5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101"/>
      <c r="B137" s="99"/>
      <c r="C137" s="197"/>
      <c r="D137" s="197"/>
      <c r="E137" s="56">
        <f t="shared" si="9"/>
        <v>0</v>
      </c>
      <c r="F137" s="1214"/>
      <c r="G137" s="805"/>
      <c r="H137" s="120"/>
      <c r="I137" s="59"/>
      <c r="J137" s="805"/>
      <c r="K137" s="39">
        <f t="shared" si="6"/>
        <v>0</v>
      </c>
      <c r="L137" s="81"/>
      <c r="M137" s="566"/>
      <c r="N137" s="61"/>
      <c r="O137" s="42">
        <f t="shared" si="5"/>
        <v>0</v>
      </c>
      <c r="P137" s="375"/>
      <c r="Q137" s="764"/>
      <c r="R137" s="375"/>
      <c r="S137" s="125"/>
      <c r="T137" s="176"/>
      <c r="U137" s="176"/>
      <c r="V137" s="49"/>
      <c r="W137" s="50"/>
    </row>
    <row r="138" spans="1:23" x14ac:dyDescent="0.35">
      <c r="A138" s="101"/>
      <c r="B138" s="99"/>
      <c r="C138" s="197"/>
      <c r="D138" s="197"/>
      <c r="E138" s="56">
        <f t="shared" si="9"/>
        <v>0</v>
      </c>
      <c r="F138" s="1214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5"/>
        <v>0</v>
      </c>
      <c r="P138" s="375"/>
      <c r="Q138" s="764"/>
      <c r="R138" s="375"/>
      <c r="S138" s="125"/>
      <c r="T138" s="176"/>
      <c r="U138" s="176"/>
      <c r="V138" s="49"/>
      <c r="W138" s="50"/>
    </row>
    <row r="139" spans="1:23" x14ac:dyDescent="0.35">
      <c r="A139" s="99"/>
      <c r="B139" s="198"/>
      <c r="C139" s="197"/>
      <c r="D139" s="197"/>
      <c r="E139" s="56">
        <f t="shared" si="9"/>
        <v>0</v>
      </c>
      <c r="F139" s="1214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5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99"/>
      <c r="B140" s="99"/>
      <c r="C140" s="197"/>
      <c r="D140" s="197"/>
      <c r="E140" s="56">
        <f t="shared" si="9"/>
        <v>0</v>
      </c>
      <c r="F140" s="1214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5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x14ac:dyDescent="0.35">
      <c r="A141" s="99"/>
      <c r="B141" s="99"/>
      <c r="C141" s="197"/>
      <c r="D141" s="197"/>
      <c r="E141" s="56">
        <f t="shared" si="9"/>
        <v>0</v>
      </c>
      <c r="F141" s="1214"/>
      <c r="G141" s="805"/>
      <c r="H141" s="120"/>
      <c r="I141" s="59"/>
      <c r="J141" s="805"/>
      <c r="K141" s="39">
        <f t="shared" ref="K141:K278" si="10">J141-G141</f>
        <v>0</v>
      </c>
      <c r="L141" s="81"/>
      <c r="M141" s="566"/>
      <c r="N141" s="61"/>
      <c r="O141" s="42">
        <f t="shared" ref="O141:O206" si="11">L141*J141</f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x14ac:dyDescent="0.35">
      <c r="A142" s="152"/>
      <c r="B142" s="99"/>
      <c r="C142" s="197"/>
      <c r="D142" s="197"/>
      <c r="E142" s="56">
        <f t="shared" si="9"/>
        <v>0</v>
      </c>
      <c r="F142" s="1214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" thickBot="1" x14ac:dyDescent="0.4">
      <c r="A143" s="99"/>
      <c r="B143" s="199"/>
      <c r="C143" s="200"/>
      <c r="D143" s="200"/>
      <c r="E143" s="201">
        <f t="shared" si="9"/>
        <v>0</v>
      </c>
      <c r="F143" s="1216"/>
      <c r="G143" s="808"/>
      <c r="H143" s="1496"/>
      <c r="I143" s="1623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99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10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10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99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98"/>
      <c r="B149" s="99"/>
      <c r="C149" s="197"/>
      <c r="D149" s="197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101"/>
      <c r="B150" s="99"/>
      <c r="C150" s="197"/>
      <c r="D150" s="197"/>
      <c r="E150" s="34">
        <f t="shared" si="9"/>
        <v>0</v>
      </c>
      <c r="F150" s="1216"/>
      <c r="G150" s="805"/>
      <c r="H150" s="120"/>
      <c r="I150" s="59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101"/>
      <c r="B151" s="99"/>
      <c r="C151" s="197"/>
      <c r="D151" s="197"/>
      <c r="E151" s="34">
        <f t="shared" si="9"/>
        <v>0</v>
      </c>
      <c r="F151" s="1216"/>
      <c r="G151" s="805"/>
      <c r="H151" s="120"/>
      <c r="I151" s="59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2"/>
      <c r="B152" s="99"/>
      <c r="C152" s="197"/>
      <c r="D152" s="197"/>
      <c r="E152" s="34">
        <f t="shared" si="9"/>
        <v>0</v>
      </c>
      <c r="F152" s="1216"/>
      <c r="G152" s="805"/>
      <c r="H152" s="120"/>
      <c r="I152" s="59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7"/>
      <c r="D153" s="197"/>
      <c r="E153" s="34">
        <f t="shared" si="9"/>
        <v>0</v>
      </c>
      <c r="F153" s="1216"/>
      <c r="G153" s="805"/>
      <c r="H153" s="120"/>
      <c r="I153" s="59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4"/>
      <c r="B154" s="99"/>
      <c r="C154" s="197"/>
      <c r="D154" s="197"/>
      <c r="E154" s="34">
        <f t="shared" si="9"/>
        <v>0</v>
      </c>
      <c r="F154" s="1216"/>
      <c r="G154" s="805"/>
      <c r="H154" s="120"/>
      <c r="I154" s="59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4"/>
      <c r="B155" s="99"/>
      <c r="C155" s="154"/>
      <c r="D155" s="154"/>
      <c r="E155" s="34">
        <f t="shared" si="9"/>
        <v>0</v>
      </c>
      <c r="F155" s="1216"/>
      <c r="G155" s="805"/>
      <c r="H155" s="120"/>
      <c r="I155" s="59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5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54"/>
      <c r="D157" s="154"/>
      <c r="E157" s="34">
        <f t="shared" si="9"/>
        <v>0</v>
      </c>
      <c r="F157" s="1216"/>
      <c r="G157" s="805"/>
      <c r="H157" s="120"/>
      <c r="I157" s="205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203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375"/>
      <c r="Q158" s="764"/>
      <c r="R158" s="375"/>
      <c r="S158" s="125"/>
      <c r="T158" s="176"/>
      <c r="U158" s="177"/>
      <c r="V158" s="49"/>
      <c r="W158" s="50"/>
    </row>
    <row r="159" spans="1:23" ht="24.75" thickTop="1" thickBot="1" x14ac:dyDescent="0.4">
      <c r="A159" s="203"/>
      <c r="B159" s="99"/>
      <c r="C159" s="194"/>
      <c r="D159" s="194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375"/>
      <c r="Q159" s="764"/>
      <c r="R159" s="375"/>
      <c r="S159" s="125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9"/>
        <v>0</v>
      </c>
      <c r="F160" s="1216"/>
      <c r="G160" s="805"/>
      <c r="H160" s="120"/>
      <c r="I160" s="206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9"/>
        <v>0</v>
      </c>
      <c r="F161" s="1216"/>
      <c r="G161" s="805"/>
      <c r="H161" s="120"/>
      <c r="I161" s="206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9"/>
        <v>0</v>
      </c>
      <c r="F162" s="1216"/>
      <c r="G162" s="805"/>
      <c r="H162" s="120"/>
      <c r="I162" s="206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375"/>
      <c r="Q162" s="764"/>
      <c r="R162" s="375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9"/>
        <v>0</v>
      </c>
      <c r="F163" s="1216"/>
      <c r="G163" s="805"/>
      <c r="H163" s="120"/>
      <c r="I163" s="206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375"/>
      <c r="Q163" s="764"/>
      <c r="R163" s="375"/>
      <c r="S163" s="208"/>
      <c r="T163" s="176"/>
      <c r="U163" s="177"/>
      <c r="V163" s="49"/>
      <c r="W163" s="50"/>
    </row>
    <row r="164" spans="1:23" ht="24.75" thickTop="1" thickBot="1" x14ac:dyDescent="0.4">
      <c r="A164" s="102"/>
      <c r="B164" s="99"/>
      <c r="C164" s="197"/>
      <c r="D164" s="197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474"/>
      <c r="Q164" s="764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99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474"/>
      <c r="Q165" s="764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01"/>
      <c r="B169" s="99"/>
      <c r="C169" s="197"/>
      <c r="D169" s="181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01"/>
      <c r="B170" s="99"/>
      <c r="C170" s="197"/>
      <c r="D170" s="181"/>
      <c r="E170" s="34">
        <f t="shared" si="9"/>
        <v>0</v>
      </c>
      <c r="F170" s="1216"/>
      <c r="G170" s="805"/>
      <c r="H170" s="120"/>
      <c r="I170" s="205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05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169"/>
      <c r="B173" s="99"/>
      <c r="C173" s="154"/>
      <c r="D173" s="182"/>
      <c r="E173" s="34">
        <f t="shared" si="9"/>
        <v>0</v>
      </c>
      <c r="F173" s="1216"/>
      <c r="G173" s="805"/>
      <c r="H173" s="120"/>
      <c r="I173" s="20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69"/>
      <c r="Q173" s="670"/>
      <c r="R173" s="211"/>
      <c r="S173" s="208"/>
      <c r="T173" s="176"/>
      <c r="U173" s="177"/>
      <c r="V173" s="49"/>
      <c r="W173" s="50"/>
    </row>
    <row r="174" spans="1:23" ht="24.75" thickTop="1" thickBot="1" x14ac:dyDescent="0.4">
      <c r="A174" s="169"/>
      <c r="B174" s="99"/>
      <c r="C174" s="154"/>
      <c r="D174" s="182"/>
      <c r="E174" s="34">
        <f t="shared" si="9"/>
        <v>0</v>
      </c>
      <c r="F174" s="1216"/>
      <c r="G174" s="805"/>
      <c r="H174" s="120"/>
      <c r="I174" s="205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9"/>
        <v>0</v>
      </c>
      <c r="F175" s="1216"/>
      <c r="G175" s="805"/>
      <c r="H175" s="120"/>
      <c r="I175" s="20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216"/>
      <c r="G176" s="805"/>
      <c r="H176" s="120"/>
      <c r="I176" s="206"/>
      <c r="J176" s="805"/>
      <c r="K176" s="39">
        <f t="shared" si="10"/>
        <v>0</v>
      </c>
      <c r="L176" s="81"/>
      <c r="M176" s="566"/>
      <c r="N176" s="61"/>
      <c r="O176" s="42">
        <f t="shared" si="11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9"/>
        <v>0</v>
      </c>
      <c r="F177" s="1216"/>
      <c r="G177" s="805"/>
      <c r="H177" s="120"/>
      <c r="I177" s="213"/>
      <c r="J177" s="805"/>
      <c r="K177" s="39">
        <f t="shared" si="10"/>
        <v>0</v>
      </c>
      <c r="L177" s="81"/>
      <c r="M177" s="566"/>
      <c r="N177" s="61"/>
      <c r="O177" s="42">
        <f t="shared" si="11"/>
        <v>0</v>
      </c>
      <c r="P177" s="69"/>
      <c r="Q177" s="670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3"/>
      <c r="B178" s="99"/>
      <c r="C178" s="197"/>
      <c r="D178" s="197"/>
      <c r="E178" s="34">
        <f t="shared" si="9"/>
        <v>0</v>
      </c>
      <c r="F178" s="1216"/>
      <c r="G178" s="805"/>
      <c r="H178" s="120"/>
      <c r="I178" s="205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69"/>
      <c r="Q178" s="670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14"/>
      <c r="B179" s="99"/>
      <c r="C179" s="197"/>
      <c r="D179" s="197"/>
      <c r="E179" s="34">
        <f t="shared" si="9"/>
        <v>0</v>
      </c>
      <c r="F179" s="1216"/>
      <c r="G179" s="805"/>
      <c r="H179" s="120"/>
      <c r="I179" s="215"/>
      <c r="J179" s="805"/>
      <c r="K179" s="39">
        <f t="shared" si="10"/>
        <v>0</v>
      </c>
      <c r="L179" s="81"/>
      <c r="M179" s="566"/>
      <c r="N179" s="61"/>
      <c r="O179" s="42">
        <f t="shared" si="11"/>
        <v>0</v>
      </c>
      <c r="P179" s="216"/>
      <c r="Q179" s="676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20"/>
      <c r="B180" s="99"/>
      <c r="C180" s="197"/>
      <c r="D180" s="197"/>
      <c r="E180" s="34">
        <f t="shared" si="9"/>
        <v>0</v>
      </c>
      <c r="F180" s="1216"/>
      <c r="G180" s="805"/>
      <c r="H180" s="661"/>
      <c r="I180" s="222"/>
      <c r="J180" s="805"/>
      <c r="K180" s="39">
        <f t="shared" si="10"/>
        <v>0</v>
      </c>
      <c r="L180" s="81"/>
      <c r="M180" s="566"/>
      <c r="N180" s="61"/>
      <c r="O180" s="42">
        <f t="shared" si="11"/>
        <v>0</v>
      </c>
      <c r="P180" s="223"/>
      <c r="Q180" s="125"/>
      <c r="R180" s="210"/>
      <c r="S180" s="208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9"/>
        <v>0</v>
      </c>
      <c r="F181" s="1216"/>
      <c r="G181" s="805"/>
      <c r="H181" s="224"/>
      <c r="I181" s="215"/>
      <c r="J181" s="805"/>
      <c r="K181" s="39">
        <f t="shared" si="10"/>
        <v>0</v>
      </c>
      <c r="L181" s="81"/>
      <c r="M181" s="566"/>
      <c r="N181" s="61"/>
      <c r="O181" s="42">
        <f t="shared" si="11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ref="E182:E251" si="12">D182*G182</f>
        <v>0</v>
      </c>
      <c r="F182" s="1216"/>
      <c r="G182" s="805"/>
      <c r="H182" s="224"/>
      <c r="I182" s="222"/>
      <c r="J182" s="805"/>
      <c r="K182" s="39">
        <f t="shared" si="10"/>
        <v>0</v>
      </c>
      <c r="L182" s="225"/>
      <c r="M182" s="566"/>
      <c r="N182" s="61" t="s">
        <v>26</v>
      </c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03"/>
      <c r="B183" s="99"/>
      <c r="C183" s="197"/>
      <c r="D183" s="197"/>
      <c r="E183" s="34">
        <f t="shared" si="12"/>
        <v>0</v>
      </c>
      <c r="F183" s="1216"/>
      <c r="G183" s="805"/>
      <c r="H183" s="224"/>
      <c r="I183" s="222"/>
      <c r="J183" s="805"/>
      <c r="K183" s="39">
        <f t="shared" si="10"/>
        <v>0</v>
      </c>
      <c r="L183" s="225"/>
      <c r="M183" s="566"/>
      <c r="N183" s="61"/>
      <c r="O183" s="42">
        <f t="shared" si="11"/>
        <v>0</v>
      </c>
      <c r="P183" s="223"/>
      <c r="Q183" s="125"/>
      <c r="R183" s="210"/>
      <c r="S183" s="208"/>
      <c r="T183" s="176"/>
      <c r="U183" s="177"/>
      <c r="V183" s="49"/>
      <c r="W183" s="50"/>
    </row>
    <row r="184" spans="1:23" ht="24.75" thickTop="1" thickBot="1" x14ac:dyDescent="0.4">
      <c r="A184" s="169"/>
      <c r="B184" s="99"/>
      <c r="C184" s="226"/>
      <c r="D184" s="226"/>
      <c r="E184" s="34">
        <f t="shared" si="12"/>
        <v>0</v>
      </c>
      <c r="F184" s="1216"/>
      <c r="G184" s="805"/>
      <c r="H184" s="224"/>
      <c r="I184" s="227"/>
      <c r="J184" s="805"/>
      <c r="K184" s="39">
        <f t="shared" si="10"/>
        <v>0</v>
      </c>
      <c r="L184" s="81"/>
      <c r="M184" s="566"/>
      <c r="N184" s="61"/>
      <c r="O184" s="42">
        <f t="shared" si="11"/>
        <v>0</v>
      </c>
      <c r="P184" s="228"/>
      <c r="Q184" s="677"/>
      <c r="R184" s="124"/>
      <c r="S184" s="125"/>
      <c r="T184" s="176"/>
      <c r="U184" s="177"/>
      <c r="V184" s="49"/>
      <c r="W184" s="50"/>
    </row>
    <row r="185" spans="1:23" ht="24.75" thickTop="1" thickBot="1" x14ac:dyDescent="0.4">
      <c r="A185" s="230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05"/>
      <c r="J185" s="805"/>
      <c r="K185" s="39">
        <f t="shared" si="10"/>
        <v>0</v>
      </c>
      <c r="L185" s="225"/>
      <c r="M185" s="570"/>
      <c r="N185" s="231"/>
      <c r="O185" s="42">
        <f t="shared" si="11"/>
        <v>0</v>
      </c>
      <c r="P185" s="228"/>
      <c r="Q185" s="677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3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05"/>
      <c r="J186" s="805"/>
      <c r="K186" s="39">
        <f t="shared" si="10"/>
        <v>0</v>
      </c>
      <c r="L186" s="225"/>
      <c r="M186" s="570"/>
      <c r="N186" s="231"/>
      <c r="O186" s="42">
        <f t="shared" si="11"/>
        <v>0</v>
      </c>
      <c r="P186" s="69"/>
      <c r="Q186" s="670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232"/>
      <c r="J187" s="805"/>
      <c r="K187" s="39">
        <f t="shared" si="10"/>
        <v>0</v>
      </c>
      <c r="L187" s="233"/>
      <c r="M187" s="570"/>
      <c r="N187" s="231"/>
      <c r="O187" s="42">
        <f t="shared" si="11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05"/>
      <c r="J188" s="805"/>
      <c r="K188" s="39">
        <f t="shared" si="10"/>
        <v>0</v>
      </c>
      <c r="L188" s="234"/>
      <c r="M188" s="571"/>
      <c r="N188" s="235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36"/>
      <c r="B189" s="99"/>
      <c r="C189" s="197"/>
      <c r="D189" s="197"/>
      <c r="E189" s="34">
        <f t="shared" si="12"/>
        <v>0</v>
      </c>
      <c r="F189" s="1216"/>
      <c r="G189" s="809"/>
      <c r="H189" s="224"/>
      <c r="I189" s="213"/>
      <c r="J189" s="805"/>
      <c r="K189" s="39">
        <f t="shared" si="10"/>
        <v>0</v>
      </c>
      <c r="L189" s="234"/>
      <c r="M189" s="572"/>
      <c r="N189" s="238"/>
      <c r="O189" s="42">
        <f t="shared" si="11"/>
        <v>0</v>
      </c>
      <c r="P189" s="223"/>
      <c r="Q189" s="125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1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205"/>
      <c r="J190" s="805"/>
      <c r="K190" s="39">
        <f t="shared" si="10"/>
        <v>0</v>
      </c>
      <c r="L190" s="234"/>
      <c r="M190" s="570"/>
      <c r="N190" s="23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239"/>
      <c r="J191" s="805"/>
      <c r="K191" s="39">
        <f t="shared" si="10"/>
        <v>0</v>
      </c>
      <c r="L191" s="81"/>
      <c r="M191" s="570"/>
      <c r="N191" s="23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2"/>
        <v>0</v>
      </c>
      <c r="F192" s="1216"/>
      <c r="G192" s="805"/>
      <c r="H192" s="224"/>
      <c r="I192" s="215"/>
      <c r="J192" s="805"/>
      <c r="K192" s="39">
        <f t="shared" si="10"/>
        <v>0</v>
      </c>
      <c r="L192" s="234"/>
      <c r="M192" s="570"/>
      <c r="N192" s="231"/>
      <c r="O192" s="42">
        <f t="shared" si="11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234"/>
      <c r="M193" s="570"/>
      <c r="N193" s="231"/>
      <c r="O193" s="42">
        <f t="shared" si="11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2"/>
        <v>0</v>
      </c>
      <c r="F194" s="1216"/>
      <c r="G194" s="805"/>
      <c r="H194" s="224"/>
      <c r="I194" s="240"/>
      <c r="J194" s="805"/>
      <c r="K194" s="39">
        <f t="shared" si="10"/>
        <v>0</v>
      </c>
      <c r="L194" s="234"/>
      <c r="M194" s="573"/>
      <c r="N194" s="241"/>
      <c r="O194" s="42">
        <f t="shared" si="11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2"/>
        <v>0</v>
      </c>
      <c r="F195" s="1216"/>
      <c r="G195" s="805"/>
      <c r="H195" s="224"/>
      <c r="I195" s="175"/>
      <c r="J195" s="805"/>
      <c r="K195" s="39">
        <f t="shared" si="10"/>
        <v>0</v>
      </c>
      <c r="L195" s="234"/>
      <c r="M195" s="573"/>
      <c r="N195" s="241"/>
      <c r="O195" s="42">
        <f t="shared" si="11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197"/>
      <c r="D196" s="197"/>
      <c r="E196" s="34">
        <f t="shared" si="12"/>
        <v>0</v>
      </c>
      <c r="F196" s="1216"/>
      <c r="G196" s="805"/>
      <c r="H196" s="224"/>
      <c r="I196" s="175"/>
      <c r="J196" s="805"/>
      <c r="K196" s="39">
        <f t="shared" si="10"/>
        <v>0</v>
      </c>
      <c r="L196" s="234"/>
      <c r="M196" s="573"/>
      <c r="N196" s="241"/>
      <c r="O196" s="42">
        <f t="shared" si="11"/>
        <v>0</v>
      </c>
      <c r="P196" s="216"/>
      <c r="Q196" s="676"/>
      <c r="R196" s="218"/>
      <c r="S196" s="219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197"/>
      <c r="D197" s="197"/>
      <c r="E197" s="34">
        <f t="shared" si="12"/>
        <v>0</v>
      </c>
      <c r="F197" s="1216"/>
      <c r="G197" s="805"/>
      <c r="H197" s="224"/>
      <c r="I197" s="175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16"/>
      <c r="Q197" s="676"/>
      <c r="R197" s="218"/>
      <c r="S197" s="219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242"/>
      <c r="D198" s="242"/>
      <c r="E198" s="34">
        <f t="shared" si="12"/>
        <v>0</v>
      </c>
      <c r="F198" s="1216"/>
      <c r="G198" s="805"/>
      <c r="H198" s="224"/>
      <c r="I198" s="175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223"/>
      <c r="Q198" s="125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2"/>
      <c r="D199" s="242"/>
      <c r="E199" s="34">
        <f t="shared" si="12"/>
        <v>0</v>
      </c>
      <c r="F199" s="1216"/>
      <c r="G199" s="805"/>
      <c r="H199" s="224"/>
      <c r="I199" s="175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223"/>
      <c r="Q199" s="125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01"/>
      <c r="B200" s="99"/>
      <c r="C200" s="226"/>
      <c r="D200" s="226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04"/>
      <c r="B201" s="99"/>
      <c r="C201" s="244"/>
      <c r="D201" s="244"/>
      <c r="E201" s="34">
        <f t="shared" si="12"/>
        <v>0</v>
      </c>
      <c r="F201" s="1216"/>
      <c r="G201" s="805"/>
      <c r="H201" s="224"/>
      <c r="I201" s="59"/>
      <c r="J201" s="805"/>
      <c r="K201" s="39">
        <f t="shared" si="10"/>
        <v>0</v>
      </c>
      <c r="L201" s="81"/>
      <c r="M201" s="566"/>
      <c r="N201" s="61"/>
      <c r="O201" s="42">
        <f t="shared" si="11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26"/>
      <c r="D202" s="226"/>
      <c r="E202" s="34">
        <f t="shared" si="12"/>
        <v>0</v>
      </c>
      <c r="F202" s="1216"/>
      <c r="G202" s="805"/>
      <c r="H202" s="224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1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245"/>
      <c r="B203" s="246"/>
      <c r="C203" s="197"/>
      <c r="D203" s="181"/>
      <c r="E203" s="34">
        <f t="shared" si="12"/>
        <v>0</v>
      </c>
      <c r="F203" s="1216"/>
      <c r="G203" s="805"/>
      <c r="H203" s="224"/>
      <c r="I203" s="227"/>
      <c r="J203" s="805"/>
      <c r="K203" s="39">
        <f t="shared" si="10"/>
        <v>0</v>
      </c>
      <c r="L203" s="81"/>
      <c r="M203" s="566"/>
      <c r="N203" s="61"/>
      <c r="O203" s="42">
        <f t="shared" si="11"/>
        <v>0</v>
      </c>
      <c r="P203" s="228"/>
      <c r="Q203" s="677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169"/>
      <c r="B204" s="99"/>
      <c r="C204" s="249"/>
      <c r="D204" s="247"/>
      <c r="E204" s="34">
        <f t="shared" si="12"/>
        <v>0</v>
      </c>
      <c r="F204" s="1216"/>
      <c r="G204" s="805"/>
      <c r="H204" s="224"/>
      <c r="I204" s="227"/>
      <c r="J204" s="805"/>
      <c r="K204" s="39">
        <f t="shared" si="10"/>
        <v>0</v>
      </c>
      <c r="L204" s="81"/>
      <c r="M204" s="566"/>
      <c r="N204" s="61"/>
      <c r="O204" s="42">
        <f t="shared" si="11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249"/>
      <c r="D205" s="247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1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248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1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597"/>
      <c r="D207" s="250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ref="O207:O296" si="13">L207*J207</f>
        <v>0</v>
      </c>
      <c r="P207" s="62"/>
      <c r="Q207" s="678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597"/>
      <c r="D208" s="250"/>
      <c r="E208" s="34">
        <f t="shared" si="12"/>
        <v>0</v>
      </c>
      <c r="F208" s="1216"/>
      <c r="G208" s="805"/>
      <c r="H208" s="120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2"/>
      <c r="Q208" s="678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203"/>
      <c r="C209" s="188"/>
      <c r="D209" s="253"/>
      <c r="E209" s="34">
        <f t="shared" si="12"/>
        <v>0</v>
      </c>
      <c r="F209" s="1216"/>
      <c r="G209" s="810"/>
      <c r="H209" s="224"/>
      <c r="I209" s="255"/>
      <c r="J209" s="810"/>
      <c r="K209" s="39">
        <f t="shared" si="10"/>
        <v>0</v>
      </c>
      <c r="O209" s="42">
        <f t="shared" si="13"/>
        <v>0</v>
      </c>
      <c r="P209" s="257"/>
      <c r="Q209" s="125"/>
      <c r="R209" s="258"/>
      <c r="S209" s="259"/>
      <c r="T209" s="260"/>
      <c r="U209" s="261"/>
      <c r="V209" s="262"/>
      <c r="W209" s="263"/>
    </row>
    <row r="210" spans="1:23" ht="24.75" thickTop="1" thickBot="1" x14ac:dyDescent="0.4">
      <c r="A210" s="169"/>
      <c r="B210" s="99"/>
      <c r="C210" s="249"/>
      <c r="D210" s="249"/>
      <c r="E210" s="34">
        <f t="shared" si="12"/>
        <v>0</v>
      </c>
      <c r="F210" s="1216"/>
      <c r="G210" s="810"/>
      <c r="H210" s="224"/>
      <c r="I210" s="255"/>
      <c r="J210" s="810"/>
      <c r="K210" s="39">
        <f t="shared" si="10"/>
        <v>0</v>
      </c>
      <c r="O210" s="42">
        <f t="shared" si="13"/>
        <v>0</v>
      </c>
      <c r="P210" s="257"/>
      <c r="Q210" s="125"/>
      <c r="R210" s="258"/>
      <c r="S210" s="259"/>
      <c r="T210" s="260"/>
      <c r="U210" s="261"/>
      <c r="V210" s="262"/>
      <c r="W210" s="263"/>
    </row>
    <row r="211" spans="1:23" ht="24.75" thickTop="1" thickBot="1" x14ac:dyDescent="0.4">
      <c r="A211" s="169"/>
      <c r="B211" s="99"/>
      <c r="C211" s="249"/>
      <c r="D211" s="249"/>
      <c r="E211" s="34">
        <f t="shared" si="12"/>
        <v>0</v>
      </c>
      <c r="F211" s="1216"/>
      <c r="G211" s="805"/>
      <c r="H211" s="224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9"/>
      <c r="D212" s="249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12"/>
        <v>0</v>
      </c>
      <c r="F213" s="1216"/>
      <c r="G213" s="805"/>
      <c r="H213" s="209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12"/>
        <v>0</v>
      </c>
      <c r="F214" s="1216"/>
      <c r="G214" s="805"/>
      <c r="H214" s="209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2"/>
        <v>0</v>
      </c>
      <c r="F215" s="1216"/>
      <c r="G215" s="805"/>
      <c r="H215" s="209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203"/>
      <c r="C216" s="265"/>
      <c r="D216" s="265"/>
      <c r="E216" s="34">
        <f t="shared" si="12"/>
        <v>0</v>
      </c>
      <c r="F216" s="1216"/>
      <c r="G216" s="805"/>
      <c r="H216" s="209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70"/>
      <c r="D217" s="264"/>
      <c r="E217" s="34">
        <f t="shared" si="12"/>
        <v>0</v>
      </c>
      <c r="F217" s="1216"/>
      <c r="G217" s="805"/>
      <c r="H217" s="209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99"/>
      <c r="C220" s="244"/>
      <c r="D220" s="244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99"/>
      <c r="C221" s="244"/>
      <c r="D221" s="244"/>
      <c r="E221" s="34">
        <f t="shared" si="12"/>
        <v>0</v>
      </c>
      <c r="F221" s="1216"/>
      <c r="G221" s="805"/>
      <c r="H221" s="224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248"/>
      <c r="B222" s="203"/>
      <c r="C222" s="249"/>
      <c r="D222" s="249"/>
      <c r="E222" s="34">
        <f t="shared" si="12"/>
        <v>0</v>
      </c>
      <c r="F222" s="1216"/>
      <c r="G222" s="805"/>
      <c r="H222" s="224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266"/>
      <c r="B223" s="99"/>
      <c r="C223" s="597"/>
      <c r="D223" s="250"/>
      <c r="E223" s="34">
        <f t="shared" si="12"/>
        <v>0</v>
      </c>
      <c r="F223" s="1216"/>
      <c r="G223" s="805"/>
      <c r="H223" s="120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2"/>
      <c r="Q223" s="678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05"/>
      <c r="H224" s="224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05"/>
      <c r="H225" s="224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05"/>
      <c r="H226" s="224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11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2"/>
        <v>0</v>
      </c>
      <c r="F229" s="1216"/>
      <c r="G229" s="811"/>
      <c r="H229" s="209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2"/>
        <v>0</v>
      </c>
      <c r="F230" s="1216"/>
      <c r="G230" s="811"/>
      <c r="H230" s="209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2"/>
        <v>0</v>
      </c>
      <c r="F231" s="1216"/>
      <c r="G231" s="811"/>
      <c r="H231" s="209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2"/>
        <v>0</v>
      </c>
      <c r="F232" s="1216"/>
      <c r="G232" s="811"/>
      <c r="H232" s="209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598"/>
      <c r="D233" s="267"/>
      <c r="E233" s="34">
        <f t="shared" si="12"/>
        <v>0</v>
      </c>
      <c r="F233" s="1216"/>
      <c r="G233" s="811"/>
      <c r="H233" s="209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598"/>
      <c r="D234" s="267"/>
      <c r="E234" s="34">
        <f t="shared" si="12"/>
        <v>0</v>
      </c>
      <c r="F234" s="1216"/>
      <c r="G234" s="805"/>
      <c r="H234" s="209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2"/>
        <v>0</v>
      </c>
      <c r="F237" s="1216"/>
      <c r="G237" s="805"/>
      <c r="H237" s="224"/>
      <c r="I237" s="227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03"/>
      <c r="B243" s="253"/>
      <c r="C243" s="244"/>
      <c r="D243" s="244"/>
      <c r="E243" s="34">
        <f t="shared" si="12"/>
        <v>0</v>
      </c>
      <c r="F243" s="1216"/>
      <c r="G243" s="805"/>
      <c r="H243" s="120"/>
      <c r="I243" s="59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6"/>
      <c r="B246" s="203"/>
      <c r="C246" s="244"/>
      <c r="D246" s="244"/>
      <c r="E246" s="34">
        <f t="shared" si="12"/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266"/>
      <c r="B247" s="203"/>
      <c r="C247" s="244"/>
      <c r="D247" s="244"/>
      <c r="E247" s="34">
        <f t="shared" si="12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269"/>
      <c r="B248" s="203"/>
      <c r="C248" s="244"/>
      <c r="D248" s="244"/>
      <c r="E248" s="34">
        <f t="shared" si="12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2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ref="E252:E296" si="14">D252*G252</f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70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44"/>
      <c r="D259" s="244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70"/>
      <c r="D260" s="264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65"/>
      <c r="D261" s="265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65"/>
      <c r="D262" s="265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70"/>
      <c r="D263" s="264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49"/>
      <c r="D264" s="249"/>
      <c r="E264" s="34">
        <f t="shared" si="14"/>
        <v>0</v>
      </c>
      <c r="F264" s="1216"/>
      <c r="G264" s="805"/>
      <c r="H264" s="224"/>
      <c r="I264" s="227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197"/>
      <c r="D265" s="197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204"/>
      <c r="B266" s="203"/>
      <c r="C266" s="226"/>
      <c r="D266" s="226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03"/>
      <c r="C267" s="226"/>
      <c r="D267" s="226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03"/>
      <c r="C268" s="226"/>
      <c r="D268" s="226"/>
      <c r="E268" s="34">
        <f t="shared" si="14"/>
        <v>0</v>
      </c>
      <c r="F268" s="1216"/>
      <c r="G268" s="805"/>
      <c r="H268" s="224"/>
      <c r="I268" s="227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497"/>
      <c r="B269" s="272"/>
      <c r="C269" s="226"/>
      <c r="D269" s="226"/>
      <c r="E269" s="34">
        <f t="shared" si="14"/>
        <v>0</v>
      </c>
      <c r="F269" s="1216"/>
      <c r="G269" s="805"/>
      <c r="H269" s="224"/>
      <c r="I269" s="227"/>
      <c r="J269" s="805"/>
      <c r="K269" s="39">
        <f t="shared" si="10"/>
        <v>0</v>
      </c>
      <c r="L269" s="81"/>
      <c r="M269" s="566"/>
      <c r="N269" s="61"/>
      <c r="O269" s="42">
        <f t="shared" si="13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2"/>
      <c r="C270" s="226"/>
      <c r="D270" s="226"/>
      <c r="E270" s="34">
        <f t="shared" si="14"/>
        <v>0</v>
      </c>
      <c r="F270" s="1216"/>
      <c r="G270" s="805"/>
      <c r="H270" s="224"/>
      <c r="I270" s="59"/>
      <c r="J270" s="805"/>
      <c r="K270" s="39">
        <f t="shared" si="10"/>
        <v>0</v>
      </c>
      <c r="L270" s="81"/>
      <c r="M270" s="566"/>
      <c r="N270" s="61"/>
      <c r="O270" s="42">
        <f t="shared" si="13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26"/>
      <c r="D271" s="226"/>
      <c r="E271" s="34">
        <f t="shared" si="14"/>
        <v>0</v>
      </c>
      <c r="F271" s="1216"/>
      <c r="G271" s="805"/>
      <c r="H271" s="224"/>
      <c r="I271" s="227"/>
      <c r="J271" s="805"/>
      <c r="K271" s="39">
        <f t="shared" si="10"/>
        <v>0</v>
      </c>
      <c r="L271" s="81"/>
      <c r="M271" s="566"/>
      <c r="N271" s="61"/>
      <c r="O271" s="42">
        <f t="shared" si="13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169"/>
      <c r="B272" s="272"/>
      <c r="C272" s="197"/>
      <c r="D272" s="181"/>
      <c r="E272" s="34">
        <f t="shared" si="14"/>
        <v>0</v>
      </c>
      <c r="F272" s="1216"/>
      <c r="G272" s="805"/>
      <c r="H272" s="224"/>
      <c r="I272" s="227"/>
      <c r="J272" s="805"/>
      <c r="K272" s="39">
        <f t="shared" si="10"/>
        <v>0</v>
      </c>
      <c r="L272" s="81"/>
      <c r="M272" s="566"/>
      <c r="N272" s="61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169"/>
      <c r="B273" s="272"/>
      <c r="C273" s="197"/>
      <c r="D273" s="181"/>
      <c r="E273" s="34">
        <f t="shared" si="14"/>
        <v>0</v>
      </c>
      <c r="F273" s="1216"/>
      <c r="G273" s="805"/>
      <c r="H273" s="224"/>
      <c r="I273" s="227"/>
      <c r="J273" s="805"/>
      <c r="K273" s="39">
        <f t="shared" si="10"/>
        <v>0</v>
      </c>
      <c r="L273" s="81"/>
      <c r="M273" s="566"/>
      <c r="N273" s="61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2"/>
      <c r="C274" s="242"/>
      <c r="D274" s="242"/>
      <c r="E274" s="34">
        <f t="shared" si="14"/>
        <v>0</v>
      </c>
      <c r="F274" s="1216"/>
      <c r="G274" s="805"/>
      <c r="H274" s="224"/>
      <c r="I274" s="175"/>
      <c r="J274" s="805"/>
      <c r="K274" s="39">
        <f t="shared" si="10"/>
        <v>0</v>
      </c>
      <c r="L274" s="81"/>
      <c r="M274" s="566"/>
      <c r="N274" s="61"/>
      <c r="O274" s="42">
        <f t="shared" si="13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2"/>
      <c r="C275" s="191"/>
      <c r="D275" s="187"/>
      <c r="E275" s="34">
        <f t="shared" si="14"/>
        <v>0</v>
      </c>
      <c r="F275" s="1216"/>
      <c r="G275" s="805"/>
      <c r="H275" s="224"/>
      <c r="I275" s="175"/>
      <c r="J275" s="805"/>
      <c r="K275" s="39">
        <f t="shared" si="10"/>
        <v>0</v>
      </c>
      <c r="L275" s="81"/>
      <c r="M275" s="566"/>
      <c r="N275" s="274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5"/>
      <c r="C276" s="154"/>
      <c r="D276" s="182"/>
      <c r="E276" s="34">
        <f t="shared" si="14"/>
        <v>0</v>
      </c>
      <c r="F276" s="1216"/>
      <c r="G276" s="812"/>
      <c r="H276" s="662"/>
      <c r="I276" s="277"/>
      <c r="J276" s="804"/>
      <c r="K276" s="39">
        <f t="shared" si="10"/>
        <v>0</v>
      </c>
      <c r="L276" s="81"/>
      <c r="M276" s="566"/>
      <c r="N276" s="274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5"/>
      <c r="C277" s="154"/>
      <c r="D277" s="182"/>
      <c r="E277" s="34">
        <f t="shared" si="14"/>
        <v>0</v>
      </c>
      <c r="F277" s="1216"/>
      <c r="G277" s="812"/>
      <c r="H277" s="662"/>
      <c r="I277" s="277"/>
      <c r="J277" s="804"/>
      <c r="K277" s="39">
        <f t="shared" si="10"/>
        <v>0</v>
      </c>
      <c r="L277" s="81"/>
      <c r="M277" s="566"/>
      <c r="N277" s="274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4"/>
        <v>0</v>
      </c>
      <c r="F278" s="1216"/>
      <c r="G278" s="812"/>
      <c r="H278" s="662"/>
      <c r="I278" s="277"/>
      <c r="J278" s="804"/>
      <c r="K278" s="39">
        <f t="shared" si="10"/>
        <v>0</v>
      </c>
      <c r="L278" s="81"/>
      <c r="M278" s="566"/>
      <c r="N278" s="274"/>
      <c r="O278" s="42">
        <f t="shared" si="13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78"/>
      <c r="C279" s="154"/>
      <c r="D279" s="182"/>
      <c r="E279" s="34">
        <f t="shared" si="14"/>
        <v>0</v>
      </c>
      <c r="F279" s="1216"/>
      <c r="G279" s="812"/>
      <c r="H279" s="662"/>
      <c r="I279" s="277"/>
      <c r="J279" s="804"/>
      <c r="K279" s="39">
        <f t="shared" ref="K279:K292" si="15">J279-G279</f>
        <v>0</v>
      </c>
      <c r="L279" s="81"/>
      <c r="M279" s="566"/>
      <c r="N279" s="274"/>
      <c r="O279" s="42">
        <f t="shared" si="13"/>
        <v>0</v>
      </c>
      <c r="P279" s="69"/>
      <c r="Q279" s="670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78"/>
      <c r="C280" s="154"/>
      <c r="D280" s="182"/>
      <c r="E280" s="34">
        <f t="shared" si="14"/>
        <v>0</v>
      </c>
      <c r="F280" s="1216"/>
      <c r="G280" s="812"/>
      <c r="H280" s="662"/>
      <c r="I280" s="277"/>
      <c r="J280" s="804"/>
      <c r="K280" s="39">
        <f t="shared" si="15"/>
        <v>0</v>
      </c>
      <c r="L280" s="81"/>
      <c r="M280" s="566"/>
      <c r="N280" s="274"/>
      <c r="O280" s="42">
        <f t="shared" si="13"/>
        <v>0</v>
      </c>
      <c r="P280" s="69"/>
      <c r="Q280" s="670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80"/>
      <c r="E281" s="34">
        <f t="shared" si="14"/>
        <v>0</v>
      </c>
      <c r="F281" s="1216"/>
      <c r="G281" s="808"/>
      <c r="H281" s="281"/>
      <c r="I281" s="282"/>
      <c r="J281" s="805"/>
      <c r="K281" s="39">
        <f t="shared" si="15"/>
        <v>0</v>
      </c>
      <c r="L281" s="81"/>
      <c r="M281" s="566"/>
      <c r="N281" s="283"/>
      <c r="O281" s="42">
        <f t="shared" si="13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79"/>
      <c r="D282" s="279"/>
      <c r="E282" s="34">
        <f t="shared" si="14"/>
        <v>0</v>
      </c>
      <c r="F282" s="1216"/>
      <c r="G282" s="805"/>
      <c r="H282" s="224"/>
      <c r="I282" s="175"/>
      <c r="J282" s="805"/>
      <c r="K282" s="39">
        <f t="shared" si="15"/>
        <v>0</v>
      </c>
      <c r="L282" s="81"/>
      <c r="M282" s="566"/>
      <c r="N282" s="283"/>
      <c r="O282" s="42">
        <f t="shared" si="13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04"/>
      <c r="B283" s="203"/>
      <c r="C283" s="279"/>
      <c r="D283" s="279"/>
      <c r="E283" s="34">
        <f t="shared" si="14"/>
        <v>0</v>
      </c>
      <c r="F283" s="1216"/>
      <c r="G283" s="805"/>
      <c r="H283" s="224"/>
      <c r="I283" s="175"/>
      <c r="J283" s="805"/>
      <c r="K283" s="39">
        <f t="shared" si="15"/>
        <v>0</v>
      </c>
      <c r="L283" s="81"/>
      <c r="M283" s="566"/>
      <c r="N283" s="283"/>
      <c r="O283" s="42">
        <f t="shared" si="13"/>
        <v>0</v>
      </c>
      <c r="P283" s="223"/>
      <c r="Q283" s="125"/>
      <c r="R283" s="124"/>
      <c r="S283" s="125"/>
      <c r="T283" s="176"/>
      <c r="U283" s="177"/>
      <c r="V283" s="49"/>
      <c r="W283" s="50"/>
    </row>
    <row r="284" spans="1:23" ht="24.75" thickTop="1" thickBot="1" x14ac:dyDescent="0.4">
      <c r="A284" s="204"/>
      <c r="B284" s="203"/>
      <c r="C284" s="284"/>
      <c r="D284" s="284"/>
      <c r="E284" s="34">
        <f t="shared" si="14"/>
        <v>0</v>
      </c>
      <c r="F284" s="1216"/>
      <c r="G284" s="805"/>
      <c r="H284" s="224"/>
      <c r="I284" s="175"/>
      <c r="J284" s="805"/>
      <c r="K284" s="39">
        <f t="shared" si="15"/>
        <v>0</v>
      </c>
      <c r="L284" s="81"/>
      <c r="M284" s="566"/>
      <c r="N284" s="283"/>
      <c r="O284" s="42">
        <f t="shared" si="13"/>
        <v>0</v>
      </c>
      <c r="P284" s="223"/>
      <c r="Q284" s="125"/>
      <c r="R284" s="124"/>
      <c r="S284" s="125"/>
      <c r="T284" s="176"/>
      <c r="U284" s="177"/>
      <c r="V284" s="49"/>
      <c r="W284" s="50"/>
    </row>
    <row r="285" spans="1:23" ht="24.75" thickTop="1" thickBot="1" x14ac:dyDescent="0.4">
      <c r="A285" s="285"/>
      <c r="B285" s="203"/>
      <c r="C285" s="599"/>
      <c r="D285" s="203"/>
      <c r="E285" s="34">
        <f t="shared" si="14"/>
        <v>0</v>
      </c>
      <c r="F285" s="1216"/>
      <c r="G285" s="810"/>
      <c r="H285" s="224"/>
      <c r="I285" s="255"/>
      <c r="J285" s="810">
        <v>0</v>
      </c>
      <c r="K285" s="39">
        <f t="shared" si="15"/>
        <v>0</v>
      </c>
      <c r="L285" s="286"/>
      <c r="M285" s="575"/>
      <c r="N285" s="286"/>
      <c r="O285" s="42">
        <f t="shared" si="13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4"/>
        <v>0</v>
      </c>
      <c r="F286" s="1216"/>
      <c r="G286" s="810"/>
      <c r="H286" s="224"/>
      <c r="I286" s="255"/>
      <c r="J286" s="810">
        <v>0</v>
      </c>
      <c r="K286" s="39">
        <f t="shared" si="15"/>
        <v>0</v>
      </c>
      <c r="L286" s="286"/>
      <c r="M286" s="575"/>
      <c r="N286" s="286"/>
      <c r="O286" s="42">
        <f t="shared" si="13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85"/>
      <c r="B287" s="203"/>
      <c r="C287" s="599"/>
      <c r="D287" s="203"/>
      <c r="E287" s="34">
        <f t="shared" si="14"/>
        <v>0</v>
      </c>
      <c r="F287" s="1216"/>
      <c r="G287" s="810"/>
      <c r="H287" s="224"/>
      <c r="I287" s="255"/>
      <c r="J287" s="810">
        <v>0</v>
      </c>
      <c r="K287" s="39">
        <f t="shared" si="15"/>
        <v>0</v>
      </c>
      <c r="L287" s="286"/>
      <c r="M287" s="575"/>
      <c r="N287" s="286"/>
      <c r="O287" s="42">
        <f t="shared" si="13"/>
        <v>0</v>
      </c>
      <c r="P287" s="287"/>
      <c r="Q287" s="125"/>
      <c r="R287" s="124"/>
      <c r="S287" s="288"/>
      <c r="T287" s="289"/>
      <c r="U287" s="290"/>
      <c r="V287" s="259"/>
      <c r="W287" s="263"/>
    </row>
    <row r="288" spans="1:23" ht="24.75" thickTop="1" thickBot="1" x14ac:dyDescent="0.4">
      <c r="A288" s="285"/>
      <c r="B288" s="203"/>
      <c r="C288" s="599"/>
      <c r="D288" s="203"/>
      <c r="E288" s="34">
        <f t="shared" si="14"/>
        <v>0</v>
      </c>
      <c r="F288" s="1216"/>
      <c r="G288" s="810"/>
      <c r="H288" s="224"/>
      <c r="I288" s="291"/>
      <c r="J288" s="810">
        <v>0</v>
      </c>
      <c r="K288" s="39">
        <f t="shared" si="15"/>
        <v>0</v>
      </c>
      <c r="L288" s="286"/>
      <c r="M288" s="575"/>
      <c r="N288" s="286"/>
      <c r="O288" s="42">
        <f t="shared" si="13"/>
        <v>0</v>
      </c>
      <c r="P288" s="287"/>
      <c r="Q288" s="125"/>
      <c r="R288" s="124"/>
      <c r="S288" s="288"/>
      <c r="T288" s="289"/>
      <c r="U288" s="290"/>
      <c r="V288" s="259"/>
      <c r="W288" s="263"/>
    </row>
    <row r="289" spans="1:23" ht="24.75" thickTop="1" thickBot="1" x14ac:dyDescent="0.4">
      <c r="A289" s="292"/>
      <c r="B289" s="203"/>
      <c r="C289" s="599"/>
      <c r="D289" s="203"/>
      <c r="E289" s="34">
        <f t="shared" si="14"/>
        <v>0</v>
      </c>
      <c r="F289" s="1216"/>
      <c r="G289" s="810"/>
      <c r="H289" s="224"/>
      <c r="I289" s="293"/>
      <c r="J289" s="810">
        <v>0</v>
      </c>
      <c r="K289" s="39">
        <f t="shared" si="15"/>
        <v>0</v>
      </c>
      <c r="L289" s="286"/>
      <c r="M289" s="575"/>
      <c r="N289" s="286"/>
      <c r="O289" s="42">
        <f t="shared" si="13"/>
        <v>0</v>
      </c>
      <c r="P289" s="287"/>
      <c r="Q289" s="125"/>
      <c r="R289" s="124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I290" s="299"/>
      <c r="J290" s="813">
        <v>0</v>
      </c>
      <c r="K290" s="39">
        <f t="shared" si="15"/>
        <v>0</v>
      </c>
      <c r="L290" s="300"/>
      <c r="N290" s="300"/>
      <c r="O290" s="42">
        <f t="shared" si="13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4">
      <c r="A291" s="294"/>
      <c r="B291" s="295"/>
      <c r="E291" s="34">
        <f t="shared" si="14"/>
        <v>0</v>
      </c>
      <c r="F291" s="1217"/>
      <c r="J291" s="813">
        <v>0</v>
      </c>
      <c r="K291" s="39">
        <f t="shared" si="15"/>
        <v>0</v>
      </c>
      <c r="L291" s="300"/>
      <c r="N291" s="300"/>
      <c r="O291" s="42">
        <f t="shared" si="13"/>
        <v>0</v>
      </c>
      <c r="P291" s="287"/>
      <c r="Q291" s="125"/>
      <c r="R291" s="258"/>
      <c r="S291" s="288"/>
      <c r="T291" s="289"/>
      <c r="U291" s="290"/>
      <c r="V291" s="49"/>
      <c r="W291" s="50"/>
    </row>
    <row r="292" spans="1:23" ht="24.75" thickTop="1" thickBot="1" x14ac:dyDescent="0.4">
      <c r="A292" s="294"/>
      <c r="B292" s="295"/>
      <c r="E292" s="34">
        <f t="shared" si="14"/>
        <v>0</v>
      </c>
      <c r="F292" s="1217"/>
      <c r="J292" s="821">
        <v>0</v>
      </c>
      <c r="K292" s="39">
        <f t="shared" si="15"/>
        <v>0</v>
      </c>
      <c r="L292" s="300"/>
      <c r="N292" s="300"/>
      <c r="O292" s="42">
        <f t="shared" si="13"/>
        <v>0</v>
      </c>
      <c r="P292" s="287"/>
      <c r="Q292" s="125"/>
      <c r="R292" s="258"/>
      <c r="S292" s="288"/>
      <c r="T292" s="289"/>
      <c r="U292" s="290"/>
      <c r="V292" s="49"/>
      <c r="W292" s="50"/>
    </row>
    <row r="293" spans="1:23" ht="24.75" thickTop="1" thickBot="1" x14ac:dyDescent="0.35">
      <c r="A293" s="294"/>
      <c r="B293" s="295"/>
      <c r="E293" s="34" t="e">
        <f t="shared" si="14"/>
        <v>#VALUE!</v>
      </c>
      <c r="F293" s="1217"/>
      <c r="G293" s="1673" t="s">
        <v>27</v>
      </c>
      <c r="H293" s="1673"/>
      <c r="I293" s="1674"/>
      <c r="J293" s="822">
        <f>SUM(J5:J292)</f>
        <v>313611.56100000005</v>
      </c>
      <c r="K293" s="304"/>
      <c r="L293" s="300"/>
      <c r="M293" s="576"/>
      <c r="N293" s="300"/>
      <c r="O293" s="42">
        <f t="shared" si="13"/>
        <v>0</v>
      </c>
      <c r="P293" s="287"/>
      <c r="Q293" s="125"/>
      <c r="R293" s="258"/>
      <c r="S293" s="288"/>
      <c r="T293" s="306"/>
      <c r="U293" s="261"/>
      <c r="V293" s="262"/>
      <c r="W293" s="50"/>
    </row>
    <row r="294" spans="1:23" ht="24.75" thickTop="1" thickBot="1" x14ac:dyDescent="0.3">
      <c r="A294" s="307"/>
      <c r="B294" s="295"/>
      <c r="E294" s="34">
        <f t="shared" si="14"/>
        <v>0</v>
      </c>
      <c r="F294" s="1217"/>
      <c r="J294" s="823"/>
      <c r="K294" s="304"/>
      <c r="L294" s="300"/>
      <c r="M294" s="576"/>
      <c r="N294" s="300"/>
      <c r="O294" s="42">
        <f t="shared" si="13"/>
        <v>0</v>
      </c>
      <c r="P294" s="309"/>
      <c r="R294" s="6"/>
      <c r="S294" s="310"/>
      <c r="T294" s="311"/>
      <c r="U294" s="312"/>
      <c r="W294" s="9"/>
    </row>
    <row r="295" spans="1:23" ht="24.75" thickTop="1" thickBot="1" x14ac:dyDescent="0.4">
      <c r="A295" s="294"/>
      <c r="B295" s="295"/>
      <c r="E295" s="34">
        <f t="shared" si="14"/>
        <v>0</v>
      </c>
      <c r="F295" s="1217"/>
      <c r="K295" s="297"/>
      <c r="L295" s="300"/>
      <c r="N295" s="300"/>
      <c r="O295" s="42">
        <f t="shared" si="13"/>
        <v>0</v>
      </c>
      <c r="P295" s="309"/>
      <c r="R295" s="6"/>
      <c r="S295" s="310"/>
      <c r="T295" s="311"/>
      <c r="U295" s="312"/>
      <c r="W295" s="9"/>
    </row>
    <row r="296" spans="1:23" ht="24.75" thickTop="1" thickBot="1" x14ac:dyDescent="0.4">
      <c r="A296" s="294"/>
      <c r="B296" s="295"/>
      <c r="E296" s="34">
        <f t="shared" si="14"/>
        <v>0</v>
      </c>
      <c r="F296" s="1217"/>
      <c r="K296" s="297"/>
      <c r="L296" s="314"/>
      <c r="O296" s="42">
        <f t="shared" si="13"/>
        <v>0</v>
      </c>
      <c r="P296" s="315"/>
      <c r="R296" s="6"/>
      <c r="S296" s="310"/>
      <c r="T296" s="311"/>
      <c r="U296" s="316"/>
      <c r="W296" s="9"/>
    </row>
    <row r="297" spans="1:23" ht="24.75" thickTop="1" thickBot="1" x14ac:dyDescent="0.4">
      <c r="A297" s="294"/>
      <c r="I297" s="318"/>
      <c r="J297" s="824" t="s">
        <v>28</v>
      </c>
      <c r="K297" s="320"/>
      <c r="L297" s="320"/>
      <c r="M297" s="577">
        <f>SUM(M285:M296)</f>
        <v>0</v>
      </c>
      <c r="N297" s="322"/>
      <c r="O297" s="323">
        <f>SUM(O5:O296)</f>
        <v>14533836.757000005</v>
      </c>
      <c r="P297" s="324"/>
      <c r="R297" s="325">
        <f>SUM(R5:R296)</f>
        <v>121410</v>
      </c>
      <c r="S297" s="256"/>
      <c r="T297" s="326">
        <f>SUM(T27:T296)</f>
        <v>28000</v>
      </c>
      <c r="U297" s="327"/>
      <c r="V297" s="328"/>
      <c r="W297" s="329">
        <f>SUM(W285:W296)</f>
        <v>0</v>
      </c>
    </row>
    <row r="298" spans="1:23" x14ac:dyDescent="0.35">
      <c r="A298" s="294"/>
      <c r="I298" s="318"/>
      <c r="J298" s="825"/>
      <c r="K298" s="331"/>
      <c r="L298" s="332"/>
      <c r="N298" s="332"/>
      <c r="O298" s="333"/>
      <c r="P298" s="324"/>
      <c r="S298" s="310"/>
      <c r="T298" s="334"/>
      <c r="V298" s="336"/>
      <c r="W298"/>
    </row>
    <row r="299" spans="1:23" ht="24" thickBot="1" x14ac:dyDescent="0.4">
      <c r="A299" s="294"/>
      <c r="I299" s="318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ht="24" thickTop="1" x14ac:dyDescent="0.25">
      <c r="A300" s="294"/>
      <c r="J300" s="826" t="s">
        <v>29</v>
      </c>
      <c r="K300" s="338"/>
      <c r="L300" s="338"/>
      <c r="M300" s="578"/>
      <c r="N300" s="339"/>
      <c r="O300" s="340">
        <f>W297+T297+R297+O297+M297</f>
        <v>14683246.757000005</v>
      </c>
      <c r="P300" s="341"/>
      <c r="S300" s="310"/>
      <c r="T300" s="334"/>
      <c r="V300" s="336"/>
      <c r="W300"/>
    </row>
    <row r="301" spans="1:23" ht="24" thickBot="1" x14ac:dyDescent="0.3">
      <c r="A301" s="342"/>
      <c r="J301" s="827"/>
      <c r="K301" s="344"/>
      <c r="L301" s="344"/>
      <c r="M301" s="579"/>
      <c r="N301" s="345"/>
      <c r="O301" s="346"/>
      <c r="P301" s="347"/>
      <c r="S301" s="310"/>
      <c r="T301" s="334"/>
      <c r="V301" s="336"/>
      <c r="W301"/>
    </row>
    <row r="302" spans="1:23" ht="24" thickTop="1" x14ac:dyDescent="0.35">
      <c r="A302" s="342"/>
      <c r="J302" s="825"/>
      <c r="K302" s="331"/>
      <c r="L302" s="332"/>
      <c r="N302" s="332"/>
      <c r="O302" s="333"/>
      <c r="P302" s="324"/>
      <c r="S302" s="310"/>
      <c r="T302" s="334"/>
      <c r="V302" s="336"/>
      <c r="W302"/>
    </row>
    <row r="303" spans="1:23" x14ac:dyDescent="0.35">
      <c r="A303" s="294"/>
      <c r="J303" s="825"/>
      <c r="K303" s="331"/>
      <c r="L303" s="332"/>
      <c r="N303" s="332"/>
      <c r="O303" s="333"/>
      <c r="P303" s="324"/>
      <c r="S303" s="310"/>
      <c r="T303" s="334"/>
      <c r="V303" s="336"/>
      <c r="W303"/>
    </row>
    <row r="304" spans="1:23" x14ac:dyDescent="0.35">
      <c r="A304" s="294"/>
      <c r="J304" s="825"/>
      <c r="K304" s="348"/>
      <c r="L304" s="332"/>
      <c r="N304" s="332"/>
      <c r="O304" s="333"/>
      <c r="P304" s="349"/>
      <c r="S304" s="310"/>
      <c r="T304" s="334"/>
      <c r="V304" s="336"/>
      <c r="W304"/>
    </row>
    <row r="305" spans="1:23" x14ac:dyDescent="0.35">
      <c r="A305" s="342"/>
      <c r="O305" s="333"/>
      <c r="P305" s="351"/>
      <c r="S305" s="310"/>
      <c r="T305" s="334"/>
      <c r="V305" s="336"/>
      <c r="W305"/>
    </row>
    <row r="306" spans="1:23" x14ac:dyDescent="0.35">
      <c r="A306" s="342"/>
      <c r="P306" s="351"/>
      <c r="T306" s="334"/>
      <c r="V306" s="336"/>
      <c r="W306"/>
    </row>
    <row r="307" spans="1:23" x14ac:dyDescent="0.35">
      <c r="A307" s="294"/>
      <c r="B307" s="295"/>
      <c r="O307" s="333"/>
      <c r="P307" s="324"/>
      <c r="T307" s="334"/>
      <c r="V307" s="336"/>
      <c r="W307"/>
    </row>
    <row r="308" spans="1:23" x14ac:dyDescent="0.35">
      <c r="A308" s="342"/>
      <c r="B308" s="295"/>
      <c r="O308" s="333"/>
      <c r="P308" s="324"/>
      <c r="T308" s="334"/>
      <c r="V308" s="336"/>
      <c r="W308"/>
    </row>
    <row r="309" spans="1:23" x14ac:dyDescent="0.35">
      <c r="A309" s="294"/>
      <c r="B309" s="295"/>
      <c r="J309" s="825"/>
      <c r="K309" s="331"/>
      <c r="L309" s="332"/>
      <c r="N309" s="332"/>
      <c r="O309" s="333"/>
      <c r="P309" s="324"/>
      <c r="T309" s="334"/>
      <c r="V309" s="336"/>
      <c r="W309"/>
    </row>
    <row r="310" spans="1:23" x14ac:dyDescent="0.35">
      <c r="A310" s="342"/>
      <c r="B310" s="295"/>
      <c r="J310" s="825"/>
      <c r="K310" s="331"/>
      <c r="L310" s="332"/>
      <c r="N310" s="332"/>
      <c r="O310" s="333"/>
      <c r="P310" s="324"/>
      <c r="T310" s="334"/>
      <c r="V310" s="336"/>
      <c r="W310"/>
    </row>
    <row r="311" spans="1:23" x14ac:dyDescent="0.35">
      <c r="A311" s="294"/>
      <c r="B311" s="295"/>
      <c r="K311" s="328"/>
      <c r="L311" s="328"/>
      <c r="O311" s="333"/>
      <c r="P311" s="324"/>
      <c r="T311" s="334"/>
      <c r="V311" s="336"/>
      <c r="W311"/>
    </row>
    <row r="312" spans="1:23" x14ac:dyDescent="0.35">
      <c r="A312" s="342"/>
      <c r="T312" s="334"/>
      <c r="V312" s="336"/>
      <c r="W312"/>
    </row>
    <row r="313" spans="1:23" x14ac:dyDescent="0.35">
      <c r="A313" s="29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42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42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361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307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5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5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5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5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  <row r="325" spans="1:23" x14ac:dyDescent="0.35">
      <c r="A325" s="294"/>
      <c r="B325" s="354"/>
      <c r="C325" s="601"/>
      <c r="D325" s="354"/>
      <c r="E325" s="355"/>
      <c r="F325" s="1235"/>
      <c r="G325" s="814"/>
      <c r="H325" s="360"/>
      <c r="I325" s="358"/>
      <c r="J325" s="814"/>
      <c r="K325"/>
      <c r="L325"/>
      <c r="M325" s="580"/>
      <c r="N325"/>
      <c r="Q325" s="679"/>
      <c r="R325" s="334"/>
      <c r="T325" s="334"/>
      <c r="V325" s="336"/>
      <c r="W325"/>
    </row>
    <row r="326" spans="1:23" x14ac:dyDescent="0.35">
      <c r="A326" s="294"/>
      <c r="B326" s="354"/>
      <c r="C326" s="601"/>
      <c r="D326" s="354"/>
      <c r="E326" s="355"/>
      <c r="F326" s="1235"/>
      <c r="G326" s="814"/>
      <c r="H326" s="360"/>
      <c r="I326" s="358"/>
      <c r="J326" s="814"/>
      <c r="K326"/>
      <c r="L326"/>
      <c r="M326" s="580"/>
      <c r="N326"/>
      <c r="Q326" s="679"/>
      <c r="R326" s="334"/>
      <c r="T326" s="334"/>
      <c r="V326" s="336"/>
      <c r="W326"/>
    </row>
  </sheetData>
  <sortState ref="A9:Z10">
    <sortCondition ref="F9:F10"/>
  </sortState>
  <mergeCells count="30">
    <mergeCell ref="T80:T81"/>
    <mergeCell ref="U80:U81"/>
    <mergeCell ref="A78:A79"/>
    <mergeCell ref="C78:C79"/>
    <mergeCell ref="H78:H79"/>
    <mergeCell ref="G293:I293"/>
    <mergeCell ref="M13:N13"/>
    <mergeCell ref="A76:A77"/>
    <mergeCell ref="C76:C77"/>
    <mergeCell ref="H76:H77"/>
    <mergeCell ref="C14:C15"/>
    <mergeCell ref="C19:C20"/>
    <mergeCell ref="H19:H20"/>
    <mergeCell ref="I19:I20"/>
    <mergeCell ref="A1:K2"/>
    <mergeCell ref="T1:U2"/>
    <mergeCell ref="X1:Y1"/>
    <mergeCell ref="P3:Q3"/>
    <mergeCell ref="I78:I79"/>
    <mergeCell ref="P78:P79"/>
    <mergeCell ref="Q78:Q79"/>
    <mergeCell ref="I76:I77"/>
    <mergeCell ref="P76:P77"/>
    <mergeCell ref="Q76:Q77"/>
    <mergeCell ref="P73:P74"/>
    <mergeCell ref="Q73:Q74"/>
    <mergeCell ref="A73:A74"/>
    <mergeCell ref="C73:C74"/>
    <mergeCell ref="I73:I74"/>
    <mergeCell ref="H73:H7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I1" workbookViewId="0">
      <selection activeCell="K15" sqref="K15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956" bestFit="1" customWidth="1"/>
    <col min="18" max="18" width="18.42578125" style="1592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204" t="s">
        <v>743</v>
      </c>
      <c r="L1" s="895"/>
      <c r="M1" s="2206" t="s">
        <v>744</v>
      </c>
      <c r="N1" s="1448"/>
      <c r="P1" s="1241" t="s">
        <v>745</v>
      </c>
      <c r="Q1" s="2248" t="s">
        <v>746</v>
      </c>
      <c r="R1" s="1564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205"/>
      <c r="L2" s="1245" t="s">
        <v>753</v>
      </c>
      <c r="M2" s="2207"/>
      <c r="N2" s="1454" t="s">
        <v>753</v>
      </c>
      <c r="O2" s="1443" t="s">
        <v>11</v>
      </c>
      <c r="P2" s="1246" t="s">
        <v>754</v>
      </c>
      <c r="Q2" s="2249"/>
      <c r="R2" s="1565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566"/>
      <c r="R3" s="1567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'COMBOS  DICIEMBRE  2023    '!B4</f>
        <v xml:space="preserve">SAM FARMS </v>
      </c>
      <c r="C4" s="1380" t="str">
        <f>'COMBOS  DICIEMBRE  2023    '!C4</f>
        <v xml:space="preserve">I B P </v>
      </c>
      <c r="D4" s="1398" t="str">
        <f>'COMBOS  DICIEMBRE  2023    '!D4</f>
        <v>PED. 16793843</v>
      </c>
      <c r="E4" s="1399">
        <f>'COMBOS  DICIEMBRE  2023    '!E4</f>
        <v>45262</v>
      </c>
      <c r="F4" s="1400">
        <f>'COMBOS  DICIEMBRE  2023    '!F4</f>
        <v>18350.28</v>
      </c>
      <c r="G4" s="599">
        <f>'COMBOS  DICIEMBRE  2023    '!G4</f>
        <v>20</v>
      </c>
      <c r="H4" s="1401">
        <f>'COMBOS  DICIEMBRE  2023    '!H4</f>
        <v>18395.849999999999</v>
      </c>
      <c r="I4" s="1402">
        <f>'COMBOS  DICIEMBRE  2023    '!I4</f>
        <v>-45.569999999999709</v>
      </c>
      <c r="J4" s="1609">
        <f>'COMBOS  DICIEMBRE  2023    '!K6</f>
        <v>11877</v>
      </c>
      <c r="K4" s="1632">
        <v>12424</v>
      </c>
      <c r="L4" s="1265" t="s">
        <v>932</v>
      </c>
      <c r="M4" s="1633">
        <v>35840</v>
      </c>
      <c r="N4" s="1446" t="s">
        <v>932</v>
      </c>
      <c r="O4" s="1439">
        <v>112247</v>
      </c>
      <c r="P4" s="1253"/>
      <c r="Q4" s="1568">
        <f>38962.15*17.295</f>
        <v>673850.38425000012</v>
      </c>
      <c r="R4" s="1578" t="s">
        <v>928</v>
      </c>
      <c r="S4" s="898">
        <f>Q4</f>
        <v>673850.38425000012</v>
      </c>
      <c r="T4" s="898">
        <f>S4/H4</f>
        <v>36.63056527695106</v>
      </c>
      <c r="U4" s="1254"/>
    </row>
    <row r="5" spans="1:29" s="336" customFormat="1" ht="40.5" customHeight="1" x14ac:dyDescent="0.3">
      <c r="A5" s="313">
        <v>2</v>
      </c>
      <c r="B5" s="1328" t="str">
        <f>'COMBOS  DICIEMBRE  2023    '!B5</f>
        <v>SAM FARMS</v>
      </c>
      <c r="C5" s="1379" t="str">
        <f>'COMBOS  DICIEMBRE  2023    '!C5</f>
        <v xml:space="preserve">I B P </v>
      </c>
      <c r="D5" s="1398" t="str">
        <f>'COMBOS  DICIEMBRE  2023    '!D5</f>
        <v>PED. 107050681</v>
      </c>
      <c r="E5" s="1399">
        <f>'COMBOS  DICIEMBRE  2023    '!E5</f>
        <v>45268</v>
      </c>
      <c r="F5" s="1403">
        <f>'COMBOS  DICIEMBRE  2023    '!F5</f>
        <v>18648.18</v>
      </c>
      <c r="G5" s="1404">
        <f>'COMBOS  DICIEMBRE  2023    '!G5</f>
        <v>20</v>
      </c>
      <c r="H5" s="1405">
        <f>'COMBOS  DICIEMBRE  2023    '!H5</f>
        <v>18713.32</v>
      </c>
      <c r="I5" s="1406">
        <f>'COMBOS  DICIEMBRE  2023    '!I5</f>
        <v>-65.139999999999418</v>
      </c>
      <c r="J5" s="1609">
        <f>'COMBOS  DICIEMBRE  2023    '!U6</f>
        <v>11942</v>
      </c>
      <c r="K5" s="1316">
        <v>12434</v>
      </c>
      <c r="L5" s="1551" t="s">
        <v>935</v>
      </c>
      <c r="M5" s="1633">
        <v>35840</v>
      </c>
      <c r="N5" s="1446" t="s">
        <v>935</v>
      </c>
      <c r="O5" s="1439">
        <v>12280</v>
      </c>
      <c r="P5" s="1253"/>
      <c r="Q5" s="1568">
        <f>41841.84*17.65</f>
        <v>738508.47599999991</v>
      </c>
      <c r="R5" s="1578" t="s">
        <v>929</v>
      </c>
      <c r="S5" s="898">
        <f>Q5+M5+K5+P5</f>
        <v>786782.47599999991</v>
      </c>
      <c r="T5" s="898">
        <f>S5/H5+0.1</f>
        <v>42.143981292469746</v>
      </c>
      <c r="U5" s="1256"/>
    </row>
    <row r="6" spans="1:29" s="336" customFormat="1" ht="30" customHeight="1" x14ac:dyDescent="0.3">
      <c r="A6" s="313">
        <v>3</v>
      </c>
      <c r="B6" s="1379" t="str">
        <f>'COMBOS  DICIEMBRE  2023    '!B6</f>
        <v>ALFONSO ESPINDOLA</v>
      </c>
      <c r="C6" s="1379" t="str">
        <f>'COMBOS  DICIEMBRE  2023    '!C6</f>
        <v>Seaboard</v>
      </c>
      <c r="D6" s="1398" t="str">
        <f>'COMBOS  DICIEMBRE  2023    '!D6</f>
        <v xml:space="preserve">PED. </v>
      </c>
      <c r="E6" s="1399">
        <f>'COMBOS  DICIEMBRE  2023    '!E6</f>
        <v>45271</v>
      </c>
      <c r="F6" s="1403">
        <f>'COMBOS  DICIEMBRE  2023    '!F6</f>
        <v>19087.48</v>
      </c>
      <c r="G6" s="1404">
        <f>'COMBOS  DICIEMBRE  2023    '!G6</f>
        <v>21</v>
      </c>
      <c r="H6" s="1405">
        <f>'COMBOS  DICIEMBRE  2023    '!H6</f>
        <v>19186.5</v>
      </c>
      <c r="I6" s="1406">
        <f>'COMBOS  DICIEMBRE  2023    '!I6</f>
        <v>-99.020000000000437</v>
      </c>
      <c r="J6" s="1610" t="str">
        <f>'COMBOS  DICIEMBRE  2023    '!AE6</f>
        <v>F-4467</v>
      </c>
      <c r="K6" s="1632"/>
      <c r="L6" s="1265"/>
      <c r="M6" s="1633"/>
      <c r="N6" s="1446"/>
      <c r="O6" s="1439">
        <v>4467</v>
      </c>
      <c r="P6" s="1253"/>
      <c r="Q6" s="1040">
        <v>777061</v>
      </c>
      <c r="R6" s="1569" t="s">
        <v>952</v>
      </c>
      <c r="S6" s="898">
        <f t="shared" si="0"/>
        <v>777061</v>
      </c>
      <c r="T6" s="898">
        <f>S6/H6+0</f>
        <v>40.500403929846506</v>
      </c>
      <c r="U6" s="1254"/>
    </row>
    <row r="7" spans="1:29" s="336" customFormat="1" ht="34.5" customHeight="1" x14ac:dyDescent="0.35">
      <c r="A7" s="313">
        <v>4</v>
      </c>
      <c r="B7" s="1379" t="str">
        <f>'COMBOS  DICIEMBRE  2023    '!B7</f>
        <v>SAM FARMS</v>
      </c>
      <c r="C7" s="1379" t="str">
        <f>'COMBOS  DICIEMBRE  2023    '!C7</f>
        <v>I B P</v>
      </c>
      <c r="D7" s="1398" t="str">
        <f>'COMBOS  DICIEMBRE  2023    '!D7</f>
        <v>PED. 107354738</v>
      </c>
      <c r="E7" s="1399">
        <f>'COMBOS  DICIEMBRE  2023    '!E7</f>
        <v>45275</v>
      </c>
      <c r="F7" s="1403">
        <f>'COMBOS  DICIEMBRE  2023    '!F7</f>
        <v>18495.080000000002</v>
      </c>
      <c r="G7" s="1404">
        <f>'COMBOS  DICIEMBRE  2023    '!G7</f>
        <v>20</v>
      </c>
      <c r="H7" s="1405">
        <f>'COMBOS  DICIEMBRE  2023    '!H7</f>
        <v>18575.43</v>
      </c>
      <c r="I7" s="1406">
        <f>'C O M B O S   NOVIEMBRE 2023'!AV5</f>
        <v>-151.64999999999782</v>
      </c>
      <c r="J7" s="1611">
        <f>'COMBOS  DICIEMBRE  2023    '!AO6</f>
        <v>11945</v>
      </c>
      <c r="K7" s="1632">
        <v>12434</v>
      </c>
      <c r="L7" s="1265" t="s">
        <v>936</v>
      </c>
      <c r="M7" s="1633">
        <v>35840</v>
      </c>
      <c r="N7" s="1446" t="s">
        <v>937</v>
      </c>
      <c r="O7" s="1439">
        <v>12308</v>
      </c>
      <c r="P7" s="1253"/>
      <c r="Q7" s="1040">
        <f>40804.57*17.237</f>
        <v>703348.37308999989</v>
      </c>
      <c r="R7" s="1570" t="s">
        <v>950</v>
      </c>
      <c r="S7" s="898">
        <f t="shared" si="0"/>
        <v>751622.37308999989</v>
      </c>
      <c r="T7" s="898">
        <f t="shared" ref="T7:T35" si="1">S7/H7+0.1</f>
        <v>40.563255660299646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'COMBOS  DICIEMBRE  2023    '!B8</f>
        <v xml:space="preserve">SAM FARMS </v>
      </c>
      <c r="C8" s="1381" t="str">
        <f>'COMBOS  DICIEMBRE  2023    '!C8</f>
        <v xml:space="preserve">I B P </v>
      </c>
      <c r="D8" s="1398" t="str">
        <f>'COMBOS  DICIEMBRE  2023    '!BA5</f>
        <v>PED. 107725529</v>
      </c>
      <c r="E8" s="1399">
        <f>'COMBOS  DICIEMBRE  2023    '!BB5</f>
        <v>45283</v>
      </c>
      <c r="F8" s="1403">
        <f>'COMBOS  DICIEMBRE  2023    '!BC5</f>
        <v>18620.88</v>
      </c>
      <c r="G8" s="1404">
        <f>'COMBOS  DICIEMBRE  2023    '!BD5</f>
        <v>20</v>
      </c>
      <c r="H8" s="1405">
        <f>'COMBOS  DICIEMBRE  2023    '!BE5</f>
        <v>18661.150000000001</v>
      </c>
      <c r="I8" s="1406">
        <f>'COMBOS  DICIEMBRE  2023    '!BF5</f>
        <v>-40.270000000000437</v>
      </c>
      <c r="J8" s="1628">
        <f>'COMBOS  DICIEMBRE  2023    '!AY6</f>
        <v>11948</v>
      </c>
      <c r="K8" s="1632">
        <v>11424</v>
      </c>
      <c r="L8" s="1261" t="s">
        <v>958</v>
      </c>
      <c r="M8" s="1633">
        <v>38840</v>
      </c>
      <c r="N8" s="1446" t="s">
        <v>958</v>
      </c>
      <c r="O8" s="506">
        <v>12335</v>
      </c>
      <c r="P8" s="1253"/>
      <c r="Q8" s="1040">
        <f>37796.24*16.955</f>
        <v>640835.24919999985</v>
      </c>
      <c r="R8" s="1570" t="s">
        <v>949</v>
      </c>
      <c r="S8" s="898">
        <f t="shared" si="0"/>
        <v>691099.24919999985</v>
      </c>
      <c r="T8" s="898">
        <f t="shared" si="1"/>
        <v>37.134118969088178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>
        <f>'COMBOS  DICIEMBRE  2023    '!B9</f>
        <v>0</v>
      </c>
      <c r="C9" s="1379"/>
      <c r="D9" s="1398"/>
      <c r="E9" s="1399"/>
      <c r="F9" s="1403"/>
      <c r="G9" s="1404"/>
      <c r="H9" s="1405"/>
      <c r="I9" s="1406">
        <f>'C O M B O S   NOVIEMBRE 2023'!AV7</f>
        <v>0</v>
      </c>
      <c r="J9" s="1628"/>
      <c r="K9" s="1632"/>
      <c r="L9" s="1263"/>
      <c r="M9" s="1633"/>
      <c r="N9" s="1445"/>
      <c r="O9" s="1439"/>
      <c r="P9" s="1253"/>
      <c r="Q9" s="210"/>
      <c r="R9" s="1571"/>
      <c r="S9" s="898">
        <f>Q9+M9+K9</f>
        <v>0</v>
      </c>
      <c r="T9" s="898" t="e">
        <f t="shared" si="1"/>
        <v>#DIV/0!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628"/>
      <c r="K10" s="1632"/>
      <c r="L10" s="1263"/>
      <c r="M10" s="1633"/>
      <c r="N10" s="1445"/>
      <c r="O10" s="1439"/>
      <c r="P10" s="1253"/>
      <c r="Q10" s="1572"/>
      <c r="R10" s="1573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629"/>
      <c r="K11" s="1632"/>
      <c r="L11" s="1263"/>
      <c r="M11" s="1633"/>
      <c r="N11" s="1445"/>
      <c r="O11" s="506"/>
      <c r="P11" s="1253"/>
      <c r="Q11" s="1568"/>
      <c r="R11" s="157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630"/>
      <c r="K12" s="1632"/>
      <c r="L12" s="1265"/>
      <c r="M12" s="1633"/>
      <c r="N12" s="1445"/>
      <c r="O12" s="506"/>
      <c r="P12" s="1253"/>
      <c r="Q12" s="1568"/>
      <c r="R12" s="157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631"/>
      <c r="K13" s="1632"/>
      <c r="L13" s="1265"/>
      <c r="M13" s="1260"/>
      <c r="N13" s="1445"/>
      <c r="O13" s="506"/>
      <c r="P13" s="1267"/>
      <c r="Q13" s="210"/>
      <c r="R13" s="157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210"/>
      <c r="R14" s="1575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210"/>
      <c r="R15" s="1576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568"/>
      <c r="R16" s="157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568"/>
      <c r="R17" s="157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568"/>
      <c r="R18" s="1575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568"/>
      <c r="R19" s="1577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568"/>
      <c r="R20" s="1577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568"/>
      <c r="R21" s="1577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568"/>
      <c r="R22" s="1577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568"/>
      <c r="R23" s="1577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568"/>
      <c r="R24" s="1577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568"/>
      <c r="R25" s="1577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568"/>
      <c r="R26" s="144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572"/>
      <c r="R27" s="15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568"/>
      <c r="R28" s="144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572"/>
      <c r="R29" s="15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568"/>
      <c r="R30" s="144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572"/>
      <c r="R31" s="144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568"/>
      <c r="R32" s="144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572"/>
      <c r="R33" s="144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0"/>
      <c r="R34" s="1569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210"/>
      <c r="R35" s="144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210"/>
      <c r="R36" s="1579"/>
      <c r="S36" s="898">
        <f t="shared" ref="S36:S49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580"/>
      <c r="R37" s="164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581"/>
      <c r="R38" s="1582"/>
      <c r="S38" s="898">
        <f t="shared" si="5"/>
        <v>0</v>
      </c>
      <c r="T38" s="898" t="e">
        <f t="shared" ref="T38:T46" si="8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583"/>
      <c r="R39" s="1584"/>
      <c r="S39" s="898">
        <f t="shared" si="5"/>
        <v>0</v>
      </c>
      <c r="T39" s="898" t="e">
        <f t="shared" si="8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583"/>
      <c r="R40" s="1584"/>
      <c r="S40" s="898">
        <f t="shared" si="5"/>
        <v>0</v>
      </c>
      <c r="T40" s="898" t="e">
        <f t="shared" si="8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583"/>
      <c r="R41" s="1585"/>
      <c r="S41" s="898">
        <f t="shared" si="5"/>
        <v>0</v>
      </c>
      <c r="T41" s="898" t="e">
        <f t="shared" si="8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583"/>
      <c r="R42" s="1585"/>
      <c r="S42" s="898">
        <f t="shared" si="5"/>
        <v>0</v>
      </c>
      <c r="T42" s="898" t="e">
        <f t="shared" si="8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956"/>
      <c r="R43" s="1586"/>
      <c r="S43" s="898">
        <f t="shared" si="5"/>
        <v>0</v>
      </c>
      <c r="T43" s="898" t="e">
        <f t="shared" si="8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956"/>
      <c r="R44" s="1586"/>
      <c r="S44" s="898">
        <f t="shared" si="5"/>
        <v>0</v>
      </c>
      <c r="T44" s="898" t="e">
        <f t="shared" si="8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956"/>
      <c r="R45" s="1586"/>
      <c r="S45" s="898">
        <f t="shared" si="5"/>
        <v>0</v>
      </c>
      <c r="T45" s="898" t="e">
        <f t="shared" si="8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956"/>
      <c r="R46" s="1586"/>
      <c r="S46" s="898">
        <f t="shared" si="5"/>
        <v>0</v>
      </c>
      <c r="T46" s="898" t="e">
        <f t="shared" si="8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956"/>
      <c r="R47" s="1586"/>
      <c r="S47" s="898">
        <f t="shared" si="5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587"/>
      <c r="R48" s="1582"/>
      <c r="S48" s="898">
        <f t="shared" si="5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587"/>
      <c r="R49" s="1588"/>
      <c r="S49" s="898">
        <f t="shared" si="5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956"/>
      <c r="R50" s="1589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81</v>
      </c>
      <c r="H51" s="1426">
        <f>SUM(H3:H50)</f>
        <v>93532.25</v>
      </c>
      <c r="I51" s="1427">
        <f>[1]PIERNA!I37</f>
        <v>0</v>
      </c>
      <c r="J51" s="1308"/>
      <c r="K51" s="1309">
        <f>SUM(K5:K50)</f>
        <v>36292</v>
      </c>
      <c r="L51" s="1310"/>
      <c r="M51" s="1309">
        <f>SUM(M5:M50)</f>
        <v>110520</v>
      </c>
      <c r="N51" s="1452"/>
      <c r="O51" s="1444"/>
      <c r="P51" s="1311"/>
      <c r="Q51" s="1590">
        <f>SUM(Q5:Q50)</f>
        <v>2859753.0982899996</v>
      </c>
      <c r="R51" s="1591"/>
      <c r="S51" s="909">
        <f>Q51+M51+K51</f>
        <v>3006565.0982899996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956"/>
      <c r="R52" s="1592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T1" workbookViewId="0">
      <selection activeCell="AV16" sqref="AV16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6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11" t="s">
        <v>913</v>
      </c>
      <c r="L1" s="2211"/>
      <c r="M1" s="2211"/>
      <c r="N1" s="2211"/>
      <c r="O1" s="2211"/>
      <c r="P1" s="2211"/>
      <c r="Q1" s="2211"/>
      <c r="R1" s="1111">
        <f>I1+1</f>
        <v>1</v>
      </c>
      <c r="S1" s="1111"/>
      <c r="U1" s="2210" t="str">
        <f>K1</f>
        <v>ENTRADAS DEL MES DE  DICIEMBRE   2023</v>
      </c>
      <c r="V1" s="2210"/>
      <c r="W1" s="2210"/>
      <c r="X1" s="2210"/>
      <c r="Y1" s="2210"/>
      <c r="Z1" s="2210"/>
      <c r="AA1" s="2210"/>
      <c r="AB1" s="1111">
        <f>R1+1</f>
        <v>2</v>
      </c>
      <c r="AC1" s="1112"/>
      <c r="AE1" s="2210" t="str">
        <f>U1</f>
        <v>ENTRADAS DEL MES DE  DICIEMBRE   2023</v>
      </c>
      <c r="AF1" s="2210"/>
      <c r="AG1" s="2210"/>
      <c r="AH1" s="2210"/>
      <c r="AI1" s="2210"/>
      <c r="AJ1" s="2210"/>
      <c r="AK1" s="2210"/>
      <c r="AL1" s="1111">
        <f>AB1+1</f>
        <v>3</v>
      </c>
      <c r="AM1" s="1111"/>
      <c r="AO1" s="2210" t="str">
        <f>AE1</f>
        <v>ENTRADAS DEL MES DE  DICIEMBRE   2023</v>
      </c>
      <c r="AP1" s="2210"/>
      <c r="AQ1" s="2210"/>
      <c r="AR1" s="2210"/>
      <c r="AS1" s="2210"/>
      <c r="AT1" s="2210"/>
      <c r="AU1" s="2210"/>
      <c r="AV1" s="1111">
        <f>AL1+1</f>
        <v>4</v>
      </c>
      <c r="AW1" s="1112"/>
      <c r="AY1" s="2210" t="str">
        <f>AO1</f>
        <v>ENTRADAS DEL MES DE  DICIEMBRE   2023</v>
      </c>
      <c r="AZ1" s="2210"/>
      <c r="BA1" s="2210"/>
      <c r="BB1" s="2210"/>
      <c r="BC1" s="2210"/>
      <c r="BD1" s="2210"/>
      <c r="BE1" s="2210"/>
      <c r="BF1" s="1111">
        <f>AV1+1</f>
        <v>5</v>
      </c>
      <c r="BG1" s="1112"/>
      <c r="BI1" s="2210" t="str">
        <f>AY1</f>
        <v>ENTRADAS DEL MES DE  DICIEMBRE   2023</v>
      </c>
      <c r="BJ1" s="2210"/>
      <c r="BK1" s="2210"/>
      <c r="BL1" s="2210"/>
      <c r="BM1" s="2210"/>
      <c r="BN1" s="2210"/>
      <c r="BO1" s="2210"/>
      <c r="BP1" s="1111">
        <f>BF1+1</f>
        <v>6</v>
      </c>
      <c r="BQ1" s="1112"/>
      <c r="BS1" s="2210" t="str">
        <f>BI1</f>
        <v>ENTRADAS DEL MES DE  DICIEMBRE   2023</v>
      </c>
      <c r="BT1" s="2210"/>
      <c r="BU1" s="2210"/>
      <c r="BV1" s="2210"/>
      <c r="BW1" s="2210"/>
      <c r="BX1" s="2210"/>
      <c r="BY1" s="2210"/>
      <c r="BZ1" s="1111">
        <f>BP1+1</f>
        <v>7</v>
      </c>
      <c r="CA1" s="1204"/>
      <c r="CC1" s="2210" t="str">
        <f>BS1</f>
        <v>ENTRADAS DEL MES DE  DICIEMBRE   2023</v>
      </c>
      <c r="CD1" s="2210"/>
      <c r="CE1" s="2210"/>
      <c r="CF1" s="2210"/>
      <c r="CG1" s="2210"/>
      <c r="CH1" s="2210"/>
      <c r="CI1" s="2210"/>
      <c r="CJ1" s="1111">
        <f>BZ1+1</f>
        <v>8</v>
      </c>
      <c r="CK1" s="1204"/>
      <c r="CM1" s="2210" t="str">
        <f>CC1</f>
        <v>ENTRADAS DEL MES DE  DICIEMBRE   2023</v>
      </c>
      <c r="CN1" s="2210"/>
      <c r="CO1" s="2210"/>
      <c r="CP1" s="2210"/>
      <c r="CQ1" s="2210"/>
      <c r="CR1" s="2210"/>
      <c r="CS1" s="2210"/>
      <c r="CT1" s="1111">
        <f>CJ1+1</f>
        <v>9</v>
      </c>
      <c r="CU1" s="1112"/>
      <c r="CW1" s="2210" t="str">
        <f>CM1</f>
        <v>ENTRADAS DEL MES DE  DICIEMBRE   2023</v>
      </c>
      <c r="CX1" s="2210"/>
      <c r="CY1" s="2210"/>
      <c r="CZ1" s="2210"/>
      <c r="DA1" s="2210"/>
      <c r="DB1" s="2210"/>
      <c r="DC1" s="2210"/>
      <c r="DD1" s="1111">
        <f>CT1+1</f>
        <v>10</v>
      </c>
      <c r="DE1" s="1112"/>
      <c r="DG1" s="2210" t="str">
        <f>CW1</f>
        <v>ENTRADAS DEL MES DE  DICIEMBRE   2023</v>
      </c>
      <c r="DH1" s="2210"/>
      <c r="DI1" s="2210"/>
      <c r="DJ1" s="2210"/>
      <c r="DK1" s="2210"/>
      <c r="DL1" s="2210"/>
      <c r="DM1" s="2210"/>
      <c r="DN1" s="1111">
        <f>DD1+1</f>
        <v>11</v>
      </c>
      <c r="DO1" s="1112"/>
      <c r="DQ1" s="2210" t="str">
        <f>DG1</f>
        <v>ENTRADAS DEL MES DE  DICIEMBRE   2023</v>
      </c>
      <c r="DR1" s="2210"/>
      <c r="DS1" s="2210"/>
      <c r="DT1" s="2210"/>
      <c r="DU1" s="2210"/>
      <c r="DV1" s="2210"/>
      <c r="DW1" s="2210"/>
      <c r="DX1" s="1111">
        <f>DN1+1</f>
        <v>12</v>
      </c>
      <c r="DY1" s="1204"/>
      <c r="EA1" s="2210" t="str">
        <f>DQ1</f>
        <v>ENTRADAS DEL MES DE  DICIEMBRE   2023</v>
      </c>
      <c r="EB1" s="2210"/>
      <c r="EC1" s="2210"/>
      <c r="ED1" s="2210"/>
      <c r="EE1" s="2210"/>
      <c r="EF1" s="2210"/>
      <c r="EG1" s="2210"/>
      <c r="EH1" s="1111">
        <f>DX1+1</f>
        <v>13</v>
      </c>
      <c r="EI1" s="1112"/>
      <c r="EK1" s="2210" t="str">
        <f>EA1</f>
        <v>ENTRADAS DEL MES DE  DICIEMBRE   2023</v>
      </c>
      <c r="EL1" s="2210"/>
      <c r="EM1" s="2210"/>
      <c r="EN1" s="2210"/>
      <c r="EO1" s="2210"/>
      <c r="EP1" s="2210"/>
      <c r="EQ1" s="2210"/>
      <c r="ER1" s="1111">
        <f>EH1+1</f>
        <v>14</v>
      </c>
      <c r="ES1" s="1112"/>
      <c r="EU1" s="2210" t="str">
        <f>EK1</f>
        <v>ENTRADAS DEL MES DE  DICIEMBRE   2023</v>
      </c>
      <c r="EV1" s="2210"/>
      <c r="EW1" s="2210"/>
      <c r="EX1" s="2210"/>
      <c r="EY1" s="2210"/>
      <c r="EZ1" s="2210"/>
      <c r="FA1" s="2210"/>
      <c r="FB1" s="1111">
        <f>ER1+1</f>
        <v>15</v>
      </c>
      <c r="FC1" s="1112"/>
      <c r="FE1" s="2210" t="str">
        <f>EU1</f>
        <v>ENTRADAS DEL MES DE  DICIEMBRE   2023</v>
      </c>
      <c r="FF1" s="2210"/>
      <c r="FG1" s="2210"/>
      <c r="FH1" s="2210"/>
      <c r="FI1" s="2210"/>
      <c r="FJ1" s="2210"/>
      <c r="FK1" s="2210"/>
      <c r="FL1" s="1111">
        <f>FB1+1</f>
        <v>16</v>
      </c>
      <c r="FM1" s="1112"/>
      <c r="FO1" s="2210" t="str">
        <f>FE1</f>
        <v>ENTRADAS DEL MES DE  DICIEMBRE   2023</v>
      </c>
      <c r="FP1" s="2210"/>
      <c r="FQ1" s="2210"/>
      <c r="FR1" s="2210"/>
      <c r="FS1" s="2210"/>
      <c r="FT1" s="2210"/>
      <c r="FU1" s="2210"/>
      <c r="FV1" s="1111">
        <f>FL1+1</f>
        <v>17</v>
      </c>
      <c r="FW1" s="1112"/>
      <c r="FY1" s="2210" t="str">
        <f>FO1</f>
        <v>ENTRADAS DEL MES DE  DICIEMBRE   2023</v>
      </c>
      <c r="FZ1" s="2210"/>
      <c r="GA1" s="2210"/>
      <c r="GB1" s="2210"/>
      <c r="GC1" s="2210"/>
      <c r="GD1" s="2210"/>
      <c r="GE1" s="2210"/>
      <c r="GF1" s="1111">
        <f>FV1+1</f>
        <v>18</v>
      </c>
      <c r="GG1" s="1112"/>
      <c r="GH1" s="1042" t="s">
        <v>793</v>
      </c>
      <c r="GI1" s="2210" t="str">
        <f>FY1</f>
        <v>ENTRADAS DEL MES DE  DICIEMBRE   2023</v>
      </c>
      <c r="GJ1" s="2210"/>
      <c r="GK1" s="2210"/>
      <c r="GL1" s="2210"/>
      <c r="GM1" s="2210"/>
      <c r="GN1" s="2210"/>
      <c r="GO1" s="2210"/>
      <c r="GP1" s="1111">
        <f>GF1+1</f>
        <v>19</v>
      </c>
      <c r="GQ1" s="1112"/>
      <c r="GS1" s="2210" t="str">
        <f>GI1</f>
        <v>ENTRADAS DEL MES DE  DICIEMBRE   2023</v>
      </c>
      <c r="GT1" s="2210"/>
      <c r="GU1" s="2210"/>
      <c r="GV1" s="2210"/>
      <c r="GW1" s="2210"/>
      <c r="GX1" s="2210"/>
      <c r="GY1" s="2210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22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 xml:space="preserve">I B P </v>
      </c>
      <c r="D4" s="1127" t="str">
        <f t="shared" si="0"/>
        <v>PED. 16793843</v>
      </c>
      <c r="E4" s="1128">
        <f t="shared" si="0"/>
        <v>45262</v>
      </c>
      <c r="F4" s="1129">
        <f t="shared" si="0"/>
        <v>18350.28</v>
      </c>
      <c r="G4" s="3">
        <f t="shared" si="0"/>
        <v>20</v>
      </c>
      <c r="H4" s="333">
        <f t="shared" si="0"/>
        <v>18395.849999999999</v>
      </c>
      <c r="I4" s="915">
        <f t="shared" si="0"/>
        <v>-45.569999999999709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2.5" customHeight="1" x14ac:dyDescent="0.3">
      <c r="A5" s="1113">
        <v>2</v>
      </c>
      <c r="B5" s="1042" t="str">
        <f t="shared" ref="B5:H5" si="1">U5</f>
        <v>SAM FARMS</v>
      </c>
      <c r="C5" s="1042" t="str">
        <f t="shared" si="1"/>
        <v xml:space="preserve">I B P </v>
      </c>
      <c r="D5" s="1125" t="str">
        <f t="shared" si="1"/>
        <v>PED. 107050681</v>
      </c>
      <c r="E5" s="1126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5">
        <f>AB5</f>
        <v>-65.139999999999418</v>
      </c>
      <c r="K5" s="1053" t="s">
        <v>795</v>
      </c>
      <c r="L5" s="1503" t="s">
        <v>759</v>
      </c>
      <c r="M5" s="1137" t="s">
        <v>914</v>
      </c>
      <c r="N5" s="1055">
        <v>45262</v>
      </c>
      <c r="O5" s="1056">
        <v>18350.28</v>
      </c>
      <c r="P5" s="1057">
        <v>20</v>
      </c>
      <c r="Q5" s="1059">
        <v>18395.849999999999</v>
      </c>
      <c r="R5" s="1051">
        <f>O5-Q5</f>
        <v>-45.569999999999709</v>
      </c>
      <c r="S5" s="1052"/>
      <c r="U5" s="1053" t="s">
        <v>758</v>
      </c>
      <c r="V5" s="1552" t="s">
        <v>759</v>
      </c>
      <c r="W5" s="1054" t="s">
        <v>917</v>
      </c>
      <c r="X5" s="1055">
        <v>45268</v>
      </c>
      <c r="Y5" s="1056">
        <v>18648.18</v>
      </c>
      <c r="Z5" s="1057">
        <v>20</v>
      </c>
      <c r="AA5" s="1059">
        <v>18713.32</v>
      </c>
      <c r="AB5" s="1051">
        <f>Y5-AA5</f>
        <v>-65.139999999999418</v>
      </c>
      <c r="AC5" s="1052"/>
      <c r="AE5" s="1139" t="s">
        <v>921</v>
      </c>
      <c r="AF5" s="1558" t="s">
        <v>771</v>
      </c>
      <c r="AG5" s="1554" t="s">
        <v>922</v>
      </c>
      <c r="AH5" s="1555">
        <v>45271</v>
      </c>
      <c r="AI5" s="1556">
        <v>19087.48</v>
      </c>
      <c r="AJ5" s="1227">
        <v>21</v>
      </c>
      <c r="AK5" s="1557">
        <v>19186.5</v>
      </c>
      <c r="AL5" s="1051">
        <f>AI5-AK5</f>
        <v>-99.020000000000437</v>
      </c>
      <c r="AM5" s="1051"/>
      <c r="AO5" s="1560" t="s">
        <v>758</v>
      </c>
      <c r="AP5" s="1559" t="s">
        <v>926</v>
      </c>
      <c r="AQ5" s="1554" t="s">
        <v>927</v>
      </c>
      <c r="AR5" s="1555">
        <v>45275</v>
      </c>
      <c r="AS5" s="1556">
        <v>18495.080000000002</v>
      </c>
      <c r="AT5" s="1227">
        <v>20</v>
      </c>
      <c r="AU5" s="1557">
        <v>18575.43</v>
      </c>
      <c r="AV5" s="1051">
        <f>AS5-AU5</f>
        <v>-80.349999999998545</v>
      </c>
      <c r="AW5" s="1051"/>
      <c r="AY5" s="1560" t="s">
        <v>795</v>
      </c>
      <c r="AZ5" s="1626" t="s">
        <v>759</v>
      </c>
      <c r="BA5" s="1554" t="s">
        <v>944</v>
      </c>
      <c r="BB5" s="1627">
        <v>45283</v>
      </c>
      <c r="BC5" s="1556">
        <v>18620.88</v>
      </c>
      <c r="BD5" s="1227">
        <v>20</v>
      </c>
      <c r="BE5" s="1557">
        <v>18661.150000000001</v>
      </c>
      <c r="BF5" s="1051">
        <f>BC5-BE5</f>
        <v>-40.270000000000437</v>
      </c>
      <c r="BG5" s="1052"/>
      <c r="BI5" s="1053"/>
      <c r="BJ5" s="1057"/>
      <c r="BK5" s="1054"/>
      <c r="BL5" s="1055"/>
      <c r="BM5" s="1056"/>
      <c r="BN5" s="1057"/>
      <c r="BO5" s="1059"/>
      <c r="BP5" s="1051">
        <f>BM5-BO5</f>
        <v>0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22.5" customHeight="1" thickBot="1" x14ac:dyDescent="0.35">
      <c r="A6" s="1113">
        <v>3</v>
      </c>
      <c r="B6" s="1042" t="str">
        <f t="shared" ref="B6:H6" si="2">AE5</f>
        <v>ALFONSO ESPINDOLA</v>
      </c>
      <c r="C6" s="1042" t="str">
        <f t="shared" si="2"/>
        <v>Seaboard</v>
      </c>
      <c r="D6" s="1125" t="str">
        <f t="shared" si="2"/>
        <v xml:space="preserve">PED. </v>
      </c>
      <c r="E6" s="1126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5">
        <f>AL5</f>
        <v>-99.020000000000437</v>
      </c>
      <c r="K6" s="1342">
        <v>11877</v>
      </c>
      <c r="L6" s="1060"/>
      <c r="M6" s="1053"/>
      <c r="N6" s="1053"/>
      <c r="O6" s="1053"/>
      <c r="P6" s="1053"/>
      <c r="Q6" s="1057"/>
      <c r="S6" s="2"/>
      <c r="U6" s="1342">
        <v>11942</v>
      </c>
      <c r="V6" s="1060"/>
      <c r="W6" s="1053"/>
      <c r="X6" s="1053"/>
      <c r="Y6" s="1053"/>
      <c r="Z6" s="1053"/>
      <c r="AA6" s="1057"/>
      <c r="AE6" s="1147" t="s">
        <v>923</v>
      </c>
      <c r="AF6" s="1060"/>
      <c r="AG6" s="1053"/>
      <c r="AH6" s="1053"/>
      <c r="AI6" s="1053"/>
      <c r="AJ6" s="1053"/>
      <c r="AK6" s="1057"/>
      <c r="AO6" s="1147">
        <v>11945</v>
      </c>
      <c r="AP6" s="1062"/>
      <c r="AQ6" s="1139"/>
      <c r="AR6" s="1139"/>
      <c r="AS6" s="1139"/>
      <c r="AT6" s="1139"/>
      <c r="AU6" s="1227"/>
      <c r="AW6" s="1042"/>
      <c r="AY6" s="1061">
        <v>11948</v>
      </c>
      <c r="AZ6" s="1060"/>
      <c r="BA6" s="1053"/>
      <c r="BB6" s="1053"/>
      <c r="BC6" s="1053"/>
      <c r="BD6" s="1053"/>
      <c r="BE6" s="1057"/>
      <c r="BI6" s="1061"/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22.5" customHeight="1" thickTop="1" thickBot="1" x14ac:dyDescent="0.3">
      <c r="A7" s="1113">
        <v>4</v>
      </c>
      <c r="B7" s="307" t="str">
        <f>AO5</f>
        <v>SAM FARMS</v>
      </c>
      <c r="C7" s="1042" t="str">
        <f t="shared" ref="C7:I7" si="3">AP5</f>
        <v>I B P</v>
      </c>
      <c r="D7" s="1125" t="str">
        <f t="shared" si="3"/>
        <v>PED. 107354738</v>
      </c>
      <c r="E7" s="1126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5">
        <f t="shared" si="3"/>
        <v>-80.349999999998545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22.5" customHeight="1" thickTop="1" x14ac:dyDescent="0.25">
      <c r="A8" s="1113">
        <v>5</v>
      </c>
      <c r="B8" s="1042" t="str">
        <f>AY5</f>
        <v xml:space="preserve">SAM FARMS </v>
      </c>
      <c r="C8" s="1042" t="str">
        <f t="shared" ref="C8:I8" si="4">AZ5</f>
        <v xml:space="preserve">I B P </v>
      </c>
      <c r="D8" s="1125" t="str">
        <f t="shared" si="4"/>
        <v>PED. 107725529</v>
      </c>
      <c r="E8" s="1126">
        <f t="shared" si="4"/>
        <v>45283</v>
      </c>
      <c r="F8" s="297">
        <f t="shared" si="4"/>
        <v>18620.88</v>
      </c>
      <c r="G8" s="3">
        <f t="shared" si="4"/>
        <v>20</v>
      </c>
      <c r="H8" s="333">
        <f t="shared" si="4"/>
        <v>18661.150000000001</v>
      </c>
      <c r="I8" s="915">
        <f t="shared" si="4"/>
        <v>-40.270000000000437</v>
      </c>
      <c r="K8" s="361"/>
      <c r="L8" s="1070"/>
      <c r="M8" s="1071">
        <v>1</v>
      </c>
      <c r="N8" s="1072">
        <v>931.67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891.76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913.1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941.65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917.16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/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ht="22.5" customHeight="1" x14ac:dyDescent="0.25">
      <c r="A9" s="1113">
        <v>6</v>
      </c>
      <c r="B9" s="1042">
        <f>BI5</f>
        <v>0</v>
      </c>
      <c r="C9" s="1042">
        <f t="shared" ref="C9:H9" si="6">BJ5</f>
        <v>0</v>
      </c>
      <c r="D9" s="1125">
        <f t="shared" si="6"/>
        <v>0</v>
      </c>
      <c r="E9" s="1126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5">
        <f>BP5</f>
        <v>0</v>
      </c>
      <c r="L9" s="1088"/>
      <c r="M9" s="1071">
        <v>2</v>
      </c>
      <c r="N9" s="1072">
        <v>942.56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899.02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911.3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948.91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946.19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/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ht="22.5" customHeight="1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929.86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949.82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898.6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958.89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933.49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/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ht="22.5" customHeight="1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896.29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951.63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924.9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937.12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953.45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/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ht="22.5" customHeight="1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893.57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928.04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915.8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935.3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918.97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/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ht="22.5" customHeight="1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897.28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968.87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909.4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951.63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934.4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/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ht="22.5" customHeight="1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910.81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928.04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904.9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918.07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934.4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/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ht="22.5" customHeight="1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920.79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920.79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906.7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930.77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936.2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/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ht="22.5" customHeight="1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921.69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947.1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924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908.99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918.97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/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916.25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921.69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913.1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937.12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936.21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/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921.69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924.42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922.1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921.69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923.51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/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938.02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966.15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915.8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918.07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908.09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/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961.61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947.1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909.4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943.47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936.21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/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964.33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956.17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914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959.8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919.88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/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897.2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942.56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911.3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894.48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954.35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/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884.5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941.65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914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899.92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907.18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/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917.16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956.17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920.3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930.77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971.14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/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907.18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924.42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915.8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935.3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941.65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/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936.21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919.88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914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895.39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926.23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/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907.18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928.04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915.8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908.09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943.47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/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912.2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/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/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18395.849999999999</v>
      </c>
      <c r="P32" s="915">
        <f>SUM(P8:P31)</f>
        <v>0</v>
      </c>
      <c r="S32" s="2"/>
      <c r="X32" s="297">
        <f>SUM(X8:X31)</f>
        <v>18713.32</v>
      </c>
      <c r="Z32" s="915">
        <f>SUM(Z8:Z31)</f>
        <v>0</v>
      </c>
      <c r="AH32" s="915">
        <f>SUM(AH8:AH31)</f>
        <v>19186.499999999996</v>
      </c>
      <c r="AJ32" s="915">
        <f>SUM(AJ8:AJ31)</f>
        <v>0</v>
      </c>
      <c r="AR32" s="297">
        <f>SUM(AR8:AR31)</f>
        <v>18575.43</v>
      </c>
      <c r="AT32" s="297">
        <f>SUM(AT8:AT31)</f>
        <v>0</v>
      </c>
      <c r="AW32" s="1042"/>
      <c r="AZ32" s="1042"/>
      <c r="BB32" s="297">
        <f>SUM(BB8:BB31)</f>
        <v>18661.150000000001</v>
      </c>
      <c r="BD32" s="915">
        <f>SUM(BD8:BD31)</f>
        <v>0</v>
      </c>
      <c r="BL32" s="297">
        <f>SUM(BL8:BL31)</f>
        <v>0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18395.849999999999</v>
      </c>
      <c r="S33" s="2"/>
      <c r="X33" s="1106" t="s">
        <v>800</v>
      </c>
      <c r="Y33" s="1107"/>
      <c r="Z33" s="1108">
        <f>AA5-Z32</f>
        <v>18713.32</v>
      </c>
      <c r="AH33" s="1106" t="s">
        <v>800</v>
      </c>
      <c r="AI33" s="1107"/>
      <c r="AJ33" s="1108">
        <f>AK5-AJ32</f>
        <v>19186.5</v>
      </c>
      <c r="AR33" s="1106" t="s">
        <v>800</v>
      </c>
      <c r="AS33" s="1107"/>
      <c r="AT33" s="1108">
        <f>AU5-AT32</f>
        <v>18575.43</v>
      </c>
      <c r="AW33" s="1042"/>
      <c r="AZ33" s="1042"/>
      <c r="BB33" s="1106" t="s">
        <v>800</v>
      </c>
      <c r="BC33" s="1107"/>
      <c r="BD33" s="1108">
        <f>BE5-BD32</f>
        <v>18661.150000000001</v>
      </c>
      <c r="BL33" s="1106" t="s">
        <v>800</v>
      </c>
      <c r="BM33" s="1107"/>
      <c r="BN33" s="1108">
        <f>BO5-BN32</f>
        <v>0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5" t="s">
        <v>56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363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thickBot="1" x14ac:dyDescent="0.3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365"/>
      <c r="M2" s="365"/>
      <c r="N2" s="366"/>
      <c r="O2" s="367"/>
      <c r="Q2" s="6"/>
      <c r="R2" s="7"/>
      <c r="S2" s="1677"/>
      <c r="T2" s="167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690" t="s">
        <v>43</v>
      </c>
      <c r="B59" s="418" t="s">
        <v>23</v>
      </c>
      <c r="C59" s="1692" t="s">
        <v>144</v>
      </c>
      <c r="D59" s="409"/>
      <c r="E59" s="56"/>
      <c r="F59" s="410">
        <v>1649.6</v>
      </c>
      <c r="G59" s="1694">
        <v>44981</v>
      </c>
      <c r="H59" s="169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698" t="s">
        <v>21</v>
      </c>
      <c r="P59" s="168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691"/>
      <c r="B60" s="418" t="s">
        <v>146</v>
      </c>
      <c r="C60" s="1693"/>
      <c r="D60" s="409"/>
      <c r="E60" s="56"/>
      <c r="F60" s="410">
        <v>83</v>
      </c>
      <c r="G60" s="1695"/>
      <c r="H60" s="169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699"/>
      <c r="P60" s="168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728" t="s">
        <v>82</v>
      </c>
      <c r="B66" s="167" t="s">
        <v>109</v>
      </c>
      <c r="C66" s="173"/>
      <c r="D66" s="174"/>
      <c r="E66" s="56"/>
      <c r="F66" s="155">
        <v>1224</v>
      </c>
      <c r="G66" s="1730">
        <v>44973</v>
      </c>
      <c r="H66" s="173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734" t="s">
        <v>21</v>
      </c>
      <c r="P66" s="173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729"/>
      <c r="B67" s="167" t="s">
        <v>24</v>
      </c>
      <c r="C67" s="170"/>
      <c r="D67" s="174"/>
      <c r="E67" s="56"/>
      <c r="F67" s="155">
        <v>902.95899999999995</v>
      </c>
      <c r="G67" s="1731"/>
      <c r="H67" s="173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735"/>
      <c r="P67" s="173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702" t="s">
        <v>82</v>
      </c>
      <c r="B69" s="400" t="s">
        <v>128</v>
      </c>
      <c r="C69" s="1704" t="s">
        <v>129</v>
      </c>
      <c r="D69" s="409"/>
      <c r="E69" s="56"/>
      <c r="F69" s="410">
        <v>80.7</v>
      </c>
      <c r="G69" s="1708">
        <v>44979</v>
      </c>
      <c r="H69" s="170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710" t="s">
        <v>127</v>
      </c>
      <c r="P69" s="170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703"/>
      <c r="B70" s="408" t="s">
        <v>131</v>
      </c>
      <c r="C70" s="1705"/>
      <c r="D70" s="409"/>
      <c r="E70" s="56"/>
      <c r="F70" s="410">
        <v>151.4</v>
      </c>
      <c r="G70" s="1709"/>
      <c r="H70" s="170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711"/>
      <c r="P70" s="1701"/>
      <c r="Q70" s="166"/>
      <c r="R70" s="125"/>
      <c r="S70" s="176"/>
      <c r="T70" s="177"/>
      <c r="U70" s="49"/>
      <c r="V70" s="50"/>
    </row>
    <row r="71" spans="1:22" ht="17.25" x14ac:dyDescent="0.3">
      <c r="A71" s="1716" t="s">
        <v>82</v>
      </c>
      <c r="B71" s="400" t="s">
        <v>122</v>
      </c>
      <c r="C71" s="1714" t="s">
        <v>123</v>
      </c>
      <c r="D71" s="398"/>
      <c r="E71" s="56"/>
      <c r="F71" s="155">
        <v>130.16</v>
      </c>
      <c r="G71" s="1719">
        <v>44982</v>
      </c>
      <c r="H71" s="172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724" t="s">
        <v>127</v>
      </c>
      <c r="P71" s="171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716"/>
      <c r="B72" s="400" t="s">
        <v>125</v>
      </c>
      <c r="C72" s="1718"/>
      <c r="D72" s="398"/>
      <c r="E72" s="56"/>
      <c r="F72" s="155">
        <v>89.64</v>
      </c>
      <c r="G72" s="1719"/>
      <c r="H72" s="172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725"/>
      <c r="P72" s="1727"/>
      <c r="Q72" s="166"/>
      <c r="R72" s="125"/>
      <c r="S72" s="176"/>
      <c r="T72" s="177"/>
      <c r="U72" s="49"/>
      <c r="V72" s="50"/>
    </row>
    <row r="73" spans="1:22" ht="18" thickBot="1" x14ac:dyDescent="0.35">
      <c r="A73" s="1717"/>
      <c r="B73" s="400" t="s">
        <v>126</v>
      </c>
      <c r="C73" s="1715"/>
      <c r="D73" s="398"/>
      <c r="E73" s="56"/>
      <c r="F73" s="155">
        <v>152.78</v>
      </c>
      <c r="G73" s="1720"/>
      <c r="H73" s="172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726"/>
      <c r="P73" s="171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728" t="s">
        <v>82</v>
      </c>
      <c r="B80" s="397" t="s">
        <v>118</v>
      </c>
      <c r="C80" s="1714" t="s">
        <v>121</v>
      </c>
      <c r="D80" s="398"/>
      <c r="E80" s="56"/>
      <c r="F80" s="155">
        <v>108.66</v>
      </c>
      <c r="G80" s="156">
        <v>44985</v>
      </c>
      <c r="H80" s="173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724" t="s">
        <v>120</v>
      </c>
      <c r="P80" s="171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729"/>
      <c r="B81" s="397" t="s">
        <v>119</v>
      </c>
      <c r="C81" s="1715"/>
      <c r="D81" s="398"/>
      <c r="E81" s="56"/>
      <c r="F81" s="155">
        <v>76.94</v>
      </c>
      <c r="G81" s="156">
        <v>44985</v>
      </c>
      <c r="H81" s="173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726"/>
      <c r="P81" s="171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82"/>
      <c r="M99" s="168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82"/>
      <c r="M100" s="168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84"/>
      <c r="P106" s="168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85"/>
      <c r="P107" s="168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73" t="s">
        <v>27</v>
      </c>
      <c r="G271" s="1673"/>
      <c r="H271" s="167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5" t="s">
        <v>92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363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thickBot="1" x14ac:dyDescent="0.3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365"/>
      <c r="M2" s="365"/>
      <c r="N2" s="366"/>
      <c r="O2" s="367"/>
      <c r="Q2" s="6"/>
      <c r="R2" s="7"/>
      <c r="S2" s="1677"/>
      <c r="T2" s="167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728" t="s">
        <v>147</v>
      </c>
      <c r="B83" s="397" t="s">
        <v>179</v>
      </c>
      <c r="C83" s="1714" t="s">
        <v>193</v>
      </c>
      <c r="D83" s="431"/>
      <c r="E83" s="56"/>
      <c r="F83" s="410">
        <v>27.48</v>
      </c>
      <c r="G83" s="1694">
        <v>45014</v>
      </c>
      <c r="H83" s="1740" t="s">
        <v>180</v>
      </c>
      <c r="I83" s="155">
        <v>27.48</v>
      </c>
      <c r="J83" s="39">
        <f t="shared" si="1"/>
        <v>0</v>
      </c>
      <c r="K83" s="40">
        <v>70</v>
      </c>
      <c r="L83" s="1744" t="s">
        <v>194</v>
      </c>
      <c r="M83" s="61"/>
      <c r="N83" s="42">
        <f t="shared" si="2"/>
        <v>1923.6000000000001</v>
      </c>
      <c r="O83" s="1684" t="s">
        <v>21</v>
      </c>
      <c r="P83" s="174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729"/>
      <c r="B84" s="430" t="s">
        <v>181</v>
      </c>
      <c r="C84" s="1715"/>
      <c r="D84" s="431"/>
      <c r="E84" s="56"/>
      <c r="F84" s="410">
        <v>142.5</v>
      </c>
      <c r="G84" s="1695"/>
      <c r="H84" s="1741"/>
      <c r="I84" s="155">
        <v>142.5771</v>
      </c>
      <c r="J84" s="39">
        <f t="shared" si="1"/>
        <v>7.7100000000001501E-2</v>
      </c>
      <c r="K84" s="40">
        <v>70</v>
      </c>
      <c r="L84" s="1744"/>
      <c r="M84" s="61"/>
      <c r="N84" s="42">
        <f t="shared" si="2"/>
        <v>9980.3970000000008</v>
      </c>
      <c r="O84" s="1685"/>
      <c r="P84" s="174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82"/>
      <c r="M98" s="168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82"/>
      <c r="M99" s="168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84"/>
      <c r="P105" s="168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85"/>
      <c r="P106" s="168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73" t="s">
        <v>27</v>
      </c>
      <c r="G270" s="1673"/>
      <c r="H270" s="167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5" t="s">
        <v>224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363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thickBot="1" x14ac:dyDescent="0.3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365"/>
      <c r="M2" s="365"/>
      <c r="N2" s="366"/>
      <c r="O2" s="367"/>
      <c r="Q2" s="6"/>
      <c r="R2" s="7"/>
      <c r="S2" s="1677"/>
      <c r="T2" s="167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59" t="s">
        <v>43</v>
      </c>
      <c r="B60" s="418" t="s">
        <v>23</v>
      </c>
      <c r="C60" s="1714" t="s">
        <v>291</v>
      </c>
      <c r="D60" s="409"/>
      <c r="E60" s="56"/>
      <c r="F60" s="410">
        <v>847.4</v>
      </c>
      <c r="G60" s="1761">
        <v>45023</v>
      </c>
      <c r="H60" s="176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45" t="s">
        <v>21</v>
      </c>
      <c r="P60" s="174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60"/>
      <c r="B61" s="418" t="s">
        <v>146</v>
      </c>
      <c r="C61" s="1715"/>
      <c r="D61" s="409"/>
      <c r="E61" s="56"/>
      <c r="F61" s="410">
        <v>175.4</v>
      </c>
      <c r="G61" s="1762"/>
      <c r="H61" s="176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46"/>
      <c r="P61" s="174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49" t="s">
        <v>31</v>
      </c>
      <c r="B66" s="519" t="s">
        <v>254</v>
      </c>
      <c r="C66" s="1751" t="s">
        <v>255</v>
      </c>
      <c r="D66" s="517"/>
      <c r="E66" s="56"/>
      <c r="F66" s="493">
        <v>9084.5</v>
      </c>
      <c r="G66" s="1755">
        <v>45041</v>
      </c>
      <c r="H66" s="175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57" t="s">
        <v>22</v>
      </c>
      <c r="P66" s="171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50"/>
      <c r="B67" s="519" t="s">
        <v>256</v>
      </c>
      <c r="C67" s="1752"/>
      <c r="D67" s="517"/>
      <c r="E67" s="56"/>
      <c r="F67" s="526">
        <v>1007.3</v>
      </c>
      <c r="G67" s="1756"/>
      <c r="H67" s="175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58"/>
      <c r="P67" s="171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84"/>
      <c r="P87" s="174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85"/>
      <c r="P88" s="174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82"/>
      <c r="M102" s="168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82"/>
      <c r="M103" s="168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84"/>
      <c r="P109" s="168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85"/>
      <c r="P110" s="168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73" t="s">
        <v>27</v>
      </c>
      <c r="G274" s="1673"/>
      <c r="H274" s="167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5" t="s">
        <v>246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363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thickBot="1" x14ac:dyDescent="0.3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365"/>
      <c r="M2" s="365"/>
      <c r="N2" s="366"/>
      <c r="O2" s="367"/>
      <c r="Q2" s="6"/>
      <c r="R2" s="7"/>
      <c r="S2" s="1677"/>
      <c r="T2" s="167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84"/>
      <c r="P89" s="174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85"/>
      <c r="P90" s="174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82"/>
      <c r="M104" s="168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82"/>
      <c r="M105" s="168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84"/>
      <c r="P111" s="168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85"/>
      <c r="P112" s="168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73" t="s">
        <v>27</v>
      </c>
      <c r="G276" s="1673"/>
      <c r="H276" s="1674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5" t="s">
        <v>335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562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ht="24" thickBot="1" x14ac:dyDescent="0.4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563"/>
      <c r="M2" s="365"/>
      <c r="N2" s="366"/>
      <c r="O2" s="367"/>
      <c r="Q2" s="6"/>
      <c r="R2" s="7"/>
      <c r="S2" s="1677"/>
      <c r="T2" s="167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728" t="s">
        <v>43</v>
      </c>
      <c r="B62" s="153" t="s">
        <v>23</v>
      </c>
      <c r="C62" s="159"/>
      <c r="D62" s="160"/>
      <c r="E62" s="56"/>
      <c r="F62" s="155">
        <v>598.4</v>
      </c>
      <c r="G62" s="1771">
        <v>45080</v>
      </c>
      <c r="H62" s="176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65" t="s">
        <v>64</v>
      </c>
      <c r="P62" s="176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729"/>
      <c r="B63" s="153" t="s">
        <v>126</v>
      </c>
      <c r="C63" s="161"/>
      <c r="D63" s="160"/>
      <c r="E63" s="56"/>
      <c r="F63" s="155">
        <v>105.6</v>
      </c>
      <c r="G63" s="1772"/>
      <c r="H63" s="177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66"/>
      <c r="P63" s="176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84"/>
      <c r="P95" s="174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85"/>
      <c r="P96" s="174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82"/>
      <c r="M110" s="168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82"/>
      <c r="M111" s="168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84"/>
      <c r="P117" s="168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85"/>
      <c r="P118" s="168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73" t="s">
        <v>27</v>
      </c>
      <c r="G282" s="1673"/>
      <c r="H282" s="167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5" t="s">
        <v>404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562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ht="24" thickBot="1" x14ac:dyDescent="0.4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563"/>
      <c r="M2" s="365"/>
      <c r="N2" s="366"/>
      <c r="O2" s="367"/>
      <c r="Q2" s="6"/>
      <c r="R2" s="7"/>
      <c r="S2" s="1677"/>
      <c r="T2" s="167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800" t="s">
        <v>464</v>
      </c>
      <c r="M11" s="1801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728" t="s">
        <v>43</v>
      </c>
      <c r="B62" s="153" t="s">
        <v>23</v>
      </c>
      <c r="C62" s="159"/>
      <c r="D62" s="160"/>
      <c r="E62" s="56"/>
      <c r="F62" s="155"/>
      <c r="G62" s="1771"/>
      <c r="H62" s="176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729"/>
      <c r="B63" s="153" t="s">
        <v>126</v>
      </c>
      <c r="C63" s="161"/>
      <c r="D63" s="160"/>
      <c r="E63" s="56"/>
      <c r="F63" s="155"/>
      <c r="G63" s="1772"/>
      <c r="H63" s="177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802" t="s">
        <v>355</v>
      </c>
      <c r="B74" s="386" t="s">
        <v>126</v>
      </c>
      <c r="C74" s="1804" t="s">
        <v>430</v>
      </c>
      <c r="D74" s="160"/>
      <c r="E74" s="56"/>
      <c r="F74" s="625">
        <v>87.04</v>
      </c>
      <c r="G74" s="1694">
        <v>45115</v>
      </c>
      <c r="H74" s="1806" t="s">
        <v>431</v>
      </c>
      <c r="I74" s="155">
        <v>87.04</v>
      </c>
      <c r="J74" s="39">
        <f t="shared" si="4"/>
        <v>0</v>
      </c>
      <c r="K74" s="628">
        <v>38</v>
      </c>
      <c r="L74" s="1808" t="s">
        <v>432</v>
      </c>
      <c r="M74" s="630"/>
      <c r="N74" s="42">
        <f t="shared" ref="N74:N198" si="6">K74*I74</f>
        <v>3307.5200000000004</v>
      </c>
      <c r="O74" s="1810" t="s">
        <v>21</v>
      </c>
      <c r="P74" s="1812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803"/>
      <c r="B75" s="386" t="s">
        <v>307</v>
      </c>
      <c r="C75" s="1805"/>
      <c r="D75" s="445"/>
      <c r="E75" s="56"/>
      <c r="F75" s="626">
        <v>103.26</v>
      </c>
      <c r="G75" s="1695"/>
      <c r="H75" s="1807"/>
      <c r="I75" s="493">
        <v>103.26</v>
      </c>
      <c r="J75" s="39">
        <f t="shared" si="4"/>
        <v>0</v>
      </c>
      <c r="K75" s="629">
        <v>110</v>
      </c>
      <c r="L75" s="1809"/>
      <c r="M75" s="630"/>
      <c r="N75" s="42">
        <f t="shared" si="6"/>
        <v>11358.6</v>
      </c>
      <c r="O75" s="1811"/>
      <c r="P75" s="1813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92" t="s">
        <v>448</v>
      </c>
      <c r="B81" s="386" t="s">
        <v>449</v>
      </c>
      <c r="C81" s="1794" t="s">
        <v>450</v>
      </c>
      <c r="D81" s="454"/>
      <c r="E81" s="56"/>
      <c r="F81" s="446">
        <v>264.33999999999997</v>
      </c>
      <c r="G81" s="1796">
        <v>45124</v>
      </c>
      <c r="H81" s="1784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98" t="s">
        <v>21</v>
      </c>
      <c r="P81" s="1790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93"/>
      <c r="B82" s="386" t="s">
        <v>451</v>
      </c>
      <c r="C82" s="1795"/>
      <c r="D82" s="454"/>
      <c r="E82" s="56"/>
      <c r="F82" s="446">
        <v>3600</v>
      </c>
      <c r="G82" s="1797"/>
      <c r="H82" s="1786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99"/>
      <c r="P82" s="1791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49" t="s">
        <v>355</v>
      </c>
      <c r="B88" s="719" t="s">
        <v>594</v>
      </c>
      <c r="C88" s="1778" t="s">
        <v>595</v>
      </c>
      <c r="D88" s="517"/>
      <c r="E88" s="56"/>
      <c r="F88" s="698">
        <v>74</v>
      </c>
      <c r="G88" s="1781">
        <v>45138</v>
      </c>
      <c r="H88" s="1784" t="s">
        <v>596</v>
      </c>
      <c r="I88" s="640">
        <v>74</v>
      </c>
      <c r="J88" s="39">
        <f t="shared" si="4"/>
        <v>0</v>
      </c>
      <c r="K88" s="628">
        <v>70</v>
      </c>
      <c r="L88" s="1787" t="s">
        <v>597</v>
      </c>
      <c r="M88" s="630"/>
      <c r="N88" s="42">
        <f t="shared" si="7"/>
        <v>5180</v>
      </c>
      <c r="O88" s="1745" t="s">
        <v>21</v>
      </c>
      <c r="P88" s="1774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77"/>
      <c r="B89" s="519" t="s">
        <v>583</v>
      </c>
      <c r="C89" s="1779"/>
      <c r="D89" s="697"/>
      <c r="E89" s="56"/>
      <c r="F89" s="698">
        <v>92.3</v>
      </c>
      <c r="G89" s="1782"/>
      <c r="H89" s="1785"/>
      <c r="I89" s="640">
        <v>92.3</v>
      </c>
      <c r="J89" s="39">
        <f t="shared" si="4"/>
        <v>0</v>
      </c>
      <c r="K89" s="628">
        <v>60</v>
      </c>
      <c r="L89" s="1788"/>
      <c r="M89" s="630"/>
      <c r="N89" s="42">
        <f t="shared" si="7"/>
        <v>5538</v>
      </c>
      <c r="O89" s="1773"/>
      <c r="P89" s="1775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50"/>
      <c r="B90" s="519" t="s">
        <v>126</v>
      </c>
      <c r="C90" s="1780"/>
      <c r="D90" s="697"/>
      <c r="E90" s="56"/>
      <c r="F90" s="698">
        <v>95.7</v>
      </c>
      <c r="G90" s="1783"/>
      <c r="H90" s="1786"/>
      <c r="I90" s="640">
        <v>95.7</v>
      </c>
      <c r="J90" s="39">
        <f t="shared" si="4"/>
        <v>0</v>
      </c>
      <c r="K90" s="628">
        <v>38</v>
      </c>
      <c r="L90" s="1789"/>
      <c r="M90" s="630"/>
      <c r="N90" s="42">
        <f t="shared" si="7"/>
        <v>3636.6</v>
      </c>
      <c r="O90" s="1746"/>
      <c r="P90" s="1776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84"/>
      <c r="P95" s="174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85"/>
      <c r="P96" s="174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82"/>
      <c r="M110" s="168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82"/>
      <c r="M111" s="168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84"/>
      <c r="P117" s="168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85"/>
      <c r="P118" s="168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73" t="s">
        <v>27</v>
      </c>
      <c r="G282" s="1673"/>
      <c r="H282" s="1674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5" t="s">
        <v>480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562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ht="24" thickBot="1" x14ac:dyDescent="0.4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563"/>
      <c r="M2" s="365"/>
      <c r="N2" s="366"/>
      <c r="O2" s="367"/>
      <c r="Q2" s="6"/>
      <c r="R2" s="7"/>
      <c r="S2" s="1677"/>
      <c r="T2" s="167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71"/>
      <c r="M11" s="1872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728" t="s">
        <v>43</v>
      </c>
      <c r="B62" s="153" t="s">
        <v>23</v>
      </c>
      <c r="C62" s="280"/>
      <c r="D62" s="160"/>
      <c r="E62" s="56"/>
      <c r="F62" s="155"/>
      <c r="G62" s="1771"/>
      <c r="H62" s="1769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729"/>
      <c r="B63" s="153" t="s">
        <v>126</v>
      </c>
      <c r="C63" s="866"/>
      <c r="D63" s="160"/>
      <c r="E63" s="56"/>
      <c r="F63" s="155"/>
      <c r="G63" s="1772"/>
      <c r="H63" s="1770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690" t="s">
        <v>355</v>
      </c>
      <c r="B75" s="682" t="s">
        <v>528</v>
      </c>
      <c r="C75" s="1852" t="s">
        <v>529</v>
      </c>
      <c r="D75" s="445"/>
      <c r="E75" s="56"/>
      <c r="F75" s="626">
        <v>90.3</v>
      </c>
      <c r="G75" s="1855">
        <v>45126</v>
      </c>
      <c r="H75" s="1858" t="s">
        <v>530</v>
      </c>
      <c r="I75" s="515">
        <v>90.3</v>
      </c>
      <c r="J75" s="39">
        <f t="shared" si="3"/>
        <v>0</v>
      </c>
      <c r="K75" s="687">
        <v>60</v>
      </c>
      <c r="L75" s="1808" t="s">
        <v>531</v>
      </c>
      <c r="M75" s="630"/>
      <c r="N75" s="42">
        <f t="shared" si="4"/>
        <v>5418</v>
      </c>
      <c r="O75" s="1861" t="s">
        <v>21</v>
      </c>
      <c r="P75" s="1817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51"/>
      <c r="B76" s="682" t="s">
        <v>122</v>
      </c>
      <c r="C76" s="1853"/>
      <c r="D76" s="445"/>
      <c r="E76" s="56"/>
      <c r="F76" s="685">
        <v>94.86</v>
      </c>
      <c r="G76" s="1856"/>
      <c r="H76" s="1859"/>
      <c r="I76" s="686">
        <v>94.86</v>
      </c>
      <c r="J76" s="39">
        <f t="shared" si="3"/>
        <v>0</v>
      </c>
      <c r="K76" s="688">
        <v>70</v>
      </c>
      <c r="L76" s="1876"/>
      <c r="M76" s="630"/>
      <c r="N76" s="42">
        <f t="shared" si="4"/>
        <v>6640.2</v>
      </c>
      <c r="O76" s="1862"/>
      <c r="P76" s="1818"/>
      <c r="Q76" s="166"/>
      <c r="R76" s="125"/>
      <c r="S76" s="48"/>
      <c r="T76" s="48"/>
      <c r="U76" s="49"/>
      <c r="V76" s="50"/>
    </row>
    <row r="77" spans="1:22" ht="19.5" thickBot="1" x14ac:dyDescent="0.35">
      <c r="A77" s="1691"/>
      <c r="B77" s="682" t="s">
        <v>128</v>
      </c>
      <c r="C77" s="1854"/>
      <c r="D77" s="445"/>
      <c r="E77" s="56"/>
      <c r="F77" s="685">
        <f>55.8+36.1</f>
        <v>91.9</v>
      </c>
      <c r="G77" s="1857"/>
      <c r="H77" s="1860"/>
      <c r="I77" s="686">
        <f>55.8+36.1</f>
        <v>91.9</v>
      </c>
      <c r="J77" s="39">
        <f t="shared" si="3"/>
        <v>0</v>
      </c>
      <c r="K77" s="688">
        <v>110</v>
      </c>
      <c r="L77" s="1809"/>
      <c r="M77" s="646"/>
      <c r="N77" s="42">
        <f t="shared" si="4"/>
        <v>10109</v>
      </c>
      <c r="O77" s="1863"/>
      <c r="P77" s="1819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92" t="s">
        <v>355</v>
      </c>
      <c r="B80" s="696" t="s">
        <v>119</v>
      </c>
      <c r="C80" s="1865" t="s">
        <v>540</v>
      </c>
      <c r="D80" s="517"/>
      <c r="E80" s="56"/>
      <c r="F80" s="698">
        <v>71.099999999999994</v>
      </c>
      <c r="G80" s="1781">
        <v>45142</v>
      </c>
      <c r="H80" s="1868" t="s">
        <v>541</v>
      </c>
      <c r="I80" s="446">
        <v>71.099999999999994</v>
      </c>
      <c r="J80" s="39">
        <f t="shared" si="3"/>
        <v>0</v>
      </c>
      <c r="K80" s="688">
        <v>70</v>
      </c>
      <c r="L80" s="1787" t="s">
        <v>542</v>
      </c>
      <c r="M80" s="630"/>
      <c r="N80" s="42">
        <f t="shared" si="4"/>
        <v>4977</v>
      </c>
      <c r="O80" s="1861" t="s">
        <v>21</v>
      </c>
      <c r="P80" s="1817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64"/>
      <c r="B81" s="696" t="s">
        <v>528</v>
      </c>
      <c r="C81" s="1866"/>
      <c r="D81" s="697"/>
      <c r="E81" s="56"/>
      <c r="F81" s="698">
        <v>90.42</v>
      </c>
      <c r="G81" s="1782"/>
      <c r="H81" s="1869"/>
      <c r="I81" s="446">
        <v>90.42</v>
      </c>
      <c r="J81" s="39">
        <f t="shared" si="3"/>
        <v>0</v>
      </c>
      <c r="K81" s="688">
        <v>60</v>
      </c>
      <c r="L81" s="1788"/>
      <c r="M81" s="647"/>
      <c r="N81" s="42">
        <f>K81*I81</f>
        <v>5425.2</v>
      </c>
      <c r="O81" s="1862"/>
      <c r="P81" s="1818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93"/>
      <c r="B82" s="696" t="s">
        <v>122</v>
      </c>
      <c r="C82" s="1867"/>
      <c r="D82" s="697"/>
      <c r="E82" s="56"/>
      <c r="F82" s="698">
        <v>133.56</v>
      </c>
      <c r="G82" s="1783"/>
      <c r="H82" s="1870"/>
      <c r="I82" s="446">
        <v>133.56</v>
      </c>
      <c r="J82" s="39">
        <f t="shared" si="3"/>
        <v>0</v>
      </c>
      <c r="K82" s="688">
        <v>70</v>
      </c>
      <c r="L82" s="1789"/>
      <c r="M82" s="648"/>
      <c r="N82" s="42">
        <f>K82*I82</f>
        <v>9349.2000000000007</v>
      </c>
      <c r="O82" s="1863"/>
      <c r="P82" s="1819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49" t="s">
        <v>355</v>
      </c>
      <c r="B89" s="701" t="s">
        <v>560</v>
      </c>
      <c r="C89" s="1838" t="s">
        <v>558</v>
      </c>
      <c r="D89" s="445"/>
      <c r="E89" s="56"/>
      <c r="F89" s="446">
        <v>74.8</v>
      </c>
      <c r="G89" s="1885">
        <v>45135</v>
      </c>
      <c r="H89" s="1784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45" t="s">
        <v>21</v>
      </c>
      <c r="P89" s="187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50"/>
      <c r="B90" s="701" t="s">
        <v>126</v>
      </c>
      <c r="C90" s="1840"/>
      <c r="D90" s="445"/>
      <c r="E90" s="56"/>
      <c r="F90" s="446">
        <v>79.400000000000006</v>
      </c>
      <c r="G90" s="1886"/>
      <c r="H90" s="1786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46"/>
      <c r="P90" s="187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47" t="s">
        <v>355</v>
      </c>
      <c r="B92" s="682" t="s">
        <v>307</v>
      </c>
      <c r="C92" s="1838" t="s">
        <v>582</v>
      </c>
      <c r="D92" s="454"/>
      <c r="E92" s="56"/>
      <c r="F92" s="698">
        <v>112.5</v>
      </c>
      <c r="G92" s="1781">
        <v>45159</v>
      </c>
      <c r="H92" s="1841" t="s">
        <v>584</v>
      </c>
      <c r="I92" s="640">
        <v>112.5</v>
      </c>
      <c r="J92" s="39">
        <f t="shared" si="3"/>
        <v>0</v>
      </c>
      <c r="K92" s="462">
        <v>110</v>
      </c>
      <c r="L92" s="1849" t="s">
        <v>585</v>
      </c>
      <c r="M92" s="585"/>
      <c r="N92" s="42">
        <f t="shared" si="5"/>
        <v>12375</v>
      </c>
      <c r="O92" s="1814" t="s">
        <v>21</v>
      </c>
      <c r="P92" s="1817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48"/>
      <c r="B93" s="714" t="s">
        <v>583</v>
      </c>
      <c r="C93" s="1839"/>
      <c r="D93" s="454"/>
      <c r="E93" s="56"/>
      <c r="F93" s="698">
        <v>44.8</v>
      </c>
      <c r="G93" s="1783"/>
      <c r="H93" s="1843"/>
      <c r="I93" s="640">
        <v>44.8</v>
      </c>
      <c r="J93" s="39">
        <f t="shared" si="3"/>
        <v>0</v>
      </c>
      <c r="K93" s="462">
        <v>60</v>
      </c>
      <c r="L93" s="1850"/>
      <c r="M93" s="585"/>
      <c r="N93" s="42">
        <f t="shared" si="5"/>
        <v>2688</v>
      </c>
      <c r="O93" s="1816"/>
      <c r="P93" s="1819"/>
      <c r="Q93" s="166"/>
      <c r="R93" s="125"/>
      <c r="S93" s="176"/>
      <c r="T93" s="177"/>
      <c r="U93" s="49"/>
      <c r="V93" s="50"/>
    </row>
    <row r="94" spans="1:22" ht="32.25" customHeight="1" x14ac:dyDescent="0.3">
      <c r="A94" s="1820" t="s">
        <v>355</v>
      </c>
      <c r="B94" s="519" t="s">
        <v>586</v>
      </c>
      <c r="C94" s="1823" t="s">
        <v>588</v>
      </c>
      <c r="D94" s="697"/>
      <c r="E94" s="56"/>
      <c r="F94" s="698">
        <v>69.62</v>
      </c>
      <c r="G94" s="1826">
        <v>45162</v>
      </c>
      <c r="H94" s="1829" t="s">
        <v>589</v>
      </c>
      <c r="I94" s="640">
        <v>69.62</v>
      </c>
      <c r="J94" s="39">
        <f t="shared" si="3"/>
        <v>0</v>
      </c>
      <c r="K94" s="628">
        <v>70</v>
      </c>
      <c r="L94" s="1882" t="s">
        <v>593</v>
      </c>
      <c r="M94" s="630"/>
      <c r="N94" s="42">
        <f t="shared" si="4"/>
        <v>4873.4000000000005</v>
      </c>
      <c r="O94" s="1832" t="s">
        <v>21</v>
      </c>
      <c r="P94" s="1879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21"/>
      <c r="B95" s="719" t="s">
        <v>587</v>
      </c>
      <c r="C95" s="1824"/>
      <c r="D95" s="721"/>
      <c r="E95" s="56"/>
      <c r="F95" s="698">
        <v>100.58</v>
      </c>
      <c r="G95" s="1827"/>
      <c r="H95" s="1830"/>
      <c r="I95" s="640">
        <v>100.58</v>
      </c>
      <c r="J95" s="39">
        <f t="shared" si="3"/>
        <v>0</v>
      </c>
      <c r="K95" s="628">
        <v>70</v>
      </c>
      <c r="L95" s="1883"/>
      <c r="M95" s="630"/>
      <c r="N95" s="42">
        <f t="shared" si="4"/>
        <v>7040.5999999999995</v>
      </c>
      <c r="O95" s="1833"/>
      <c r="P95" s="1880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22"/>
      <c r="B96" s="720" t="s">
        <v>126</v>
      </c>
      <c r="C96" s="1825"/>
      <c r="D96" s="697"/>
      <c r="E96" s="56"/>
      <c r="F96" s="698">
        <v>119</v>
      </c>
      <c r="G96" s="1828"/>
      <c r="H96" s="1831"/>
      <c r="I96" s="640">
        <v>119</v>
      </c>
      <c r="J96" s="39">
        <f t="shared" si="3"/>
        <v>0</v>
      </c>
      <c r="K96" s="628">
        <v>38</v>
      </c>
      <c r="L96" s="1884"/>
      <c r="M96" s="630"/>
      <c r="N96" s="42">
        <f t="shared" si="4"/>
        <v>4522</v>
      </c>
      <c r="O96" s="1834"/>
      <c r="P96" s="1881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35" t="s">
        <v>355</v>
      </c>
      <c r="B98" s="701" t="s">
        <v>307</v>
      </c>
      <c r="C98" s="1838" t="s">
        <v>598</v>
      </c>
      <c r="D98" s="452"/>
      <c r="E98" s="56"/>
      <c r="F98" s="698">
        <v>137</v>
      </c>
      <c r="G98" s="1781">
        <v>45166</v>
      </c>
      <c r="H98" s="1841" t="s">
        <v>599</v>
      </c>
      <c r="I98" s="640">
        <v>137.1</v>
      </c>
      <c r="J98" s="39">
        <f t="shared" si="3"/>
        <v>9.9999999999994316E-2</v>
      </c>
      <c r="K98" s="462">
        <v>110</v>
      </c>
      <c r="L98" s="1844" t="s">
        <v>600</v>
      </c>
      <c r="M98" s="585"/>
      <c r="N98" s="42">
        <f t="shared" si="4"/>
        <v>15081</v>
      </c>
      <c r="O98" s="1814" t="s">
        <v>21</v>
      </c>
      <c r="P98" s="1817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36"/>
      <c r="B99" s="701" t="s">
        <v>583</v>
      </c>
      <c r="C99" s="1839"/>
      <c r="D99" s="452"/>
      <c r="E99" s="56"/>
      <c r="F99" s="698">
        <v>68.28</v>
      </c>
      <c r="G99" s="1782"/>
      <c r="H99" s="1842"/>
      <c r="I99" s="640">
        <v>68.28</v>
      </c>
      <c r="J99" s="39">
        <f t="shared" si="3"/>
        <v>0</v>
      </c>
      <c r="K99" s="462">
        <v>60</v>
      </c>
      <c r="L99" s="1845"/>
      <c r="M99" s="585"/>
      <c r="N99" s="42">
        <f t="shared" si="4"/>
        <v>4096.8</v>
      </c>
      <c r="O99" s="1815"/>
      <c r="P99" s="1818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37"/>
      <c r="B100" s="701" t="s">
        <v>126</v>
      </c>
      <c r="C100" s="1840"/>
      <c r="D100" s="452"/>
      <c r="E100" s="56"/>
      <c r="F100" s="698">
        <v>106.94</v>
      </c>
      <c r="G100" s="1783"/>
      <c r="H100" s="1843"/>
      <c r="I100" s="640">
        <v>106.94</v>
      </c>
      <c r="J100" s="39">
        <f t="shared" si="3"/>
        <v>0</v>
      </c>
      <c r="K100" s="462">
        <v>38</v>
      </c>
      <c r="L100" s="1846"/>
      <c r="M100" s="585"/>
      <c r="N100" s="42">
        <f t="shared" si="4"/>
        <v>4063.72</v>
      </c>
      <c r="O100" s="1816"/>
      <c r="P100" s="1819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73"/>
      <c r="M112" s="1873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73"/>
      <c r="M113" s="1873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84"/>
      <c r="P119" s="1874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85"/>
      <c r="P120" s="1875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73" t="s">
        <v>27</v>
      </c>
      <c r="G284" s="1673"/>
      <c r="H284" s="1674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5" t="s">
        <v>616</v>
      </c>
      <c r="B1" s="1675"/>
      <c r="C1" s="1675"/>
      <c r="D1" s="1675"/>
      <c r="E1" s="1675"/>
      <c r="F1" s="1675"/>
      <c r="G1" s="1675"/>
      <c r="H1" s="1675"/>
      <c r="I1" s="1675"/>
      <c r="J1" s="1675"/>
      <c r="K1" s="363"/>
      <c r="L1" s="562"/>
      <c r="M1" s="363"/>
      <c r="N1" s="363"/>
      <c r="O1" s="364"/>
      <c r="S1" s="1676" t="s">
        <v>0</v>
      </c>
      <c r="T1" s="1676"/>
      <c r="U1" s="4" t="s">
        <v>1</v>
      </c>
      <c r="V1" s="5" t="s">
        <v>2</v>
      </c>
      <c r="W1" s="1678" t="s">
        <v>3</v>
      </c>
      <c r="X1" s="1679"/>
    </row>
    <row r="2" spans="1:24" ht="24" thickBot="1" x14ac:dyDescent="0.4">
      <c r="A2" s="1675"/>
      <c r="B2" s="1675"/>
      <c r="C2" s="1675"/>
      <c r="D2" s="1675"/>
      <c r="E2" s="1675"/>
      <c r="F2" s="1675"/>
      <c r="G2" s="1675"/>
      <c r="H2" s="1675"/>
      <c r="I2" s="1675"/>
      <c r="J2" s="1675"/>
      <c r="K2" s="365"/>
      <c r="L2" s="563"/>
      <c r="M2" s="365"/>
      <c r="N2" s="366"/>
      <c r="O2" s="367"/>
      <c r="Q2" s="6"/>
      <c r="R2" s="7"/>
      <c r="S2" s="1677"/>
      <c r="T2" s="167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0" t="s">
        <v>16</v>
      </c>
      <c r="P3" s="1681"/>
      <c r="Q3" s="24" t="s">
        <v>17</v>
      </c>
      <c r="R3" s="25" t="s">
        <v>18</v>
      </c>
      <c r="S3" s="26" t="s">
        <v>15</v>
      </c>
      <c r="T3" s="27" t="s">
        <v>19</v>
      </c>
      <c r="U3" s="962"/>
      <c r="V3" s="963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0" t="s">
        <v>762</v>
      </c>
      <c r="V4" s="961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71"/>
      <c r="M12" s="1872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87" t="s">
        <v>634</v>
      </c>
      <c r="B72" s="777" t="s">
        <v>630</v>
      </c>
      <c r="C72" s="1888" t="s">
        <v>632</v>
      </c>
      <c r="D72" s="776"/>
      <c r="E72" s="737"/>
      <c r="F72" s="775">
        <v>221.06</v>
      </c>
      <c r="G72" s="1890">
        <v>45183</v>
      </c>
      <c r="H72" s="1892" t="s">
        <v>633</v>
      </c>
      <c r="I72" s="772">
        <v>221</v>
      </c>
      <c r="J72" s="39">
        <f t="shared" si="5"/>
        <v>-6.0000000000002274E-2</v>
      </c>
      <c r="K72" s="688">
        <v>95</v>
      </c>
      <c r="L72" s="1898" t="s">
        <v>143</v>
      </c>
      <c r="M72" s="468"/>
      <c r="N72" s="42">
        <f t="shared" ref="N72:N138" si="6">K72*I72</f>
        <v>20995</v>
      </c>
      <c r="O72" s="1894" t="s">
        <v>21</v>
      </c>
      <c r="P72" s="1896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717"/>
      <c r="B73" s="777" t="s">
        <v>631</v>
      </c>
      <c r="C73" s="1889"/>
      <c r="D73" s="776"/>
      <c r="E73" s="737"/>
      <c r="F73" s="779">
        <v>4800</v>
      </c>
      <c r="G73" s="1891"/>
      <c r="H73" s="1893"/>
      <c r="I73" s="772">
        <v>4800</v>
      </c>
      <c r="J73" s="39">
        <v>0</v>
      </c>
      <c r="K73" s="688">
        <v>35</v>
      </c>
      <c r="L73" s="1899"/>
      <c r="M73" s="468"/>
      <c r="N73" s="42">
        <f t="shared" si="6"/>
        <v>168000</v>
      </c>
      <c r="O73" s="1895"/>
      <c r="P73" s="1897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73" t="s">
        <v>27</v>
      </c>
      <c r="G287" s="1673"/>
      <c r="H287" s="1674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2024-01-08T20:36:29Z</dcterms:modified>
</cp:coreProperties>
</file>