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-120" yWindow="-120" windowWidth="29040" windowHeight="15840" firstSheet="12" activeTab="13"/>
  </bookViews>
  <sheets>
    <sheet name="ENERO   2021    " sheetId="1" r:id="rId1"/>
    <sheet name="REMISIONES   ENERO 2021   " sheetId="2" r:id="rId2"/>
    <sheet name="FEBRERO   2021    " sheetId="3" r:id="rId3"/>
    <sheet name="REMISIONES  FEBRERO    2021    " sheetId="4" r:id="rId4"/>
    <sheet name="MARZO   2021      " sheetId="5" r:id="rId5"/>
    <sheet name="REMISIONES   MARZO   2021   " sheetId="6" r:id="rId6"/>
    <sheet name="A B R I L      2021      " sheetId="7" r:id="rId7"/>
    <sheet name="REMISIONES   ABRIL   2021  " sheetId="8" r:id="rId8"/>
    <sheet name="M A Y O   2021     " sheetId="9" r:id="rId9"/>
    <sheet name="REMISIONES MAYO  2021   " sheetId="10" r:id="rId10"/>
    <sheet name="J U N I O      2021    " sheetId="11" r:id="rId11"/>
    <sheet name="REMISIONES   JUNIO   2021   " sheetId="12" r:id="rId12"/>
    <sheet name="J U L I O      2 0 2 1      " sheetId="13" r:id="rId13"/>
    <sheet name="REMISIONES  JULIO    2021   " sheetId="14" r:id="rId14"/>
    <sheet name="Hoja2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4" l="1"/>
  <c r="C9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K73" i="13"/>
  <c r="I67" i="13"/>
  <c r="F67" i="13"/>
  <c r="C67" i="13"/>
  <c r="L60" i="13"/>
  <c r="M57" i="13"/>
  <c r="M62" i="13" s="1"/>
  <c r="L54" i="13"/>
  <c r="L53" i="13"/>
  <c r="C52" i="13"/>
  <c r="L51" i="13"/>
  <c r="C51" i="13"/>
  <c r="L43" i="13"/>
  <c r="L40" i="13"/>
  <c r="M39" i="13"/>
  <c r="N37" i="13"/>
  <c r="L35" i="13"/>
  <c r="N30" i="13"/>
  <c r="L28" i="13"/>
  <c r="N26" i="13"/>
  <c r="N23" i="13"/>
  <c r="L21" i="13"/>
  <c r="N19" i="13"/>
  <c r="N15" i="13"/>
  <c r="L14" i="13"/>
  <c r="N13" i="13"/>
  <c r="N12" i="13"/>
  <c r="N39" i="13" s="1"/>
  <c r="N8" i="13"/>
  <c r="L7" i="13"/>
  <c r="L67" i="13" s="1"/>
  <c r="K69" i="13" s="1"/>
  <c r="F70" i="13" l="1"/>
  <c r="F73" i="13" s="1"/>
  <c r="K71" i="13" s="1"/>
  <c r="K75" i="13" s="1"/>
  <c r="K68" i="11"/>
  <c r="N62" i="11"/>
  <c r="F62" i="11"/>
  <c r="C62" i="11"/>
  <c r="L43" i="11"/>
  <c r="L42" i="11"/>
  <c r="L40" i="11"/>
  <c r="L31" i="11"/>
  <c r="L30" i="11"/>
  <c r="L24" i="11"/>
  <c r="I24" i="11"/>
  <c r="I62" i="11" s="1"/>
  <c r="M20" i="11"/>
  <c r="M17" i="11"/>
  <c r="L17" i="11"/>
  <c r="M14" i="11"/>
  <c r="M13" i="11"/>
  <c r="L10" i="11"/>
  <c r="L62" i="11" s="1"/>
  <c r="F8" i="11"/>
  <c r="M7" i="11"/>
  <c r="M62" i="11" s="1"/>
  <c r="M64" i="11" s="1"/>
  <c r="F6" i="11"/>
  <c r="K64" i="11" l="1"/>
  <c r="F65" i="11" s="1"/>
  <c r="F68" i="11" s="1"/>
  <c r="K66" i="11" s="1"/>
  <c r="K70" i="11" s="1"/>
  <c r="F62" i="9" l="1"/>
  <c r="M64" i="9"/>
  <c r="N62" i="9"/>
  <c r="M62" i="9"/>
  <c r="L37" i="9"/>
  <c r="I62" i="9"/>
  <c r="C62" i="9"/>
  <c r="E78" i="12"/>
  <c r="C78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S29" i="11"/>
  <c r="W23" i="11"/>
  <c r="F70" i="10"/>
  <c r="E71" i="10"/>
  <c r="C71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K68" i="9"/>
  <c r="L59" i="9"/>
  <c r="L58" i="9"/>
  <c r="L52" i="9"/>
  <c r="L51" i="9"/>
  <c r="L39" i="9"/>
  <c r="M37" i="9"/>
  <c r="M36" i="9"/>
  <c r="L36" i="9"/>
  <c r="M34" i="9"/>
  <c r="M32" i="9"/>
  <c r="M31" i="9"/>
  <c r="M27" i="9"/>
  <c r="M24" i="9"/>
  <c r="L22" i="9"/>
  <c r="M19" i="9"/>
  <c r="L15" i="9"/>
  <c r="M14" i="9"/>
  <c r="L8" i="9"/>
  <c r="M5" i="9"/>
  <c r="F36" i="8"/>
  <c r="E36" i="8"/>
  <c r="C36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K62" i="7"/>
  <c r="N56" i="7"/>
  <c r="I56" i="7"/>
  <c r="F56" i="7"/>
  <c r="C56" i="7"/>
  <c r="L46" i="7"/>
  <c r="L45" i="7"/>
  <c r="L41" i="7"/>
  <c r="L37" i="7"/>
  <c r="L35" i="7"/>
  <c r="M24" i="7"/>
  <c r="L23" i="7"/>
  <c r="M20" i="7"/>
  <c r="L16" i="7"/>
  <c r="M15" i="7"/>
  <c r="L9" i="7"/>
  <c r="L56" i="7" s="1"/>
  <c r="M8" i="7"/>
  <c r="M56" i="7" s="1"/>
  <c r="M58" i="7" s="1"/>
  <c r="E78" i="6"/>
  <c r="C78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K66" i="5"/>
  <c r="N60" i="5"/>
  <c r="I60" i="5"/>
  <c r="F60" i="5"/>
  <c r="C60" i="5"/>
  <c r="L54" i="5"/>
  <c r="L49" i="5"/>
  <c r="L48" i="5"/>
  <c r="L46" i="5"/>
  <c r="L42" i="5"/>
  <c r="L41" i="5"/>
  <c r="M38" i="5"/>
  <c r="L36" i="5"/>
  <c r="M33" i="5"/>
  <c r="L29" i="5"/>
  <c r="M28" i="5"/>
  <c r="M23" i="5"/>
  <c r="L22" i="5"/>
  <c r="M18" i="5"/>
  <c r="L15" i="5"/>
  <c r="M12" i="5"/>
  <c r="M60" i="5" s="1"/>
  <c r="M62" i="5" s="1"/>
  <c r="L8" i="5"/>
  <c r="L60" i="5" s="1"/>
  <c r="K68" i="3"/>
  <c r="N62" i="3"/>
  <c r="I62" i="3"/>
  <c r="F62" i="3"/>
  <c r="C62" i="3"/>
  <c r="L43" i="3"/>
  <c r="L38" i="3"/>
  <c r="L36" i="3"/>
  <c r="L35" i="3"/>
  <c r="L33" i="3"/>
  <c r="M29" i="3"/>
  <c r="L28" i="3"/>
  <c r="M27" i="3"/>
  <c r="M22" i="3"/>
  <c r="L21" i="3"/>
  <c r="M18" i="3"/>
  <c r="M16" i="3"/>
  <c r="L14" i="3"/>
  <c r="M10" i="3"/>
  <c r="M8" i="3"/>
  <c r="L7" i="3"/>
  <c r="K68" i="1"/>
  <c r="N62" i="1"/>
  <c r="I62" i="1"/>
  <c r="F62" i="1"/>
  <c r="C62" i="1"/>
  <c r="L46" i="1"/>
  <c r="L44" i="1"/>
  <c r="L42" i="1"/>
  <c r="M33" i="1"/>
  <c r="L29" i="1"/>
  <c r="M26" i="1"/>
  <c r="M22" i="1"/>
  <c r="L22" i="1"/>
  <c r="M21" i="1"/>
  <c r="M17" i="1"/>
  <c r="L15" i="1"/>
  <c r="M12" i="1"/>
  <c r="M8" i="1"/>
  <c r="M62" i="1" s="1"/>
  <c r="M64" i="1" s="1"/>
  <c r="L8" i="1"/>
  <c r="L62" i="1" s="1"/>
  <c r="M5" i="1"/>
  <c r="E67" i="4"/>
  <c r="C6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E47" i="2"/>
  <c r="C4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3" i="2"/>
  <c r="L62" i="9" l="1"/>
  <c r="K64" i="9" s="1"/>
  <c r="F65" i="9" s="1"/>
  <c r="F68" i="9" s="1"/>
  <c r="K66" i="9" s="1"/>
  <c r="K70" i="9" s="1"/>
  <c r="W25" i="11"/>
  <c r="F71" i="10"/>
  <c r="K58" i="7"/>
  <c r="F59" i="7"/>
  <c r="F62" i="7" s="1"/>
  <c r="K60" i="7" s="1"/>
  <c r="K64" i="7" s="1"/>
  <c r="K62" i="5"/>
  <c r="F63" i="5" s="1"/>
  <c r="F66" i="5" s="1"/>
  <c r="K64" i="5" s="1"/>
  <c r="K68" i="5" s="1"/>
  <c r="M62" i="3"/>
  <c r="M64" i="3" s="1"/>
  <c r="L62" i="3"/>
  <c r="K64" i="3" s="1"/>
  <c r="F65" i="3" s="1"/>
  <c r="F68" i="3" s="1"/>
  <c r="K66" i="3" s="1"/>
  <c r="K70" i="3" s="1"/>
  <c r="K64" i="1"/>
  <c r="F65" i="1" s="1"/>
  <c r="F68" i="1" s="1"/>
  <c r="K66" i="1" s="1"/>
  <c r="K7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<sst xmlns="http://schemas.openxmlformats.org/spreadsheetml/2006/main" count="1172" uniqueCount="649">
  <si>
    <t>BALANCE      ABASTO 4 CARNES   E N E R 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</si>
  <si>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</si>
  <si>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</si>
  <si>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</si>
  <si>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</si>
  <si>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</si>
  <si>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</si>
  <si>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</si>
  <si>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</si>
  <si>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</si>
  <si>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</si>
  <si>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</si>
  <si>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</si>
  <si>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</si>
  <si>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</si>
  <si>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</si>
  <si>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</si>
  <si>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</si>
  <si>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</si>
  <si>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</si>
  <si>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</si>
  <si>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</si>
  <si>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</si>
  <si>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</si>
  <si>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</si>
  <si>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</si>
  <si>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</si>
  <si>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</si>
  <si>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</si>
  <si>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</si>
  <si>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</si>
  <si>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</si>
  <si>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</si>
  <si>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</si>
  <si>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</si>
  <si>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</si>
  <si>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</si>
  <si>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</si>
  <si>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</si>
  <si>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RENTA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</si>
  <si>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</si>
  <si>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</si>
  <si>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</si>
  <si>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</si>
  <si>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</si>
  <si>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</si>
  <si>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</si>
  <si>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</si>
  <si>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</si>
  <si>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</si>
  <si>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</si>
  <si>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</si>
  <si>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</si>
  <si>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</si>
  <si>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</si>
  <si>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</si>
  <si>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</si>
  <si>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</si>
  <si>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</si>
  <si>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</si>
  <si>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</si>
  <si>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</si>
  <si>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</si>
  <si>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</si>
  <si>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</si>
  <si>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</si>
  <si>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</si>
  <si>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</si>
  <si>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</si>
  <si>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</si>
  <si>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</si>
  <si>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</si>
  <si>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</si>
  <si>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</si>
  <si>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</si>
  <si>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</si>
  <si>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</si>
  <si>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</si>
  <si>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</si>
  <si>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</si>
  <si>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</si>
  <si>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</si>
  <si>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</si>
  <si>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</si>
  <si>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</si>
  <si>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18412 A</t>
  </si>
  <si>
    <t>18499 A</t>
  </si>
  <si>
    <t>18550 A</t>
  </si>
  <si>
    <t>18639 A</t>
  </si>
  <si>
    <t>18769 A</t>
  </si>
  <si>
    <t>18803 A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</si>
  <si>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</si>
  <si>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</si>
  <si>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</si>
  <si>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</si>
  <si>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</si>
  <si>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</si>
  <si>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</si>
  <si>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</si>
  <si>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</si>
  <si>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</si>
  <si>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</si>
  <si>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</si>
  <si>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</si>
  <si>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</si>
  <si>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</si>
  <si>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</si>
  <si>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</si>
  <si>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</si>
  <si>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</si>
  <si>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</si>
  <si>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</si>
  <si>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</si>
  <si>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</si>
  <si>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</si>
  <si>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</si>
  <si>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</si>
  <si>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</si>
  <si>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</si>
  <si>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 xml:space="preserve">Transfer </t>
  </si>
  <si>
    <t>CHORIZO-POLLO-QUESOS-SALSAS VERDURA</t>
  </si>
  <si>
    <t>MAIZ-POLLO-CHORIZO</t>
  </si>
  <si>
    <t>Prestamo DANIELA</t>
  </si>
  <si>
    <t>LONGANIZA-POLLO-QUESOS-TOSTADAS-PAPA</t>
  </si>
  <si>
    <t>POLLO-</t>
  </si>
  <si>
    <t>NOMINA # 6</t>
  </si>
  <si>
    <t>MANCHEGO-LONGANIZAS-POLLO</t>
  </si>
  <si>
    <t>NOMINA  #6</t>
  </si>
  <si>
    <t>POLLO-TOSTADAS-CHORIZO</t>
  </si>
  <si>
    <t>Vacaciones VICTOR ADOLFO</t>
  </si>
  <si>
    <t>POLLO-QUESOS-VERDURA</t>
  </si>
  <si>
    <t>POLLO-LONGANIZA-PAPA</t>
  </si>
  <si>
    <t>NOMINA # 7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</si>
  <si>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</si>
  <si>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</si>
  <si>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</si>
  <si>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</si>
  <si>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</si>
  <si>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</si>
  <si>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</si>
  <si>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</si>
  <si>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 xml:space="preserve">Transfer   </t>
  </si>
  <si>
    <t>Res   F-255</t>
  </si>
  <si>
    <t>FEB ,2021</t>
  </si>
  <si>
    <t>VIGILANCIA</t>
  </si>
  <si>
    <t>Res   F-252</t>
  </si>
  <si>
    <t>fumigacion</t>
  </si>
  <si>
    <t>Res   F-261</t>
  </si>
  <si>
    <t>CAMARAS</t>
  </si>
  <si>
    <t>Res   F-263</t>
  </si>
  <si>
    <t>Res   F-290</t>
  </si>
  <si>
    <t>GASOLINA</t>
  </si>
  <si>
    <t>Res   F-271</t>
  </si>
  <si>
    <t>TELEFONOS</t>
  </si>
  <si>
    <t>Res   F-275</t>
  </si>
  <si>
    <t>SERV MOTO</t>
  </si>
  <si>
    <t>Res   F-312</t>
  </si>
  <si>
    <t>Res   F-310</t>
  </si>
  <si>
    <t>Res   F-311</t>
  </si>
  <si>
    <t xml:space="preserve">COMISIONES BANCARIAS </t>
  </si>
  <si>
    <t>Res   F-309</t>
  </si>
  <si>
    <t>FEB ,2021-Mar-21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</si>
  <si>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</si>
  <si>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</si>
  <si>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</si>
  <si>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</si>
  <si>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</si>
  <si>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</si>
  <si>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</si>
  <si>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</si>
  <si>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</si>
  <si>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</si>
  <si>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</si>
  <si>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</si>
  <si>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</si>
  <si>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</si>
  <si>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</si>
  <si>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</si>
  <si>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</si>
  <si>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</si>
  <si>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</si>
  <si>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</si>
  <si>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</si>
  <si>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</si>
  <si>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</si>
  <si>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</si>
  <si>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</si>
  <si>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</si>
  <si>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</si>
  <si>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</si>
  <si>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</si>
  <si>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</si>
  <si>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</si>
  <si>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</si>
  <si>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</si>
  <si>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</si>
  <si>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</si>
  <si>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</si>
  <si>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</si>
  <si>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</si>
  <si>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COMIDAS PERSONALES</t>
  </si>
  <si>
    <t>DESECHABLES</t>
  </si>
  <si>
    <t>IMSS Dic-2020</t>
  </si>
  <si>
    <t>IMSS Ene-2021</t>
  </si>
  <si>
    <t>Axa seguros</t>
  </si>
  <si>
    <t>Comidas Personales</t>
  </si>
  <si>
    <t>BALANCE      ABASTO 4 CARNES   MARZO          2 0 2 1</t>
  </si>
  <si>
    <t>POLLO-QUESO-CHORIZO</t>
  </si>
  <si>
    <t>POLLO-MAIZ-LONGANIZA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</si>
  <si>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</si>
  <si>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</si>
  <si>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</si>
  <si>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</si>
  <si>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</si>
  <si>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</si>
  <si>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</si>
  <si>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</si>
  <si>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</si>
  <si>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</si>
  <si>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</si>
  <si>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</si>
  <si>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</si>
  <si>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</si>
  <si>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LONGANIZAS-CHORIZO-POLLO</t>
  </si>
  <si>
    <t>LONGANIZA-POLLO-SALSAS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</si>
  <si>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</si>
  <si>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</si>
  <si>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</si>
  <si>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</si>
  <si>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</si>
  <si>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</si>
  <si>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</si>
  <si>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</si>
  <si>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</si>
  <si>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>POLLO-QUESOS-PAPA</t>
  </si>
  <si>
    <t>NOMINA $ 14</t>
  </si>
  <si>
    <t>RES</t>
  </si>
  <si>
    <t>marzo</t>
  </si>
  <si>
    <t xml:space="preserve">comidas personales </t>
  </si>
  <si>
    <t>AT&amp;T</t>
  </si>
  <si>
    <t>BOLSA</t>
  </si>
  <si>
    <t xml:space="preserve">REDES SOCIALES </t>
  </si>
  <si>
    <t>Impuestos Fed</t>
  </si>
  <si>
    <t>OPENPAY</t>
  </si>
  <si>
    <t xml:space="preserve">IMSS </t>
  </si>
  <si>
    <t>SEGURO Qualitas</t>
  </si>
  <si>
    <t>COMPRA  Bolsa</t>
  </si>
  <si>
    <t xml:space="preserve">comisiones bancarias </t>
  </si>
  <si>
    <t>Transfer</t>
  </si>
  <si>
    <t>C/23-Mar</t>
  </si>
  <si>
    <t>c/22-Mar</t>
  </si>
  <si>
    <t xml:space="preserve"> Transfer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</si>
  <si>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</si>
  <si>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</si>
  <si>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</si>
  <si>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</si>
  <si>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</si>
  <si>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</si>
  <si>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</si>
  <si>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</si>
  <si>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</si>
  <si>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</si>
  <si>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</si>
  <si>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</si>
  <si>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</si>
  <si>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</si>
  <si>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</si>
  <si>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</si>
  <si>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</si>
  <si>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</si>
  <si>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</si>
  <si>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</si>
  <si>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</si>
  <si>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</si>
  <si>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</si>
  <si>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</si>
  <si>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</si>
  <si>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</si>
  <si>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</si>
  <si>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</si>
  <si>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</si>
  <si>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</si>
  <si>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</si>
  <si>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</si>
  <si>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</si>
  <si>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</si>
  <si>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</si>
  <si>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</si>
  <si>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</si>
  <si>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</si>
  <si>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</si>
  <si>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</si>
  <si>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</si>
  <si>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</si>
  <si>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</si>
  <si>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</si>
  <si>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</si>
  <si>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BALANCE      ABASTO 4 CARNES   ABRIL          2 0 2 1</t>
  </si>
  <si>
    <t>POLLO-QUESOS-LONGANIZA-TOSTADAS-MAIZ</t>
  </si>
  <si>
    <t>NLP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</si>
  <si>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</si>
  <si>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</si>
  <si>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</si>
  <si>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</si>
  <si>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</si>
  <si>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</si>
  <si>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</si>
  <si>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</si>
  <si>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LONGANIZAS-POLLO-MAIZ-QUESOS</t>
  </si>
  <si>
    <t>NOMINA  # 16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</si>
  <si>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</si>
  <si>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</si>
  <si>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</si>
  <si>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</si>
  <si>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</si>
  <si>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</si>
  <si>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</si>
  <si>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</si>
  <si>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</si>
  <si>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</si>
  <si>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</si>
  <si>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</si>
  <si>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</si>
  <si>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>longaniza--chorizo-´pollo</t>
  </si>
  <si>
    <t>abril</t>
  </si>
  <si>
    <t>vigilante</t>
  </si>
  <si>
    <t>desechables</t>
  </si>
  <si>
    <t xml:space="preserve">INTERNET </t>
  </si>
  <si>
    <t>Maquina p/sellar bolsas</t>
  </si>
  <si>
    <t xml:space="preserve">vacaciones     </t>
  </si>
  <si>
    <t xml:space="preserve">impuestos federales </t>
  </si>
  <si>
    <t>Botargas</t>
  </si>
  <si>
    <t>SKY</t>
  </si>
  <si>
    <t>ADT MEXICO</t>
  </si>
  <si>
    <t>REDES SOCIALES</t>
  </si>
  <si>
    <t>SEGURO VIDA</t>
  </si>
  <si>
    <t>pago IMSS</t>
  </si>
  <si>
    <t>PAGO Impuesto 3%</t>
  </si>
  <si>
    <t>Gasto no deducible</t>
  </si>
  <si>
    <t>comisiones bancaria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</si>
  <si>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</si>
  <si>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</si>
  <si>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</si>
  <si>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</si>
  <si>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</si>
  <si>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</si>
  <si>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</si>
  <si>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</si>
  <si>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</si>
  <si>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</si>
  <si>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</si>
  <si>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</si>
  <si>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</si>
  <si>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</si>
  <si>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</si>
  <si>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</si>
  <si>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</si>
  <si>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</si>
  <si>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</si>
  <si>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</si>
  <si>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</si>
  <si>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</si>
  <si>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</si>
  <si>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</si>
  <si>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</si>
  <si>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</si>
  <si>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</si>
  <si>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</si>
  <si>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</si>
  <si>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</si>
  <si>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</si>
  <si>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PERDIDA</t>
  </si>
  <si>
    <t>BALANCE      ABASTO 4 CARNES   MAYO          2 0 2 1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</si>
  <si>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</si>
  <si>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</si>
  <si>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</si>
  <si>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</si>
  <si>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</si>
  <si>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</si>
  <si>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</si>
  <si>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</si>
  <si>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</si>
  <si>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</si>
  <si>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</si>
  <si>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</si>
  <si>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</si>
  <si>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</si>
  <si>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</si>
  <si>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</si>
  <si>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</si>
  <si>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</si>
  <si>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</si>
  <si>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</si>
  <si>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</si>
  <si>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</si>
  <si>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</si>
  <si>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</si>
  <si>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</si>
  <si>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POLLO-PAPA-CHORIZO-SALSAS</t>
  </si>
  <si>
    <t xml:space="preserve">P.T.U.- Y RENTA </t>
  </si>
  <si>
    <t>MAIZ-QUESO</t>
  </si>
  <si>
    <t>TELMEX</t>
  </si>
  <si>
    <t>POLLO-LONGANIZAS-CECINA</t>
  </si>
  <si>
    <t>QUESOS-POLLO-LONGANIZA-MAIZ</t>
  </si>
  <si>
    <t>NOMINA 23</t>
  </si>
  <si>
    <t>POLLO-TOCINETA-SALCHICHA</t>
  </si>
  <si>
    <t>c/7 Jun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</si>
  <si>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</si>
  <si>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</si>
  <si>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</si>
  <si>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</si>
  <si>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</si>
  <si>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</si>
  <si>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</si>
  <si>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</si>
  <si>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</si>
  <si>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Pulpa Contra</t>
  </si>
  <si>
    <t>ULTRAVISION</t>
  </si>
  <si>
    <t>RADIOMOVIL</t>
  </si>
  <si>
    <t>GARANTIA FIRA</t>
  </si>
  <si>
    <t>PAGO IMSS</t>
  </si>
  <si>
    <t>IMPUESTO 3%</t>
  </si>
  <si>
    <t>LUZ BIMESTRAL</t>
  </si>
  <si>
    <t>COMISION BANCARIA</t>
  </si>
  <si>
    <t>JUNIO</t>
  </si>
  <si>
    <t>Licencia Facturacion</t>
  </si>
  <si>
    <t>ADT Private</t>
  </si>
  <si>
    <t>Gasolina</t>
  </si>
  <si>
    <t xml:space="preserve">CORTE DE ADMINISTRACION </t>
  </si>
  <si>
    <t xml:space="preserve">PROVEEDOREES ODELPA </t>
  </si>
  <si>
    <t>06079 B</t>
  </si>
  <si>
    <t>06141 B</t>
  </si>
  <si>
    <t>06226 B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</si>
  <si>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</si>
  <si>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</si>
  <si>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</si>
  <si>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</si>
  <si>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</si>
  <si>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</si>
  <si>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</si>
  <si>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</si>
  <si>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</si>
  <si>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</si>
  <si>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</si>
  <si>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</si>
  <si>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</si>
  <si>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</si>
  <si>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</si>
  <si>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</si>
  <si>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</si>
  <si>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</si>
  <si>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</si>
  <si>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</si>
  <si>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</si>
  <si>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</si>
  <si>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</si>
  <si>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</si>
  <si>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</si>
  <si>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</si>
  <si>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</si>
  <si>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</si>
  <si>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</si>
  <si>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</si>
  <si>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</si>
  <si>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</si>
  <si>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</si>
  <si>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</si>
  <si>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</si>
  <si>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</si>
  <si>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09411 B</t>
  </si>
  <si>
    <t>09485 B</t>
  </si>
  <si>
    <t>09545 B</t>
  </si>
  <si>
    <t>09576 B</t>
  </si>
  <si>
    <t>ELIAS &amp; PEPE</t>
  </si>
  <si>
    <t>BALANCE      ABASTO 4 CARNES   JUNIO          2 0 2 1</t>
  </si>
  <si>
    <t xml:space="preserve">ABASTO DE 4 CARNES </t>
  </si>
  <si>
    <t>VENTAS EN EFECTIVO</t>
  </si>
  <si>
    <t>DEPOSITOS HECHOS</t>
  </si>
  <si>
    <t>c/6 Jun</t>
  </si>
  <si>
    <t>LONGANIZA</t>
  </si>
  <si>
    <t>OFICINA</t>
  </si>
  <si>
    <t>CHORIZO-POLLO-QUESOS-MAIZ</t>
  </si>
  <si>
    <t xml:space="preserve">FOTO MULTA </t>
  </si>
  <si>
    <t>JAMON-POLLO-TOSTADAS</t>
  </si>
  <si>
    <t>CUERO-POLLO-MAIZ</t>
  </si>
  <si>
    <t>NOMINA # 24</t>
  </si>
  <si>
    <t>LONGANIZA-SALCHICHA-QUESO-POLLO-SAZONADORES</t>
  </si>
  <si>
    <t>PEPE</t>
  </si>
  <si>
    <t>PAPA-QUESOS-POLLO</t>
  </si>
  <si>
    <t>POLLO-CHORIZO-CONDIMENTOS</t>
  </si>
  <si>
    <t>POLLO-MAIZ-CECINA-CHORIZO</t>
  </si>
  <si>
    <t>QUESOS-JAMON-POLLO</t>
  </si>
  <si>
    <t>LONGANIZAS--POLLO</t>
  </si>
  <si>
    <t>NOMINA # 25</t>
  </si>
  <si>
    <t>TOCINETA-MANCHEGO-LONGANIZA-POLLO</t>
  </si>
  <si>
    <t>QUESOS -POLLO-MAIZ-CHORIZO</t>
  </si>
  <si>
    <t>POLLO--TOSTADAS</t>
  </si>
  <si>
    <t>DEPOSITOS PEPE</t>
  </si>
  <si>
    <t>POLLO-MAIZ--MARINADOR</t>
  </si>
  <si>
    <t>NOMINA # 26</t>
  </si>
  <si>
    <t xml:space="preserve">EFECTIVO PENDIENTE </t>
  </si>
  <si>
    <t>QUESOS-LONGANIZAS-POLLO-TOSTADAS</t>
  </si>
  <si>
    <t>TOSTADAS-POLLO-LONGANIZA</t>
  </si>
  <si>
    <t>EFECTIVOS PENDIENTES</t>
  </si>
  <si>
    <t>PAY PAL</t>
  </si>
  <si>
    <t>ERSA REGRIG</t>
  </si>
  <si>
    <t>IMPUESTOS FED</t>
  </si>
  <si>
    <t>PAGO Prestamo</t>
  </si>
  <si>
    <t>intereses</t>
  </si>
  <si>
    <t>SESOS</t>
  </si>
  <si>
    <t>EXTINTORES</t>
  </si>
  <si>
    <t>INTERNET</t>
  </si>
  <si>
    <t>IMPRENTA</t>
  </si>
  <si>
    <t>TELCEL</t>
  </si>
  <si>
    <t>COM.  Garantia Fira</t>
  </si>
  <si>
    <t>COMISIONES BANCARIAS</t>
  </si>
  <si>
    <t>09666 B</t>
  </si>
  <si>
    <t>09714 B</t>
  </si>
  <si>
    <t>09784 B</t>
  </si>
  <si>
    <t>09919 B</t>
  </si>
  <si>
    <t>10037 B</t>
  </si>
  <si>
    <t>10040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</si>
  <si>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</si>
  <si>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</si>
  <si>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</si>
  <si>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</si>
  <si>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</si>
  <si>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</si>
  <si>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</si>
  <si>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</si>
  <si>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</si>
  <si>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</si>
  <si>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</si>
  <si>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</si>
  <si>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</si>
  <si>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</si>
  <si>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</si>
  <si>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</si>
  <si>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</si>
  <si>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</si>
  <si>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</si>
  <si>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</si>
  <si>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</si>
  <si>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</si>
  <si>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</si>
  <si>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>C/16-Jun</t>
  </si>
  <si>
    <t>c/15-Jun</t>
  </si>
  <si>
    <t>EFECTIVO PENDIENTE DE DEPOSITAR</t>
  </si>
  <si>
    <t>BALANCE      ABASTO 4 CARNES   JULIO          2 0 2 1</t>
  </si>
  <si>
    <t>VENTA EFECTIVO</t>
  </si>
  <si>
    <t>LONGANIZA-QUESOS-POLLO</t>
  </si>
  <si>
    <t>ELIAS/PEPE</t>
  </si>
  <si>
    <t>NOMINA # 27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</si>
  <si>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</si>
  <si>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</si>
  <si>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</si>
  <si>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</si>
  <si>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</si>
  <si>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</si>
  <si>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</si>
  <si>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</si>
  <si>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</si>
  <si>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</si>
  <si>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</si>
  <si>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</si>
  <si>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</si>
  <si>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</si>
  <si>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</si>
  <si>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</si>
  <si>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</si>
  <si>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</si>
  <si>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</si>
  <si>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</si>
  <si>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</si>
  <si>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</si>
  <si>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</si>
  <si>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</si>
  <si>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</si>
  <si>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</si>
  <si>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</si>
  <si>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</si>
  <si>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</si>
  <si>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</si>
  <si>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</si>
  <si>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</si>
  <si>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</si>
  <si>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</si>
  <si>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</si>
  <si>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 xml:space="preserve">CONTRA ( Roel ) </t>
  </si>
  <si>
    <t>PERNIL  ( ROEL )</t>
  </si>
  <si>
    <t>CALENDARIOS</t>
  </si>
  <si>
    <t>REFRIGERACION</t>
  </si>
  <si>
    <t>PRESTAMO 2/18</t>
  </si>
  <si>
    <t>INTERESES S/Prest 2/18</t>
  </si>
  <si>
    <t xml:space="preserve">IMPRENTA </t>
  </si>
  <si>
    <t>BASURA</t>
  </si>
  <si>
    <t>GARANTIA FIRA  3</t>
  </si>
  <si>
    <t>FALTANTE DE EFEC TIVO</t>
  </si>
  <si>
    <t>SEGURO DE VIDA 3</t>
  </si>
  <si>
    <t xml:space="preserve">LICENCIAS HERRADURA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</si>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</sst>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6" fontId="18" fillId="0" borderId="7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left" vertical="top"/>
    </xf>
    <xf numFmtId="166" fontId="16" fillId="0" borderId="29" xfId="0" applyNumberFormat="1" applyFont="1" applyBorder="1"/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0" fontId="18" fillId="6" borderId="17" xfId="0" applyFont="1" applyFill="1" applyBorder="1" applyAlignment="1">
      <alignment horizontal="left"/>
    </xf>
    <xf numFmtId="44" fontId="2" fillId="0" borderId="31" xfId="1" applyFont="1" applyFill="1" applyBorder="1"/>
    <xf numFmtId="0" fontId="16" fillId="0" borderId="17" xfId="0" applyFont="1" applyBorder="1" applyAlignment="1">
      <alignment horizontal="left"/>
    </xf>
    <xf numFmtId="44" fontId="2" fillId="0" borderId="17" xfId="1" applyFont="1" applyFill="1" applyBorder="1"/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0" fontId="20" fillId="0" borderId="17" xfId="0" applyFont="1" applyBorder="1"/>
    <xf numFmtId="0" fontId="2" fillId="0" borderId="17" xfId="0" applyFont="1" applyBorder="1" applyAlignment="1">
      <alignment horizontal="center"/>
    </xf>
    <xf numFmtId="166" fontId="12" fillId="0" borderId="32" xfId="0" applyNumberFormat="1" applyFont="1" applyBorder="1"/>
    <xf numFmtId="166" fontId="12" fillId="0" borderId="33" xfId="0" applyNumberFormat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2" fillId="0" borderId="0" xfId="0" applyFont="1" applyAlignment="1">
      <alignment horizontal="right"/>
    </xf>
    <xf numFmtId="164" fontId="2" fillId="0" borderId="34" xfId="0" applyNumberFormat="1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15" fontId="2" fillId="0" borderId="27" xfId="0" applyNumberFormat="1" applyFont="1" applyBorder="1"/>
    <xf numFmtId="44" fontId="2" fillId="0" borderId="0" xfId="1" applyFont="1" applyFill="1" applyBorder="1" applyAlignment="1">
      <alignment horizontal="right"/>
    </xf>
    <xf numFmtId="44" fontId="2" fillId="0" borderId="37" xfId="1" applyFont="1" applyFill="1" applyBorder="1"/>
    <xf numFmtId="0" fontId="2" fillId="7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2" fillId="0" borderId="42" xfId="0" applyFont="1" applyBorder="1" applyAlignment="1">
      <alignment horizontal="center"/>
    </xf>
    <xf numFmtId="44" fontId="23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46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4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5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44" fontId="5" fillId="0" borderId="17" xfId="1" applyFont="1" applyFill="1" applyBorder="1"/>
    <xf numFmtId="168" fontId="26" fillId="0" borderId="22" xfId="1" applyNumberFormat="1" applyFont="1" applyBorder="1"/>
    <xf numFmtId="44" fontId="27" fillId="0" borderId="2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8" fillId="0" borderId="0" xfId="0" applyFont="1"/>
    <xf numFmtId="44" fontId="29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32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5" fillId="0" borderId="50" xfId="1" applyFont="1" applyBorder="1"/>
    <xf numFmtId="164" fontId="2" fillId="0" borderId="17" xfId="0" applyNumberFormat="1" applyFont="1" applyBorder="1" applyAlignment="1">
      <alignment horizontal="center"/>
    </xf>
    <xf numFmtId="44" fontId="36" fillId="0" borderId="50" xfId="1" applyFont="1" applyFill="1" applyBorder="1"/>
    <xf numFmtId="0" fontId="14" fillId="0" borderId="0" xfId="0" applyFont="1"/>
    <xf numFmtId="44" fontId="37" fillId="0" borderId="50" xfId="1" applyFont="1" applyFill="1" applyBorder="1"/>
    <xf numFmtId="164" fontId="33" fillId="0" borderId="51" xfId="0" applyNumberFormat="1" applyFont="1" applyBorder="1" applyAlignment="1">
      <alignment horizontal="center"/>
    </xf>
    <xf numFmtId="1" fontId="34" fillId="0" borderId="51" xfId="0" applyNumberFormat="1" applyFont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1" fontId="34" fillId="0" borderId="52" xfId="0" applyNumberFormat="1" applyFont="1" applyBorder="1" applyAlignment="1">
      <alignment horizontal="center"/>
    </xf>
    <xf numFmtId="44" fontId="2" fillId="0" borderId="3" xfId="1" applyFont="1" applyFill="1" applyBorder="1"/>
    <xf numFmtId="164" fontId="2" fillId="0" borderId="3" xfId="0" applyNumberFormat="1" applyFont="1" applyBorder="1" applyAlignment="1">
      <alignment horizontal="center"/>
    </xf>
    <xf numFmtId="44" fontId="35" fillId="4" borderId="50" xfId="1" applyFont="1" applyFill="1" applyBorder="1"/>
    <xf numFmtId="44" fontId="20" fillId="0" borderId="0" xfId="1" applyFont="1" applyAlignment="1">
      <alignment horizontal="center"/>
    </xf>
    <xf numFmtId="44" fontId="20" fillId="0" borderId="0" xfId="1" applyFont="1" applyFill="1" applyAlignment="1">
      <alignment horizontal="center"/>
    </xf>
    <xf numFmtId="44" fontId="20" fillId="0" borderId="0" xfId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44" fontId="38" fillId="0" borderId="0" xfId="1" applyFont="1" applyFill="1" applyBorder="1" applyAlignment="1">
      <alignment horizontal="center"/>
    </xf>
    <xf numFmtId="44" fontId="39" fillId="6" borderId="0" xfId="1" applyFont="1" applyFill="1" applyBorder="1" applyAlignment="1">
      <alignment horizontal="left"/>
    </xf>
    <xf numFmtId="16" fontId="20" fillId="9" borderId="17" xfId="0" applyNumberFormat="1" applyFont="1" applyFill="1" applyBorder="1"/>
    <xf numFmtId="44" fontId="2" fillId="9" borderId="22" xfId="1" applyFont="1" applyFill="1" applyBorder="1"/>
    <xf numFmtId="0" fontId="21" fillId="0" borderId="17" xfId="0" applyFont="1" applyBorder="1"/>
    <xf numFmtId="165" fontId="18" fillId="0" borderId="17" xfId="1" applyNumberFormat="1" applyFont="1" applyFill="1" applyBorder="1" applyAlignment="1">
      <alignment horizontal="center"/>
    </xf>
    <xf numFmtId="0" fontId="19" fillId="6" borderId="17" xfId="0" applyFont="1" applyFill="1" applyBorder="1" applyAlignment="1">
      <alignment horizontal="left"/>
    </xf>
    <xf numFmtId="165" fontId="2" fillId="4" borderId="53" xfId="0" applyNumberFormat="1" applyFont="1" applyFill="1" applyBorder="1" applyAlignment="1">
      <alignment horizontal="left"/>
    </xf>
    <xf numFmtId="166" fontId="12" fillId="4" borderId="17" xfId="0" applyNumberFormat="1" applyFont="1" applyFill="1" applyBorder="1"/>
    <xf numFmtId="165" fontId="2" fillId="4" borderId="32" xfId="0" applyNumberFormat="1" applyFont="1" applyFill="1" applyBorder="1" applyAlignment="1">
      <alignment horizontal="left"/>
    </xf>
    <xf numFmtId="0" fontId="29" fillId="0" borderId="54" xfId="0" applyFont="1" applyBorder="1" applyAlignment="1">
      <alignment horizontal="center"/>
    </xf>
    <xf numFmtId="0" fontId="2" fillId="10" borderId="17" xfId="0" applyFont="1" applyFill="1" applyBorder="1" applyAlignment="1">
      <alignment horizontal="left" wrapText="1"/>
    </xf>
    <xf numFmtId="0" fontId="29" fillId="0" borderId="33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0" fillId="0" borderId="0" xfId="0" applyFont="1" applyAlignment="1">
      <alignment horizontal="center"/>
    </xf>
    <xf numFmtId="166" fontId="12" fillId="0" borderId="17" xfId="0" applyNumberFormat="1" applyFont="1" applyBorder="1"/>
    <xf numFmtId="44" fontId="38" fillId="0" borderId="0" xfId="1" applyFont="1" applyFill="1" applyAlignment="1">
      <alignment horizontal="center"/>
    </xf>
    <xf numFmtId="167" fontId="38" fillId="0" borderId="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4" fontId="2" fillId="11" borderId="20" xfId="1" applyFont="1" applyFill="1" applyBorder="1"/>
    <xf numFmtId="0" fontId="41" fillId="0" borderId="17" xfId="0" applyFont="1" applyBorder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horizontal="right"/>
    </xf>
    <xf numFmtId="0" fontId="2" fillId="0" borderId="36" xfId="0" applyFont="1" applyBorder="1" applyAlignment="1">
      <alignment horizontal="left"/>
    </xf>
    <xf numFmtId="0" fontId="42" fillId="0" borderId="51" xfId="0" applyFont="1" applyBorder="1" applyAlignment="1">
      <alignment horizontal="center"/>
    </xf>
    <xf numFmtId="44" fontId="2" fillId="12" borderId="20" xfId="1" applyFont="1" applyFill="1" applyBorder="1"/>
    <xf numFmtId="165" fontId="18" fillId="0" borderId="17" xfId="1" applyNumberFormat="1" applyFont="1" applyFill="1" applyBorder="1" applyAlignment="1">
      <alignment horizontal="left"/>
    </xf>
    <xf numFmtId="0" fontId="2" fillId="6" borderId="17" xfId="0" applyFont="1" applyFill="1" applyBorder="1"/>
    <xf numFmtId="166" fontId="19" fillId="0" borderId="17" xfId="0" applyNumberFormat="1" applyFont="1" applyBorder="1"/>
    <xf numFmtId="166" fontId="18" fillId="0" borderId="17" xfId="0" applyNumberFormat="1" applyFont="1" applyBorder="1"/>
    <xf numFmtId="44" fontId="5" fillId="0" borderId="54" xfId="1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41" fillId="0" borderId="17" xfId="0" applyFont="1" applyBorder="1" applyAlignment="1">
      <alignment horizontal="center"/>
    </xf>
    <xf numFmtId="44" fontId="2" fillId="4" borderId="25" xfId="1" applyFont="1" applyFill="1" applyBorder="1"/>
    <xf numFmtId="0" fontId="20" fillId="0" borderId="17" xfId="0" applyFont="1" applyBorder="1" applyAlignment="1">
      <alignment horizontal="left"/>
    </xf>
    <xf numFmtId="165" fontId="2" fillId="0" borderId="46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15" fontId="2" fillId="0" borderId="0" xfId="0" applyNumberFormat="1" applyFont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39" fillId="0" borderId="0" xfId="1" applyFont="1" applyFill="1" applyBorder="1" applyAlignment="1">
      <alignment horizontal="left"/>
    </xf>
    <xf numFmtId="44" fontId="43" fillId="12" borderId="0" xfId="1" applyFont="1" applyFill="1" applyBorder="1" applyAlignment="1">
      <alignment horizontal="center"/>
    </xf>
    <xf numFmtId="44" fontId="38" fillId="12" borderId="0" xfId="1" applyFont="1" applyFill="1" applyBorder="1" applyAlignment="1">
      <alignment horizontal="center"/>
    </xf>
    <xf numFmtId="44" fontId="44" fillId="0" borderId="0" xfId="1" applyFont="1" applyFill="1" applyBorder="1" applyAlignment="1">
      <alignment horizontal="center"/>
    </xf>
    <xf numFmtId="44" fontId="43" fillId="0" borderId="0" xfId="1" applyFont="1" applyFill="1" applyBorder="1" applyAlignment="1">
      <alignment horizontal="center"/>
    </xf>
    <xf numFmtId="16" fontId="40" fillId="0" borderId="24" xfId="0" applyNumberFormat="1" applyFont="1" applyBorder="1"/>
    <xf numFmtId="0" fontId="2" fillId="0" borderId="24" xfId="0" applyFont="1" applyBorder="1" applyAlignment="1">
      <alignment horizontal="left"/>
    </xf>
    <xf numFmtId="0" fontId="12" fillId="6" borderId="17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2" fillId="7" borderId="0" xfId="0" applyFont="1" applyFill="1" applyAlignment="1">
      <alignment horizontal="left"/>
    </xf>
    <xf numFmtId="0" fontId="20" fillId="0" borderId="36" xfId="0" applyFont="1" applyBorder="1" applyAlignment="1">
      <alignment horizontal="left"/>
    </xf>
    <xf numFmtId="44" fontId="2" fillId="11" borderId="0" xfId="1" applyFont="1" applyFill="1" applyBorder="1" applyAlignment="1">
      <alignment horizontal="right"/>
    </xf>
    <xf numFmtId="0" fontId="21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5" fontId="20" fillId="0" borderId="0" xfId="1" applyNumberFormat="1" applyFont="1" applyFill="1"/>
    <xf numFmtId="165" fontId="20" fillId="0" borderId="0" xfId="1" applyNumberFormat="1" applyFont="1" applyFill="1" applyAlignment="1">
      <alignment horizontal="center"/>
    </xf>
    <xf numFmtId="165" fontId="2" fillId="0" borderId="27" xfId="1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0" fillId="0" borderId="24" xfId="0" applyFont="1" applyBorder="1" applyAlignment="1">
      <alignment horizontal="left"/>
    </xf>
    <xf numFmtId="44" fontId="2" fillId="0" borderId="28" xfId="1" applyFont="1" applyFill="1" applyBorder="1" applyAlignment="1">
      <alignment horizontal="right"/>
    </xf>
    <xf numFmtId="165" fontId="20" fillId="0" borderId="27" xfId="1" applyNumberFormat="1" applyFont="1" applyFill="1" applyBorder="1" applyAlignment="1">
      <alignment horizontal="left"/>
    </xf>
    <xf numFmtId="165" fontId="20" fillId="0" borderId="17" xfId="1" applyNumberFormat="1" applyFont="1" applyFill="1" applyBorder="1" applyAlignment="1">
      <alignment horizontal="left"/>
    </xf>
    <xf numFmtId="165" fontId="2" fillId="0" borderId="17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166" fontId="45" fillId="0" borderId="17" xfId="0" applyNumberFormat="1" applyFont="1" applyBorder="1"/>
    <xf numFmtId="165" fontId="19" fillId="0" borderId="17" xfId="1" applyNumberFormat="1" applyFont="1" applyFill="1" applyBorder="1" applyAlignment="1">
      <alignment horizontal="center"/>
    </xf>
    <xf numFmtId="44" fontId="2" fillId="4" borderId="17" xfId="0" applyNumberFormat="1" applyFont="1" applyFill="1" applyBorder="1"/>
    <xf numFmtId="0" fontId="2" fillId="4" borderId="1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165" fontId="2" fillId="4" borderId="25" xfId="0" applyNumberFormat="1" applyFont="1" applyFill="1" applyBorder="1" applyAlignment="1">
      <alignment horizontal="left"/>
    </xf>
    <xf numFmtId="0" fontId="2" fillId="4" borderId="25" xfId="0" applyFont="1" applyFill="1" applyBorder="1" applyAlignment="1">
      <alignment horizontal="center"/>
    </xf>
    <xf numFmtId="44" fontId="2" fillId="4" borderId="17" xfId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44" fontId="5" fillId="0" borderId="0" xfId="1" applyFont="1" applyFill="1" applyAlignment="1">
      <alignment horizontal="center"/>
    </xf>
    <xf numFmtId="44" fontId="15" fillId="0" borderId="0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5" fontId="2" fillId="0" borderId="62" xfId="1" applyNumberFormat="1" applyFont="1" applyFill="1" applyBorder="1" applyAlignment="1">
      <alignment horizontal="center"/>
    </xf>
    <xf numFmtId="44" fontId="5" fillId="0" borderId="62" xfId="1" applyFont="1" applyFill="1" applyBorder="1" applyAlignment="1">
      <alignment horizontal="center"/>
    </xf>
    <xf numFmtId="165" fontId="2" fillId="0" borderId="63" xfId="1" applyNumberFormat="1" applyFont="1" applyFill="1" applyBorder="1" applyAlignment="1">
      <alignment horizontal="center"/>
    </xf>
    <xf numFmtId="44" fontId="5" fillId="0" borderId="63" xfId="1" applyFont="1" applyFill="1" applyBorder="1" applyAlignment="1">
      <alignment horizontal="center"/>
    </xf>
    <xf numFmtId="44" fontId="38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44" fontId="12" fillId="14" borderId="17" xfId="1" applyFont="1" applyFill="1" applyBorder="1" applyAlignment="1">
      <alignment horizontal="center"/>
    </xf>
    <xf numFmtId="44" fontId="29" fillId="0" borderId="17" xfId="1" applyFont="1" applyFill="1" applyBorder="1" applyAlignment="1">
      <alignment horizontal="center"/>
    </xf>
    <xf numFmtId="44" fontId="29" fillId="0" borderId="0" xfId="1" applyFont="1" applyFill="1" applyBorder="1" applyAlignment="1">
      <alignment horizontal="center"/>
    </xf>
    <xf numFmtId="0" fontId="19" fillId="0" borderId="17" xfId="0" applyFont="1" applyBorder="1"/>
    <xf numFmtId="44" fontId="2" fillId="0" borderId="65" xfId="1" applyFont="1" applyFill="1" applyBorder="1"/>
    <xf numFmtId="165" fontId="15" fillId="0" borderId="33" xfId="1" applyNumberFormat="1" applyFont="1" applyFill="1" applyBorder="1" applyAlignment="1">
      <alignment vertical="center"/>
    </xf>
    <xf numFmtId="165" fontId="15" fillId="0" borderId="0" xfId="1" applyNumberFormat="1" applyFont="1" applyFill="1" applyBorder="1" applyAlignment="1">
      <alignment vertical="center"/>
    </xf>
    <xf numFmtId="44" fontId="47" fillId="0" borderId="1" xfId="1" applyFont="1" applyFill="1" applyBorder="1" applyAlignment="1">
      <alignment vertical="center"/>
    </xf>
    <xf numFmtId="44" fontId="47" fillId="0" borderId="0" xfId="1" applyFont="1" applyFill="1" applyBorder="1" applyAlignment="1">
      <alignment horizontal="center" vertical="center"/>
    </xf>
    <xf numFmtId="44" fontId="29" fillId="0" borderId="12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69" xfId="1" applyNumberFormat="1" applyFont="1" applyFill="1" applyBorder="1" applyAlignment="1">
      <alignment horizontal="center"/>
    </xf>
    <xf numFmtId="44" fontId="5" fillId="0" borderId="69" xfId="1" applyFont="1" applyFill="1" applyBorder="1" applyAlignment="1">
      <alignment horizontal="center"/>
    </xf>
    <xf numFmtId="44" fontId="2" fillId="0" borderId="68" xfId="1" applyFont="1" applyFill="1" applyBorder="1"/>
    <xf numFmtId="44" fontId="13" fillId="0" borderId="0" xfId="1" applyFont="1" applyFill="1" applyBorder="1" applyAlignment="1">
      <alignment horizontal="center"/>
    </xf>
    <xf numFmtId="0" fontId="18" fillId="0" borderId="17" xfId="0" applyFont="1" applyBorder="1"/>
    <xf numFmtId="44" fontId="18" fillId="0" borderId="22" xfId="1" applyFont="1" applyFill="1" applyBorder="1"/>
    <xf numFmtId="165" fontId="12" fillId="0" borderId="0" xfId="1" applyNumberFormat="1" applyFont="1" applyFill="1" applyBorder="1" applyAlignment="1">
      <alignment wrapText="1"/>
    </xf>
    <xf numFmtId="165" fontId="2" fillId="15" borderId="17" xfId="0" applyNumberFormat="1" applyFont="1" applyFill="1" applyBorder="1" applyAlignment="1">
      <alignment horizontal="left"/>
    </xf>
    <xf numFmtId="44" fontId="2" fillId="15" borderId="17" xfId="1" applyFont="1" applyFill="1" applyBorder="1"/>
    <xf numFmtId="166" fontId="12" fillId="15" borderId="17" xfId="0" applyNumberFormat="1" applyFont="1" applyFill="1" applyBorder="1"/>
    <xf numFmtId="44" fontId="18" fillId="0" borderId="17" xfId="1" applyFont="1" applyFill="1" applyBorder="1"/>
    <xf numFmtId="0" fontId="18" fillId="0" borderId="0" xfId="0" applyFont="1" applyAlignment="1">
      <alignment horizontal="left"/>
    </xf>
    <xf numFmtId="44" fontId="18" fillId="0" borderId="0" xfId="1" applyFont="1" applyFill="1"/>
    <xf numFmtId="15" fontId="2" fillId="0" borderId="15" xfId="0" applyNumberFormat="1" applyFont="1" applyBorder="1" applyAlignment="1">
      <alignment horizontal="right"/>
    </xf>
    <xf numFmtId="0" fontId="18" fillId="4" borderId="17" xfId="0" applyFont="1" applyFill="1" applyBorder="1" applyAlignment="1">
      <alignment horizontal="left"/>
    </xf>
    <xf numFmtId="44" fontId="18" fillId="4" borderId="17" xfId="1" applyFont="1" applyFill="1" applyBorder="1"/>
    <xf numFmtId="0" fontId="18" fillId="0" borderId="17" xfId="0" applyFont="1" applyBorder="1" applyAlignment="1">
      <alignment horizontal="left" wrapText="1"/>
    </xf>
    <xf numFmtId="44" fontId="2" fillId="0" borderId="17" xfId="0" applyNumberFormat="1" applyFont="1" applyBorder="1"/>
    <xf numFmtId="165" fontId="2" fillId="0" borderId="25" xfId="0" applyNumberFormat="1" applyFont="1" applyBorder="1" applyAlignment="1">
      <alignment horizontal="left"/>
    </xf>
    <xf numFmtId="44" fontId="2" fillId="0" borderId="25" xfId="1" applyFont="1" applyFill="1" applyBorder="1"/>
    <xf numFmtId="0" fontId="2" fillId="0" borderId="25" xfId="0" applyFont="1" applyBorder="1" applyAlignment="1">
      <alignment horizontal="center"/>
    </xf>
    <xf numFmtId="44" fontId="5" fillId="0" borderId="0" xfId="1" applyFont="1" applyFill="1"/>
    <xf numFmtId="167" fontId="13" fillId="0" borderId="0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4" fontId="32" fillId="0" borderId="0" xfId="1" applyFont="1" applyFill="1" applyAlignment="1">
      <alignment horizontal="center" vertical="center"/>
    </xf>
    <xf numFmtId="0" fontId="13" fillId="9" borderId="12" xfId="0" applyFont="1" applyFill="1" applyBorder="1" applyAlignment="1">
      <alignment horizontal="center" vertical="center" wrapText="1"/>
    </xf>
    <xf numFmtId="44" fontId="40" fillId="0" borderId="0" xfId="1" applyFont="1" applyFill="1" applyBorder="1"/>
    <xf numFmtId="44" fontId="21" fillId="0" borderId="0" xfId="1" applyFont="1" applyFill="1" applyBorder="1"/>
    <xf numFmtId="44" fontId="2" fillId="0" borderId="64" xfId="1" applyFont="1" applyFill="1" applyBorder="1"/>
    <xf numFmtId="44" fontId="2" fillId="0" borderId="66" xfId="1" applyFont="1" applyFill="1" applyBorder="1"/>
    <xf numFmtId="44" fontId="2" fillId="6" borderId="19" xfId="1" applyFont="1" applyFill="1" applyBorder="1"/>
    <xf numFmtId="44" fontId="5" fillId="0" borderId="37" xfId="1" applyFont="1" applyFill="1" applyBorder="1"/>
    <xf numFmtId="44" fontId="32" fillId="0" borderId="0" xfId="1" applyFont="1" applyFill="1" applyAlignment="1">
      <alignment vertic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44" fontId="13" fillId="4" borderId="48" xfId="1" applyFont="1" applyFill="1" applyBorder="1" applyAlignment="1">
      <alignment horizontal="center"/>
    </xf>
    <xf numFmtId="44" fontId="13" fillId="4" borderId="49" xfId="1" applyFont="1" applyFill="1" applyBorder="1" applyAlignment="1">
      <alignment horizontal="center"/>
    </xf>
    <xf numFmtId="166" fontId="13" fillId="4" borderId="49" xfId="1" applyNumberFormat="1" applyFont="1" applyFill="1" applyBorder="1" applyAlignment="1">
      <alignment horizontal="center"/>
    </xf>
    <xf numFmtId="166" fontId="13" fillId="4" borderId="11" xfId="1" applyNumberFormat="1" applyFont="1" applyFill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7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46" xfId="1" applyFont="1" applyBorder="1" applyAlignment="1">
      <alignment horizontal="center" vertical="center" wrapText="1"/>
    </xf>
    <xf numFmtId="44" fontId="13" fillId="0" borderId="46" xfId="1" applyFont="1" applyBorder="1" applyAlignment="1">
      <alignment horizontal="center"/>
    </xf>
    <xf numFmtId="44" fontId="13" fillId="0" borderId="35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5" xfId="1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44" fontId="13" fillId="13" borderId="48" xfId="1" applyFont="1" applyFill="1" applyBorder="1" applyAlignment="1">
      <alignment horizontal="center"/>
    </xf>
    <xf numFmtId="44" fontId="13" fillId="13" borderId="49" xfId="1" applyFont="1" applyFill="1" applyBorder="1" applyAlignment="1">
      <alignment horizontal="center"/>
    </xf>
    <xf numFmtId="166" fontId="13" fillId="13" borderId="49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  <xf numFmtId="166" fontId="12" fillId="0" borderId="57" xfId="0" applyNumberFormat="1" applyFont="1" applyBorder="1" applyAlignment="1">
      <alignment horizontal="center" vertical="center" wrapText="1"/>
    </xf>
    <xf numFmtId="166" fontId="12" fillId="0" borderId="56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44" fontId="13" fillId="11" borderId="48" xfId="1" applyFont="1" applyFill="1" applyBorder="1" applyAlignment="1">
      <alignment horizontal="center"/>
    </xf>
    <xf numFmtId="44" fontId="13" fillId="11" borderId="49" xfId="1" applyFont="1" applyFill="1" applyBorder="1" applyAlignment="1">
      <alignment horizontal="center"/>
    </xf>
    <xf numFmtId="166" fontId="13" fillId="11" borderId="49" xfId="1" applyNumberFormat="1" applyFont="1" applyFill="1" applyBorder="1" applyAlignment="1">
      <alignment horizontal="center"/>
    </xf>
    <xf numFmtId="166" fontId="13" fillId="11" borderId="11" xfId="1" applyNumberFormat="1" applyFont="1" applyFill="1" applyBorder="1" applyAlignment="1">
      <alignment horizontal="center"/>
    </xf>
    <xf numFmtId="44" fontId="32" fillId="9" borderId="58" xfId="1" applyFont="1" applyFill="1" applyBorder="1" applyAlignment="1">
      <alignment horizontal="center" vertical="center" wrapText="1"/>
    </xf>
    <xf numFmtId="44" fontId="32" fillId="9" borderId="59" xfId="1" applyFont="1" applyFill="1" applyBorder="1" applyAlignment="1">
      <alignment horizontal="center" vertical="center" wrapText="1"/>
    </xf>
    <xf numFmtId="44" fontId="32" fillId="9" borderId="33" xfId="1" applyFont="1" applyFill="1" applyBorder="1" applyAlignment="1">
      <alignment horizontal="center" vertical="center" wrapText="1"/>
    </xf>
    <xf numFmtId="44" fontId="32" fillId="9" borderId="1" xfId="1" applyFont="1" applyFill="1" applyBorder="1" applyAlignment="1">
      <alignment horizontal="center" vertical="center" wrapText="1"/>
    </xf>
    <xf numFmtId="44" fontId="32" fillId="9" borderId="54" xfId="1" applyFont="1" applyFill="1" applyBorder="1" applyAlignment="1">
      <alignment horizontal="center" vertical="center" wrapText="1"/>
    </xf>
    <xf numFmtId="44" fontId="32" fillId="9" borderId="60" xfId="1" applyFont="1" applyFill="1" applyBorder="1" applyAlignment="1">
      <alignment horizontal="center" vertical="center" wrapText="1"/>
    </xf>
    <xf numFmtId="44" fontId="2" fillId="14" borderId="58" xfId="1" applyFont="1" applyFill="1" applyBorder="1" applyAlignment="1">
      <alignment horizontal="center" wrapText="1"/>
    </xf>
    <xf numFmtId="44" fontId="2" fillId="14" borderId="67" xfId="1" applyFont="1" applyFill="1" applyBorder="1" applyAlignment="1">
      <alignment horizontal="center" wrapText="1"/>
    </xf>
    <xf numFmtId="44" fontId="2" fillId="14" borderId="54" xfId="1" applyFont="1" applyFill="1" applyBorder="1" applyAlignment="1">
      <alignment horizontal="center" wrapText="1"/>
    </xf>
    <xf numFmtId="44" fontId="2" fillId="14" borderId="2" xfId="1" applyFont="1" applyFill="1" applyBorder="1" applyAlignment="1">
      <alignment horizontal="center" wrapText="1"/>
    </xf>
    <xf numFmtId="44" fontId="48" fillId="14" borderId="67" xfId="1" applyFont="1" applyFill="1" applyBorder="1" applyAlignment="1">
      <alignment horizontal="center" vertical="center" wrapText="1"/>
    </xf>
    <xf numFmtId="44" fontId="48" fillId="14" borderId="59" xfId="1" applyFont="1" applyFill="1" applyBorder="1" applyAlignment="1">
      <alignment horizontal="center" vertical="center" wrapText="1"/>
    </xf>
    <xf numFmtId="44" fontId="48" fillId="14" borderId="2" xfId="1" applyFont="1" applyFill="1" applyBorder="1" applyAlignment="1">
      <alignment horizontal="center" vertical="center" wrapText="1"/>
    </xf>
    <xf numFmtId="44" fontId="48" fillId="14" borderId="60" xfId="1" applyFont="1" applyFill="1" applyBorder="1" applyAlignment="1">
      <alignment horizontal="center" vertical="center" wrapText="1"/>
    </xf>
    <xf numFmtId="44" fontId="12" fillId="14" borderId="4" xfId="1" applyFont="1" applyFill="1" applyBorder="1" applyAlignment="1">
      <alignment horizontal="center"/>
    </xf>
    <xf numFmtId="44" fontId="12" fillId="14" borderId="47" xfId="1" applyFont="1" applyFill="1" applyBorder="1" applyAlignment="1">
      <alignment horizontal="center"/>
    </xf>
    <xf numFmtId="165" fontId="15" fillId="0" borderId="58" xfId="1" applyNumberFormat="1" applyFont="1" applyFill="1" applyBorder="1" applyAlignment="1">
      <alignment horizontal="center" vertical="center"/>
    </xf>
    <xf numFmtId="165" fontId="15" fillId="0" borderId="67" xfId="1" applyNumberFormat="1" applyFont="1" applyFill="1" applyBorder="1" applyAlignment="1">
      <alignment horizontal="center" vertical="center"/>
    </xf>
    <xf numFmtId="165" fontId="15" fillId="0" borderId="54" xfId="1" applyNumberFormat="1" applyFont="1" applyFill="1" applyBorder="1" applyAlignment="1">
      <alignment horizontal="center" vertical="center"/>
    </xf>
    <xf numFmtId="165" fontId="15" fillId="0" borderId="2" xfId="1" applyNumberFormat="1" applyFont="1" applyFill="1" applyBorder="1" applyAlignment="1">
      <alignment horizontal="center" vertical="center"/>
    </xf>
    <xf numFmtId="44" fontId="47" fillId="0" borderId="59" xfId="1" applyFont="1" applyFill="1" applyBorder="1" applyAlignment="1">
      <alignment horizontal="center" vertical="center"/>
    </xf>
    <xf numFmtId="44" fontId="47" fillId="0" borderId="60" xfId="1" applyFont="1" applyFill="1" applyBorder="1" applyAlignment="1">
      <alignment horizontal="center" vertical="center"/>
    </xf>
    <xf numFmtId="165" fontId="12" fillId="0" borderId="61" xfId="1" applyNumberFormat="1" applyFont="1" applyFill="1" applyBorder="1" applyAlignment="1">
      <alignment horizontal="center" wrapText="1"/>
    </xf>
    <xf numFmtId="165" fontId="12" fillId="0" borderId="53" xfId="1" applyNumberFormat="1" applyFont="1" applyFill="1" applyBorder="1" applyAlignment="1">
      <alignment horizontal="center" wrapText="1"/>
    </xf>
    <xf numFmtId="44" fontId="13" fillId="0" borderId="61" xfId="1" applyFont="1" applyFill="1" applyBorder="1" applyAlignment="1">
      <alignment horizontal="center" vertical="center"/>
    </xf>
    <xf numFmtId="44" fontId="13" fillId="0" borderId="53" xfId="1" applyFont="1" applyFill="1" applyBorder="1" applyAlignment="1">
      <alignment horizontal="center" vertical="center"/>
    </xf>
    <xf numFmtId="164" fontId="5" fillId="9" borderId="61" xfId="0" applyNumberFormat="1" applyFont="1" applyFill="1" applyBorder="1" applyAlignment="1">
      <alignment horizontal="center" vertical="center" wrapText="1"/>
    </xf>
    <xf numFmtId="164" fontId="5" fillId="9" borderId="53" xfId="0" applyNumberFormat="1" applyFont="1" applyFill="1" applyBorder="1" applyAlignment="1">
      <alignment horizontal="center" vertical="center" wrapText="1"/>
    </xf>
    <xf numFmtId="44" fontId="32" fillId="4" borderId="0" xfId="1" applyFont="1" applyFill="1" applyAlignment="1">
      <alignment horizontal="center" vertical="center"/>
    </xf>
    <xf numFmtId="44" fontId="5" fillId="9" borderId="4" xfId="1" applyFont="1" applyFill="1" applyBorder="1" applyAlignment="1">
      <alignment horizontal="center"/>
    </xf>
    <xf numFmtId="44" fontId="5" fillId="9" borderId="47" xfId="1" applyFont="1" applyFill="1" applyBorder="1" applyAlignment="1">
      <alignment horizontal="center"/>
    </xf>
    <xf numFmtId="44" fontId="13" fillId="14" borderId="0" xfId="1" applyFont="1" applyFill="1" applyBorder="1" applyAlignment="1">
      <alignment horizontal="center"/>
    </xf>
    <xf numFmtId="165" fontId="2" fillId="0" borderId="0" xfId="1" applyNumberFormat="1" applyFont="1" applyFill="1"/>
    <xf numFmtId="165" fontId="2" fillId="0" borderId="0" xfId="1" applyNumberFormat="1" applyFont="1"/>
    <xf numFmtId="0" fontId="14" fillId="0" borderId="4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left"/>
    </xf>
    <xf numFmtId="15" fontId="2" fillId="0" borderId="15" xfId="0" applyNumberFormat="1" applyFont="1" applyFill="1" applyBorder="1"/>
    <xf numFmtId="0" fontId="0" fillId="0" borderId="0" xfId="0" applyFill="1"/>
    <xf numFmtId="15" fontId="2" fillId="0" borderId="36" xfId="0" applyNumberFormat="1" applyFont="1" applyFill="1" applyBorder="1"/>
    <xf numFmtId="0" fontId="2" fillId="0" borderId="0" xfId="0" applyFont="1" applyFill="1" applyAlignment="1">
      <alignment horizontal="center"/>
    </xf>
    <xf numFmtId="44" fontId="49" fillId="4" borderId="19" xfId="1" applyFont="1" applyFill="1" applyBorder="1"/>
    <xf numFmtId="44" fontId="2" fillId="14" borderId="20" xfId="1" applyFont="1" applyFill="1" applyBorder="1"/>
    <xf numFmtId="166" fontId="17" fillId="0" borderId="7" xfId="0" applyNumberFormat="1" applyFont="1" applyFill="1" applyBorder="1"/>
    <xf numFmtId="15" fontId="2" fillId="0" borderId="17" xfId="0" applyNumberFormat="1" applyFont="1" applyFill="1" applyBorder="1"/>
    <xf numFmtId="0" fontId="5" fillId="0" borderId="17" xfId="0" applyFont="1" applyFill="1" applyBorder="1" applyAlignment="1">
      <alignment horizontal="center"/>
    </xf>
    <xf numFmtId="166" fontId="19" fillId="0" borderId="7" xfId="0" applyNumberFormat="1" applyFont="1" applyFill="1" applyBorder="1"/>
    <xf numFmtId="0" fontId="2" fillId="0" borderId="17" xfId="0" applyFont="1" applyFill="1" applyBorder="1" applyAlignment="1">
      <alignment horizontal="center"/>
    </xf>
    <xf numFmtId="166" fontId="16" fillId="0" borderId="7" xfId="0" applyNumberFormat="1" applyFont="1" applyFill="1" applyBorder="1"/>
    <xf numFmtId="0" fontId="2" fillId="0" borderId="17" xfId="0" applyFont="1" applyFill="1" applyBorder="1"/>
    <xf numFmtId="44" fontId="18" fillId="14" borderId="20" xfId="1" applyFont="1" applyFill="1" applyBorder="1"/>
    <xf numFmtId="16" fontId="2" fillId="0" borderId="17" xfId="0" applyNumberFormat="1" applyFont="1" applyFill="1" applyBorder="1"/>
    <xf numFmtId="165" fontId="20" fillId="0" borderId="24" xfId="0" applyNumberFormat="1" applyFont="1" applyFill="1" applyBorder="1" applyAlignment="1">
      <alignment horizontal="left"/>
    </xf>
    <xf numFmtId="16" fontId="20" fillId="0" borderId="17" xfId="0" applyNumberFormat="1" applyFont="1" applyFill="1" applyBorder="1"/>
    <xf numFmtId="0" fontId="21" fillId="0" borderId="17" xfId="0" applyFont="1" applyFill="1" applyBorder="1" applyAlignment="1">
      <alignment wrapText="1"/>
    </xf>
    <xf numFmtId="16" fontId="44" fillId="0" borderId="24" xfId="0" applyNumberFormat="1" applyFont="1" applyFill="1" applyBorder="1"/>
    <xf numFmtId="0" fontId="21" fillId="0" borderId="25" xfId="0" applyFont="1" applyFill="1" applyBorder="1" applyAlignment="1">
      <alignment horizontal="center" wrapText="1"/>
    </xf>
    <xf numFmtId="165" fontId="2" fillId="0" borderId="24" xfId="0" applyNumberFormat="1" applyFont="1" applyFill="1" applyBorder="1" applyAlignment="1">
      <alignment horizontal="left"/>
    </xf>
    <xf numFmtId="16" fontId="2" fillId="0" borderId="24" xfId="0" applyNumberFormat="1" applyFont="1" applyFill="1" applyBorder="1"/>
    <xf numFmtId="0" fontId="2" fillId="0" borderId="0" xfId="0" applyFont="1" applyFill="1"/>
    <xf numFmtId="0" fontId="2" fillId="0" borderId="2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166" fontId="16" fillId="0" borderId="29" xfId="0" applyNumberFormat="1" applyFont="1" applyFill="1" applyBorder="1"/>
    <xf numFmtId="16" fontId="2" fillId="0" borderId="25" xfId="0" applyNumberFormat="1" applyFont="1" applyFill="1" applyBorder="1" applyAlignment="1">
      <alignment horizontal="left"/>
    </xf>
    <xf numFmtId="0" fontId="18" fillId="0" borderId="17" xfId="0" applyFont="1" applyFill="1" applyBorder="1"/>
    <xf numFmtId="166" fontId="12" fillId="0" borderId="17" xfId="0" applyNumberFormat="1" applyFont="1" applyFill="1" applyBorder="1"/>
    <xf numFmtId="0" fontId="18" fillId="0" borderId="17" xfId="0" applyFont="1" applyFill="1" applyBorder="1" applyAlignment="1">
      <alignment horizontal="left"/>
    </xf>
    <xf numFmtId="166" fontId="16" fillId="0" borderId="17" xfId="0" applyNumberFormat="1" applyFont="1" applyFill="1" applyBorder="1"/>
    <xf numFmtId="166" fontId="18" fillId="0" borderId="17" xfId="0" applyNumberFormat="1" applyFont="1" applyFill="1" applyBorder="1"/>
    <xf numFmtId="0" fontId="2" fillId="0" borderId="0" xfId="0" applyFont="1" applyFill="1" applyAlignment="1">
      <alignment horizontal="center" wrapText="1"/>
    </xf>
    <xf numFmtId="166" fontId="19" fillId="0" borderId="17" xfId="0" applyNumberFormat="1" applyFont="1" applyFill="1" applyBorder="1"/>
    <xf numFmtId="0" fontId="18" fillId="0" borderId="0" xfId="0" applyFont="1" applyFill="1" applyAlignment="1">
      <alignment horizontal="left"/>
    </xf>
    <xf numFmtId="44" fontId="50" fillId="4" borderId="37" xfId="1" applyFont="1" applyFill="1" applyBorder="1"/>
    <xf numFmtId="44" fontId="49" fillId="4" borderId="37" xfId="1" applyFont="1" applyFill="1" applyBorder="1"/>
    <xf numFmtId="44" fontId="51" fillId="4" borderId="70" xfId="1" applyFont="1" applyFill="1" applyBorder="1"/>
    <xf numFmtId="44" fontId="2" fillId="14" borderId="64" xfId="1" applyFont="1" applyFill="1" applyBorder="1"/>
    <xf numFmtId="0" fontId="29" fillId="0" borderId="5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left" wrapText="1"/>
    </xf>
    <xf numFmtId="44" fontId="15" fillId="0" borderId="71" xfId="1" applyFont="1" applyFill="1" applyBorder="1" applyAlignment="1">
      <alignment horizontal="center" vertical="center"/>
    </xf>
    <xf numFmtId="44" fontId="15" fillId="0" borderId="72" xfId="1" applyFont="1" applyFill="1" applyBorder="1" applyAlignment="1">
      <alignment horizontal="center" vertical="center"/>
    </xf>
    <xf numFmtId="44" fontId="15" fillId="0" borderId="73" xfId="1" applyFont="1" applyFill="1" applyBorder="1" applyAlignment="1">
      <alignment horizontal="center" vertical="center"/>
    </xf>
    <xf numFmtId="44" fontId="15" fillId="0" borderId="74" xfId="1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left"/>
    </xf>
    <xf numFmtId="0" fontId="29" fillId="0" borderId="33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left"/>
    </xf>
    <xf numFmtId="44" fontId="15" fillId="12" borderId="0" xfId="1" applyFont="1" applyFill="1" applyAlignment="1">
      <alignment horizontal="center"/>
    </xf>
    <xf numFmtId="44" fontId="5" fillId="16" borderId="75" xfId="1" applyFont="1" applyFill="1" applyBorder="1" applyAlignment="1">
      <alignment horizontal="left"/>
    </xf>
    <xf numFmtId="16" fontId="2" fillId="0" borderId="20" xfId="1" applyNumberFormat="1" applyFont="1" applyFill="1" applyBorder="1" applyAlignment="1">
      <alignment horizontal="center"/>
    </xf>
    <xf numFmtId="0" fontId="19" fillId="0" borderId="17" xfId="0" applyFont="1" applyFill="1" applyBorder="1" applyAlignment="1">
      <alignment horizontal="left"/>
    </xf>
    <xf numFmtId="44" fontId="5" fillId="16" borderId="76" xfId="1" applyFont="1" applyFill="1" applyBorder="1"/>
    <xf numFmtId="164" fontId="2" fillId="0" borderId="34" xfId="0" applyNumberFormat="1" applyFont="1" applyFill="1" applyBorder="1" applyAlignment="1">
      <alignment horizontal="left"/>
    </xf>
    <xf numFmtId="44" fontId="5" fillId="16" borderId="77" xfId="1" applyFont="1" applyFill="1" applyBorder="1"/>
    <xf numFmtId="16" fontId="2" fillId="0" borderId="68" xfId="1" applyNumberFormat="1" applyFont="1" applyFill="1" applyBorder="1" applyAlignment="1">
      <alignment horizontal="center"/>
    </xf>
    <xf numFmtId="44" fontId="5" fillId="16" borderId="37" xfId="1" applyFont="1" applyFill="1" applyBorder="1"/>
    <xf numFmtId="15" fontId="2" fillId="0" borderId="34" xfId="0" applyNumberFormat="1" applyFont="1" applyFill="1" applyBorder="1"/>
    <xf numFmtId="0" fontId="13" fillId="0" borderId="17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44" fontId="5" fillId="16" borderId="19" xfId="1" applyFont="1" applyFill="1" applyBorder="1"/>
    <xf numFmtId="16" fontId="2" fillId="0" borderId="0" xfId="1" applyNumberFormat="1" applyFont="1" applyFill="1" applyBorder="1" applyAlignment="1">
      <alignment horizontal="center"/>
    </xf>
    <xf numFmtId="15" fontId="2" fillId="0" borderId="38" xfId="0" applyNumberFormat="1" applyFont="1" applyFill="1" applyBorder="1"/>
    <xf numFmtId="15" fontId="2" fillId="0" borderId="27" xfId="0" applyNumberFormat="1" applyFont="1" applyFill="1" applyBorder="1"/>
    <xf numFmtId="0" fontId="18" fillId="4" borderId="0" xfId="0" applyFont="1" applyFill="1" applyAlignment="1">
      <alignment horizontal="left"/>
    </xf>
    <xf numFmtId="44" fontId="18" fillId="0" borderId="0" xfId="1" applyFont="1" applyFill="1" applyBorder="1" applyAlignment="1">
      <alignment horizontal="right"/>
    </xf>
    <xf numFmtId="44" fontId="5" fillId="16" borderId="78" xfId="1" applyFont="1" applyFill="1" applyBorder="1"/>
    <xf numFmtId="166" fontId="18" fillId="0" borderId="0" xfId="0" applyNumberFormat="1" applyFont="1" applyFill="1" applyAlignment="1">
      <alignment horizontal="left"/>
    </xf>
    <xf numFmtId="44" fontId="15" fillId="8" borderId="61" xfId="1" applyFont="1" applyFill="1" applyBorder="1" applyAlignment="1">
      <alignment horizontal="center" vertical="center"/>
    </xf>
    <xf numFmtId="44" fontId="2" fillId="0" borderId="79" xfId="1" applyFont="1" applyFill="1" applyBorder="1"/>
    <xf numFmtId="44" fontId="15" fillId="8" borderId="53" xfId="1" applyFont="1" applyFill="1" applyBorder="1" applyAlignment="1">
      <alignment horizontal="center" vertical="center"/>
    </xf>
    <xf numFmtId="44" fontId="2" fillId="0" borderId="80" xfId="1" applyFont="1" applyFill="1" applyBorder="1"/>
    <xf numFmtId="165" fontId="2" fillId="0" borderId="46" xfId="0" applyNumberFormat="1" applyFont="1" applyFill="1" applyBorder="1" applyAlignment="1">
      <alignment horizontal="left"/>
    </xf>
    <xf numFmtId="0" fontId="16" fillId="10" borderId="0" xfId="0" applyFont="1" applyFill="1" applyAlignment="1">
      <alignment horizontal="left"/>
    </xf>
    <xf numFmtId="44" fontId="15" fillId="12" borderId="65" xfId="1" applyFont="1" applyFill="1" applyBorder="1" applyAlignment="1">
      <alignment horizontal="center"/>
    </xf>
    <xf numFmtId="44" fontId="15" fillId="12" borderId="79" xfId="1" applyFont="1" applyFill="1" applyBorder="1" applyAlignment="1">
      <alignment horizontal="center"/>
    </xf>
    <xf numFmtId="0" fontId="21" fillId="11" borderId="0" xfId="0" applyFont="1" applyFill="1" applyAlignment="1">
      <alignment horizontal="left"/>
    </xf>
    <xf numFmtId="44" fontId="2" fillId="11" borderId="0" xfId="1" applyFont="1" applyFill="1"/>
    <xf numFmtId="7" fontId="32" fillId="17" borderId="81" xfId="1" applyNumberFormat="1" applyFont="1" applyFill="1" applyBorder="1" applyAlignment="1">
      <alignment horizontal="center" vertical="center"/>
    </xf>
    <xf numFmtId="7" fontId="32" fillId="17" borderId="82" xfId="1" applyNumberFormat="1" applyFont="1" applyFill="1" applyBorder="1" applyAlignment="1">
      <alignment horizontal="center" vertical="center"/>
    </xf>
    <xf numFmtId="7" fontId="32" fillId="17" borderId="83" xfId="1" applyNumberFormat="1" applyFont="1" applyFill="1" applyBorder="1" applyAlignment="1">
      <alignment horizontal="center" vertical="center"/>
    </xf>
    <xf numFmtId="7" fontId="32" fillId="17" borderId="84" xfId="1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167" fontId="13" fillId="0" borderId="4" xfId="1" applyNumberFormat="1" applyFont="1" applyFill="1" applyBorder="1" applyAlignment="1">
      <alignment vertical="center" wrapText="1"/>
    </xf>
    <xf numFmtId="167" fontId="13" fillId="0" borderId="47" xfId="1" applyNumberFormat="1" applyFont="1" applyFill="1" applyBorder="1" applyAlignment="1">
      <alignment vertical="center" wrapText="1"/>
    </xf>
    <xf numFmtId="44" fontId="14" fillId="0" borderId="46" xfId="1" applyFont="1" applyBorder="1" applyAlignment="1">
      <alignment horizontal="center"/>
    </xf>
    <xf numFmtId="44" fontId="2" fillId="17" borderId="58" xfId="1" applyFont="1" applyFill="1" applyBorder="1" applyAlignment="1">
      <alignment horizontal="center" wrapText="1"/>
    </xf>
    <xf numFmtId="44" fontId="2" fillId="17" borderId="67" xfId="1" applyFont="1" applyFill="1" applyBorder="1" applyAlignment="1">
      <alignment horizontal="center" wrapText="1"/>
    </xf>
    <xf numFmtId="44" fontId="48" fillId="17" borderId="67" xfId="1" applyFont="1" applyFill="1" applyBorder="1" applyAlignment="1">
      <alignment horizontal="center" vertical="center" wrapText="1"/>
    </xf>
    <xf numFmtId="44" fontId="48" fillId="17" borderId="59" xfId="1" applyFont="1" applyFill="1" applyBorder="1" applyAlignment="1">
      <alignment horizontal="center" vertical="center" wrapText="1"/>
    </xf>
    <xf numFmtId="44" fontId="2" fillId="17" borderId="54" xfId="1" applyFont="1" applyFill="1" applyBorder="1" applyAlignment="1">
      <alignment horizontal="center" wrapText="1"/>
    </xf>
    <xf numFmtId="44" fontId="2" fillId="17" borderId="2" xfId="1" applyFont="1" applyFill="1" applyBorder="1" applyAlignment="1">
      <alignment horizontal="center" wrapText="1"/>
    </xf>
    <xf numFmtId="44" fontId="48" fillId="17" borderId="2" xfId="1" applyFont="1" applyFill="1" applyBorder="1" applyAlignment="1">
      <alignment horizontal="center" vertical="center" wrapText="1"/>
    </xf>
    <xf numFmtId="44" fontId="48" fillId="17" borderId="60" xfId="1" applyFont="1" applyFill="1" applyBorder="1" applyAlignment="1">
      <alignment horizontal="center" vertical="center" wrapText="1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left"/>
    </xf>
    <xf numFmtId="164" fontId="33" fillId="0" borderId="17" xfId="0" applyNumberFormat="1" applyFont="1" applyFill="1" applyBorder="1" applyAlignment="1">
      <alignment horizontal="center"/>
    </xf>
    <xf numFmtId="1" fontId="34" fillId="0" borderId="1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7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357D6F-25BE-465B-87A5-F5EECBC2BCEA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3766D15-6E81-4391-8AE3-DDAF13CE207D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33D6344-5A10-47A8-92D8-E36070F78EE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6EBE5A2-C1B7-4CB2-A4AF-350EEB3F57A5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BA6252-446B-48D8-8D35-C56646374581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BDA539-F0BA-4548-A02E-72976D7B19F4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F8A22C-7028-4156-A31B-73727311575F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257173</xdr:colOff>
      <xdr:row>61</xdr:row>
      <xdr:rowOff>19051</xdr:rowOff>
    </xdr:from>
    <xdr:to>
      <xdr:col>13</xdr:col>
      <xdr:colOff>942973</xdr:colOff>
      <xdr:row>63</xdr:row>
      <xdr:rowOff>36199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661FC16-F6C6-42E1-A09A-99B7D065B135}"/>
            </a:ext>
          </a:extLst>
        </xdr:cNvPr>
        <xdr:cNvSpPr/>
      </xdr:nvSpPr>
      <xdr:spPr>
        <a:xfrm rot="5400000">
          <a:off x="10854687" y="12052937"/>
          <a:ext cx="436248" cy="1895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3D0884C-3D64-40C1-AD55-58DAB76B1829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9EAEA780-2F7F-4966-9A82-055CA41C116B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F0B19C07-81F8-4398-8610-9529AA26B93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B90AA146-E024-41EB-9E20-F97BDBE56C02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DC9A8E3-163A-4A81-B04B-9D66AD992F15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676277</xdr:colOff>
      <xdr:row>62</xdr:row>
      <xdr:rowOff>38099</xdr:rowOff>
    </xdr:from>
    <xdr:to>
      <xdr:col>11</xdr:col>
      <xdr:colOff>114304</xdr:colOff>
      <xdr:row>62</xdr:row>
      <xdr:rowOff>190498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3B873A83-B3D1-4EB5-8F08-16F692219796}"/>
            </a:ext>
          </a:extLst>
        </xdr:cNvPr>
        <xdr:cNvSpPr/>
      </xdr:nvSpPr>
      <xdr:spPr>
        <a:xfrm rot="16200000">
          <a:off x="7777166" y="11930060"/>
          <a:ext cx="15239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5A3797E-78C4-4E1C-A8B3-3C496FDABE1A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3111E58-CD8B-47D8-92DD-D7AC8AEAA5A4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B03E05E-5F01-4080-8A09-EFEA668E778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3445E71B-ED29-4FD3-9E92-FE6796D675E3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29E8D9E-4527-46AC-A442-E7627A0991FF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8FE154A7-722A-499F-BFA9-E22DFCF86F4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3CFB488-5466-48F0-AF45-6987818776DB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714ED26-6E76-45CF-B29E-AF5494DFB0D9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B979A1F-B0DE-4094-B8E0-E62777A18E05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BE0013E-E7BB-4961-96EE-CE6652492677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114299</xdr:colOff>
      <xdr:row>61</xdr:row>
      <xdr:rowOff>38100</xdr:rowOff>
    </xdr:from>
    <xdr:to>
      <xdr:col>14</xdr:col>
      <xdr:colOff>66675</xdr:colOff>
      <xdr:row>62</xdr:row>
      <xdr:rowOff>190501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CEEF9631-A5E7-4BAC-B33D-214DF2931AED}"/>
            </a:ext>
          </a:extLst>
        </xdr:cNvPr>
        <xdr:cNvSpPr/>
      </xdr:nvSpPr>
      <xdr:spPr>
        <a:xfrm rot="5400000">
          <a:off x="10853736" y="8320088"/>
          <a:ext cx="361951" cy="210502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1229B54-3DC6-4245-928C-A34298E57F3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55AABDFE-9C47-4E34-B4BC-BD224AFDD61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020447CA-FE61-4CE6-9B8E-D76938FFB22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13820F3B-27A0-4124-9FC2-6CC09C9004B4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74B858B-5A4D-4A1A-91C2-E5E683B0BDCD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EFC1556D-E132-4917-A7A6-0AB55B3CEB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150A936-83C0-4560-93B4-AC64BF022D57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C6F24BC-2CCB-45C8-8E84-19591F8CE8F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F272FF5-BE5F-4C2F-9245-E954892A6191}"/>
            </a:ext>
          </a:extLst>
        </xdr:cNvPr>
        <xdr:cNvSpPr/>
      </xdr:nvSpPr>
      <xdr:spPr>
        <a:xfrm rot="5400000">
          <a:off x="10991848" y="1206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6E8773D-67DB-4BA1-8927-06731DC1EEE4}"/>
            </a:ext>
          </a:extLst>
        </xdr:cNvPr>
        <xdr:cNvSpPr/>
      </xdr:nvSpPr>
      <xdr:spPr>
        <a:xfrm rot="18916712">
          <a:off x="9686779" y="13746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78B936C-D3FA-42DF-8369-8AC027D7C254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BB3F26C-36B4-4B2C-B446-60A8149ACCF6}"/>
            </a:ext>
          </a:extLst>
        </xdr:cNvPr>
        <xdr:cNvCxnSpPr/>
      </xdr:nvCxnSpPr>
      <xdr:spPr>
        <a:xfrm>
          <a:off x="5019675" y="12106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11CF402-5FD5-4C45-B53B-B518242BC5BF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9EB07DD-8940-4A9E-B48F-10985B2C9757}"/>
            </a:ext>
          </a:extLst>
        </xdr:cNvPr>
        <xdr:cNvCxnSpPr/>
      </xdr:nvCxnSpPr>
      <xdr:spPr>
        <a:xfrm>
          <a:off x="2181225" y="12087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5CC0D7EE-DFE1-4972-82F5-CDB1F1E1F32A}"/>
            </a:ext>
          </a:extLst>
        </xdr:cNvPr>
        <xdr:cNvSpPr/>
      </xdr:nvSpPr>
      <xdr:spPr>
        <a:xfrm rot="16200000">
          <a:off x="7772401" y="11125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4ECD92E-4C5C-4A9F-804D-D987A93C1A16}"/>
            </a:ext>
          </a:extLst>
        </xdr:cNvPr>
        <xdr:cNvSpPr/>
      </xdr:nvSpPr>
      <xdr:spPr>
        <a:xfrm rot="18916712">
          <a:off x="9686779" y="13508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E74D1AB-EA8C-40C4-8436-EAB1898D96B4}"/>
            </a:ext>
          </a:extLst>
        </xdr:cNvPr>
        <xdr:cNvCxnSpPr/>
      </xdr:nvCxnSpPr>
      <xdr:spPr>
        <a:xfrm flipV="1">
          <a:off x="5029200" y="13001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E0768DA-07D5-4EC9-AEC1-212D94B1CDC0}"/>
            </a:ext>
          </a:extLst>
        </xdr:cNvPr>
        <xdr:cNvSpPr/>
      </xdr:nvSpPr>
      <xdr:spPr>
        <a:xfrm rot="5400000">
          <a:off x="10991848" y="112585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B66568-5130-4B40-814A-EDC669AEDF05}"/>
            </a:ext>
          </a:extLst>
        </xdr:cNvPr>
        <xdr:cNvSpPr/>
      </xdr:nvSpPr>
      <xdr:spPr>
        <a:xfrm rot="18916712">
          <a:off x="9686779" y="12822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5E6CFE7-3F2F-4C4E-B82E-F591EA90CA29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628CD927-D614-4C2D-81F6-B2D5F28B8AF8}"/>
            </a:ext>
          </a:extLst>
        </xdr:cNvPr>
        <xdr:cNvCxnSpPr/>
      </xdr:nvCxnSpPr>
      <xdr:spPr>
        <a:xfrm>
          <a:off x="5019675" y="11306175"/>
          <a:ext cx="533400" cy="2952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F8AF3F3C-3558-4AEC-83BE-3672F68D6D70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1A95BEE-67D3-487E-AAD5-88E1BB0A2B9A}"/>
            </a:ext>
          </a:extLst>
        </xdr:cNvPr>
        <xdr:cNvCxnSpPr/>
      </xdr:nvCxnSpPr>
      <xdr:spPr>
        <a:xfrm>
          <a:off x="2181225" y="11287125"/>
          <a:ext cx="17811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E00DE9D2-3D7B-488D-897D-68545AEB4981}"/>
            </a:ext>
          </a:extLst>
        </xdr:cNvPr>
        <xdr:cNvSpPr/>
      </xdr:nvSpPr>
      <xdr:spPr>
        <a:xfrm rot="16200000">
          <a:off x="7777163" y="10320335"/>
          <a:ext cx="190501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9654B51-7C37-4EC4-BAB4-393C9E8ADB7E}"/>
            </a:ext>
          </a:extLst>
        </xdr:cNvPr>
        <xdr:cNvSpPr/>
      </xdr:nvSpPr>
      <xdr:spPr>
        <a:xfrm rot="18916712">
          <a:off x="9686779" y="12574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BF960DA-5B7B-4C00-AE92-9B89699B4E25}"/>
            </a:ext>
          </a:extLst>
        </xdr:cNvPr>
        <xdr:cNvCxnSpPr/>
      </xdr:nvCxnSpPr>
      <xdr:spPr>
        <a:xfrm flipV="1">
          <a:off x="5029200" y="12068175"/>
          <a:ext cx="923925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3D8EF7E-3B5F-4D48-8B48-E2D08261AE54}"/>
            </a:ext>
          </a:extLst>
        </xdr:cNvPr>
        <xdr:cNvSpPr/>
      </xdr:nvSpPr>
      <xdr:spPr>
        <a:xfrm rot="5400000">
          <a:off x="10991848" y="12449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930FBF4-73A4-4FE9-9C47-A9293D016A34}"/>
            </a:ext>
          </a:extLst>
        </xdr:cNvPr>
        <xdr:cNvSpPr/>
      </xdr:nvSpPr>
      <xdr:spPr>
        <a:xfrm rot="18916712">
          <a:off x="9686779" y="14127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E307C66-B144-4846-B6CB-2888FE56AAC0}"/>
            </a:ext>
          </a:extLst>
        </xdr:cNvPr>
        <xdr:cNvCxnSpPr/>
      </xdr:nvCxnSpPr>
      <xdr:spPr>
        <a:xfrm rot="10800000" flipV="1">
          <a:off x="5105400" y="13030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7704E604-0549-4565-BB5B-F678180A927E}"/>
            </a:ext>
          </a:extLst>
        </xdr:cNvPr>
        <xdr:cNvCxnSpPr/>
      </xdr:nvCxnSpPr>
      <xdr:spPr>
        <a:xfrm>
          <a:off x="5019675" y="12487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6A07008-4C7B-4E9C-8B31-B7399F0754AC}"/>
            </a:ext>
          </a:extLst>
        </xdr:cNvPr>
        <xdr:cNvCxnSpPr/>
      </xdr:nvCxnSpPr>
      <xdr:spPr>
        <a:xfrm rot="10800000" flipV="1">
          <a:off x="5105400" y="13030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A323295-AB71-461B-A434-C1D226907C95}"/>
            </a:ext>
          </a:extLst>
        </xdr:cNvPr>
        <xdr:cNvCxnSpPr/>
      </xdr:nvCxnSpPr>
      <xdr:spPr>
        <a:xfrm>
          <a:off x="2181225" y="12468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EB3D17B-F071-42B3-942F-DF6575A4A72E}"/>
            </a:ext>
          </a:extLst>
        </xdr:cNvPr>
        <xdr:cNvSpPr/>
      </xdr:nvSpPr>
      <xdr:spPr>
        <a:xfrm rot="16200000">
          <a:off x="7772401" y="11506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7AD1AAA9-9076-4016-9CAA-E6541EE42B2A}"/>
            </a:ext>
          </a:extLst>
        </xdr:cNvPr>
        <xdr:cNvSpPr/>
      </xdr:nvSpPr>
      <xdr:spPr>
        <a:xfrm rot="18916712">
          <a:off x="9686779" y="13889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4827BE4-E401-4D49-B239-BD7D35E84701}"/>
            </a:ext>
          </a:extLst>
        </xdr:cNvPr>
        <xdr:cNvCxnSpPr/>
      </xdr:nvCxnSpPr>
      <xdr:spPr>
        <a:xfrm flipV="1">
          <a:off x="5029200" y="13382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4E8741B-38FB-42ED-B7C9-5544852900CE}"/>
            </a:ext>
          </a:extLst>
        </xdr:cNvPr>
        <xdr:cNvSpPr/>
      </xdr:nvSpPr>
      <xdr:spPr>
        <a:xfrm rot="18916712">
          <a:off x="9496279" y="121272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C996DEA-F32F-43B1-ADEA-F7157061C328}"/>
            </a:ext>
          </a:extLst>
        </xdr:cNvPr>
        <xdr:cNvSpPr/>
      </xdr:nvSpPr>
      <xdr:spPr>
        <a:xfrm rot="18916712">
          <a:off x="9496279" y="118890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18</xdr:col>
      <xdr:colOff>971550</xdr:colOff>
      <xdr:row>23</xdr:row>
      <xdr:rowOff>76200</xdr:rowOff>
    </xdr:from>
    <xdr:to>
      <xdr:col>21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7367FB25-1110-4464-AB56-B20C910930C3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485447</xdr:colOff>
      <xdr:row>22</xdr:row>
      <xdr:rowOff>249788</xdr:rowOff>
    </xdr:from>
    <xdr:to>
      <xdr:col>22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0BCA49C-9547-458C-AA07-A6DCB3151908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16</xdr:col>
      <xdr:colOff>0</xdr:colOff>
      <xdr:row>68</xdr:row>
      <xdr:rowOff>116182</xdr:rowOff>
    </xdr:from>
    <xdr:ext cx="2599476" cy="370071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524B9A2D-4D35-45E7-8E17-8D1C3B45BE38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67</xdr:row>
      <xdr:rowOff>144757</xdr:rowOff>
    </xdr:from>
    <xdr:ext cx="2599476" cy="370071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2BCF35B8-C885-4689-AF68-17C6C4B12CA0}"/>
            </a:ext>
          </a:extLst>
        </xdr:cNvPr>
        <xdr:cNvSpPr/>
      </xdr:nvSpPr>
      <xdr:spPr>
        <a:xfrm rot="18916712">
          <a:off x="94962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id="{5005B300-0AED-442F-8558-A7CBC768998A}"/>
            </a:ext>
          </a:extLst>
        </xdr:cNvPr>
        <xdr:cNvSpPr/>
      </xdr:nvSpPr>
      <xdr:spPr>
        <a:xfrm rot="5400000">
          <a:off x="10801348" y="10391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50CA18B4-BF71-49E1-9CAB-8FAEA4443FC3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4" name="2 Conector recto de flecha">
          <a:extLst>
            <a:ext uri="{FF2B5EF4-FFF2-40B4-BE49-F238E27FC236}">
              <a16:creationId xmlns:a16="http://schemas.microsoft.com/office/drawing/2014/main" id="{5698C4C7-D592-4405-88F6-BA27E84A353C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25" name="1 Conector recto de flecha">
          <a:extLst>
            <a:ext uri="{FF2B5EF4-FFF2-40B4-BE49-F238E27FC236}">
              <a16:creationId xmlns:a16="http://schemas.microsoft.com/office/drawing/2014/main" id="{5BF14A58-343A-4429-8F4A-392FDBD90FC8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6" name="2 Conector recto de flecha">
          <a:extLst>
            <a:ext uri="{FF2B5EF4-FFF2-40B4-BE49-F238E27FC236}">
              <a16:creationId xmlns:a16="http://schemas.microsoft.com/office/drawing/2014/main" id="{85BA1985-32BC-4893-B774-B30B69930EDA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E0150E3E-7158-43DB-A8DA-CAE234056A1A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28" name="Abrir llave 27">
          <a:extLst>
            <a:ext uri="{FF2B5EF4-FFF2-40B4-BE49-F238E27FC236}">
              <a16:creationId xmlns:a16="http://schemas.microsoft.com/office/drawing/2014/main" id="{C830D1AB-5096-4704-B4A5-5A185E109AE6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D2B6318-C152-4DA1-ACE8-6C7D95559216}"/>
            </a:ext>
          </a:extLst>
        </xdr:cNvPr>
        <xdr:cNvSpPr/>
      </xdr:nvSpPr>
      <xdr:spPr>
        <a:xfrm rot="18916712">
          <a:off x="94962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77FA08D1-16B4-4C45-B9A7-BE961C1BEBDE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88"/>
  <sheetViews>
    <sheetView topLeftCell="A43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3.25" x14ac:dyDescent="0.35">
      <c r="C1" s="301" t="s">
        <v>0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21.75" customHeight="1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250864.68</v>
      </c>
      <c r="D4" s="19">
        <v>44201</v>
      </c>
      <c r="E4" s="305" t="s">
        <v>7</v>
      </c>
      <c r="F4" s="306"/>
      <c r="H4" s="307" t="s">
        <v>8</v>
      </c>
      <c r="I4" s="308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44202</v>
      </c>
      <c r="C5" s="27">
        <v>9137</v>
      </c>
      <c r="D5" s="28" t="s">
        <v>12</v>
      </c>
      <c r="E5" s="29">
        <v>44202</v>
      </c>
      <c r="F5" s="30">
        <v>83075</v>
      </c>
      <c r="H5" s="31">
        <v>44202</v>
      </c>
      <c r="I5" s="32">
        <v>495</v>
      </c>
      <c r="J5" s="33"/>
      <c r="K5" s="34"/>
      <c r="L5" s="10"/>
      <c r="M5" s="35">
        <f>3391+73300</f>
        <v>76691</v>
      </c>
      <c r="N5" s="36">
        <v>3221</v>
      </c>
      <c r="O5" s="168"/>
    </row>
    <row r="6" spans="1:15" ht="16.5" thickBot="1" x14ac:dyDescent="0.3">
      <c r="A6" s="25"/>
      <c r="B6" s="26">
        <v>44203</v>
      </c>
      <c r="C6" s="27">
        <v>1644</v>
      </c>
      <c r="D6" s="37" t="s">
        <v>13</v>
      </c>
      <c r="E6" s="29">
        <v>44203</v>
      </c>
      <c r="F6" s="30">
        <v>91892</v>
      </c>
      <c r="H6" s="31">
        <v>44203</v>
      </c>
      <c r="I6" s="38">
        <v>605</v>
      </c>
      <c r="J6" s="39"/>
      <c r="K6" s="40"/>
      <c r="L6" s="41"/>
      <c r="M6" s="35">
        <v>87035</v>
      </c>
      <c r="N6" s="36">
        <v>2608</v>
      </c>
      <c r="O6" s="170"/>
    </row>
    <row r="7" spans="1:15" ht="15.75" thickBot="1" x14ac:dyDescent="0.3">
      <c r="A7" s="25"/>
      <c r="B7" s="26">
        <v>44204</v>
      </c>
      <c r="C7" s="27">
        <v>1756</v>
      </c>
      <c r="D7" s="42" t="s">
        <v>14</v>
      </c>
      <c r="E7" s="29">
        <v>44204</v>
      </c>
      <c r="F7" s="30">
        <v>146656</v>
      </c>
      <c r="H7" s="31">
        <v>44204</v>
      </c>
      <c r="I7" s="43">
        <v>10625</v>
      </c>
      <c r="J7" s="39"/>
      <c r="K7" s="44"/>
      <c r="L7" s="41"/>
      <c r="M7" s="35">
        <v>114124</v>
      </c>
      <c r="N7" s="36">
        <v>20151</v>
      </c>
      <c r="O7" s="168"/>
    </row>
    <row r="8" spans="1:15" ht="15.75" thickBot="1" x14ac:dyDescent="0.3">
      <c r="A8" s="25"/>
      <c r="B8" s="26">
        <v>44205</v>
      </c>
      <c r="C8" s="27">
        <v>16420</v>
      </c>
      <c r="D8" s="45" t="s">
        <v>15</v>
      </c>
      <c r="E8" s="29">
        <v>44205</v>
      </c>
      <c r="F8" s="30">
        <v>175464</v>
      </c>
      <c r="H8" s="31">
        <v>44205</v>
      </c>
      <c r="I8" s="43">
        <v>660</v>
      </c>
      <c r="J8" s="46">
        <v>44205</v>
      </c>
      <c r="K8" s="44" t="s">
        <v>16</v>
      </c>
      <c r="L8" s="41">
        <f>16697.61+400+4000</f>
        <v>21097.61</v>
      </c>
      <c r="M8" s="35">
        <f>124260+11231</f>
        <v>135491</v>
      </c>
      <c r="N8" s="36">
        <v>21871</v>
      </c>
      <c r="O8" s="170"/>
    </row>
    <row r="9" spans="1:15" ht="15.75" thickBot="1" x14ac:dyDescent="0.3">
      <c r="A9" s="25"/>
      <c r="B9" s="26">
        <v>44206</v>
      </c>
      <c r="C9" s="27">
        <v>19283.400000000001</v>
      </c>
      <c r="D9" s="47" t="s">
        <v>17</v>
      </c>
      <c r="E9" s="29">
        <v>44206</v>
      </c>
      <c r="F9" s="30">
        <v>95508</v>
      </c>
      <c r="H9" s="31">
        <v>44206</v>
      </c>
      <c r="I9" s="43">
        <v>660</v>
      </c>
      <c r="J9" s="48">
        <v>44206</v>
      </c>
      <c r="K9" s="49" t="s">
        <v>18</v>
      </c>
      <c r="L9" s="41">
        <v>2100</v>
      </c>
      <c r="M9" s="35">
        <v>68140</v>
      </c>
      <c r="N9" s="36">
        <v>5350</v>
      </c>
      <c r="O9" s="170"/>
    </row>
    <row r="10" spans="1:15" ht="15.75" thickBot="1" x14ac:dyDescent="0.3">
      <c r="A10" s="25"/>
      <c r="B10" s="26">
        <v>44207</v>
      </c>
      <c r="C10" s="27">
        <v>1279</v>
      </c>
      <c r="D10" s="42" t="s">
        <v>14</v>
      </c>
      <c r="E10" s="29">
        <v>44207</v>
      </c>
      <c r="F10" s="30">
        <v>110789</v>
      </c>
      <c r="H10" s="31">
        <v>44207</v>
      </c>
      <c r="I10" s="43">
        <v>495</v>
      </c>
      <c r="J10" s="48"/>
      <c r="K10" s="50"/>
      <c r="L10" s="51"/>
      <c r="M10" s="35">
        <v>93478</v>
      </c>
      <c r="N10" s="36">
        <v>15537</v>
      </c>
      <c r="O10" s="170"/>
    </row>
    <row r="11" spans="1:15" ht="15.75" thickBot="1" x14ac:dyDescent="0.3">
      <c r="A11" s="25"/>
      <c r="B11" s="26">
        <v>44208</v>
      </c>
      <c r="C11" s="27">
        <v>5427</v>
      </c>
      <c r="D11" s="37" t="s">
        <v>19</v>
      </c>
      <c r="E11" s="29">
        <v>44208</v>
      </c>
      <c r="F11" s="30">
        <v>69224</v>
      </c>
      <c r="H11" s="31">
        <v>44208</v>
      </c>
      <c r="I11" s="43">
        <v>534</v>
      </c>
      <c r="J11" s="52"/>
      <c r="K11" s="53"/>
      <c r="L11" s="41"/>
      <c r="M11" s="35">
        <v>59286</v>
      </c>
      <c r="N11" s="36">
        <v>3977</v>
      </c>
      <c r="O11" s="170"/>
    </row>
    <row r="12" spans="1:15" ht="15.75" thickBot="1" x14ac:dyDescent="0.3">
      <c r="A12" s="25"/>
      <c r="B12" s="26">
        <v>44209</v>
      </c>
      <c r="C12" s="27">
        <v>9305</v>
      </c>
      <c r="D12" s="37" t="s">
        <v>20</v>
      </c>
      <c r="E12" s="29">
        <v>44209</v>
      </c>
      <c r="F12" s="30">
        <v>118226</v>
      </c>
      <c r="H12" s="31">
        <v>44209</v>
      </c>
      <c r="I12" s="43">
        <v>2783</v>
      </c>
      <c r="J12" s="39"/>
      <c r="K12" s="44"/>
      <c r="L12" s="41"/>
      <c r="M12" s="35">
        <f>23682+68458</f>
        <v>92140</v>
      </c>
      <c r="N12" s="36">
        <v>16228</v>
      </c>
      <c r="O12" s="170"/>
    </row>
    <row r="13" spans="1:15" ht="15.75" thickBot="1" x14ac:dyDescent="0.3">
      <c r="A13" s="25"/>
      <c r="B13" s="26">
        <v>44210</v>
      </c>
      <c r="C13" s="27">
        <v>2670</v>
      </c>
      <c r="D13" s="45" t="s">
        <v>21</v>
      </c>
      <c r="E13" s="29">
        <v>44210</v>
      </c>
      <c r="F13" s="30">
        <v>88455</v>
      </c>
      <c r="H13" s="31">
        <v>44210</v>
      </c>
      <c r="I13" s="43">
        <v>495</v>
      </c>
      <c r="J13" s="39"/>
      <c r="K13" s="44"/>
      <c r="L13" s="41"/>
      <c r="M13" s="35">
        <v>81627</v>
      </c>
      <c r="N13" s="36">
        <v>3663</v>
      </c>
      <c r="O13" s="170"/>
    </row>
    <row r="14" spans="1:15" ht="15.75" thickBot="1" x14ac:dyDescent="0.3">
      <c r="A14" s="25"/>
      <c r="B14" s="26">
        <v>44211</v>
      </c>
      <c r="C14" s="27">
        <v>5755</v>
      </c>
      <c r="D14" s="42" t="s">
        <v>22</v>
      </c>
      <c r="E14" s="29">
        <v>44211</v>
      </c>
      <c r="F14" s="30">
        <v>121702</v>
      </c>
      <c r="H14" s="31">
        <v>44211</v>
      </c>
      <c r="I14" s="43">
        <v>11898</v>
      </c>
      <c r="J14" s="39"/>
      <c r="K14" s="44"/>
      <c r="L14" s="41"/>
      <c r="M14" s="35">
        <v>99139</v>
      </c>
      <c r="N14" s="36">
        <v>4910</v>
      </c>
      <c r="O14" s="170"/>
    </row>
    <row r="15" spans="1:15" ht="15.75" thickBot="1" x14ac:dyDescent="0.3">
      <c r="A15" s="25"/>
      <c r="B15" s="26">
        <v>44212</v>
      </c>
      <c r="C15" s="27">
        <v>5418.8</v>
      </c>
      <c r="D15" s="37" t="s">
        <v>23</v>
      </c>
      <c r="E15" s="29">
        <v>44212</v>
      </c>
      <c r="F15" s="30">
        <v>148562</v>
      </c>
      <c r="H15" s="31">
        <v>44212</v>
      </c>
      <c r="I15" s="43">
        <v>605</v>
      </c>
      <c r="J15" s="39">
        <v>44212</v>
      </c>
      <c r="K15" s="44" t="s">
        <v>24</v>
      </c>
      <c r="L15" s="41">
        <f>17245.98+400+4000</f>
        <v>21645.98</v>
      </c>
      <c r="M15" s="35">
        <v>111019</v>
      </c>
      <c r="N15" s="36">
        <v>18575</v>
      </c>
      <c r="O15" s="170"/>
    </row>
    <row r="16" spans="1:15" ht="15.75" thickBot="1" x14ac:dyDescent="0.3">
      <c r="A16" s="25"/>
      <c r="B16" s="26">
        <v>44213</v>
      </c>
      <c r="C16" s="27">
        <v>3062</v>
      </c>
      <c r="D16" s="37" t="s">
        <v>25</v>
      </c>
      <c r="E16" s="29">
        <v>44213</v>
      </c>
      <c r="F16" s="30">
        <v>114181</v>
      </c>
      <c r="H16" s="31">
        <v>44213</v>
      </c>
      <c r="I16" s="43">
        <v>605</v>
      </c>
      <c r="J16" s="39"/>
      <c r="K16" s="44"/>
      <c r="L16" s="10"/>
      <c r="M16" s="35">
        <v>102018</v>
      </c>
      <c r="N16" s="36">
        <v>8496</v>
      </c>
      <c r="O16" s="170"/>
    </row>
    <row r="17" spans="1:15" ht="15.75" thickBot="1" x14ac:dyDescent="0.3">
      <c r="A17" s="25"/>
      <c r="B17" s="26">
        <v>44214</v>
      </c>
      <c r="C17" s="27">
        <v>15837</v>
      </c>
      <c r="D17" s="45" t="s">
        <v>26</v>
      </c>
      <c r="E17" s="29">
        <v>44214</v>
      </c>
      <c r="F17" s="30">
        <v>145257</v>
      </c>
      <c r="H17" s="31">
        <v>44214</v>
      </c>
      <c r="I17" s="43">
        <v>495</v>
      </c>
      <c r="J17" s="39"/>
      <c r="K17" s="44"/>
      <c r="L17" s="51"/>
      <c r="M17" s="35">
        <f>75727.7+35998</f>
        <v>111725.7</v>
      </c>
      <c r="N17" s="36">
        <v>17199</v>
      </c>
      <c r="O17" s="170"/>
    </row>
    <row r="18" spans="1:15" ht="15.75" thickBot="1" x14ac:dyDescent="0.3">
      <c r="A18" s="25"/>
      <c r="B18" s="26">
        <v>44215</v>
      </c>
      <c r="C18" s="27">
        <v>1941</v>
      </c>
      <c r="D18" s="37" t="s">
        <v>14</v>
      </c>
      <c r="E18" s="29">
        <v>44215</v>
      </c>
      <c r="F18" s="30">
        <v>84914</v>
      </c>
      <c r="H18" s="31">
        <v>44215</v>
      </c>
      <c r="I18" s="43">
        <v>624</v>
      </c>
      <c r="J18" s="39"/>
      <c r="K18" s="54"/>
      <c r="L18" s="41"/>
      <c r="M18" s="35">
        <v>78716</v>
      </c>
      <c r="N18" s="36">
        <v>3633</v>
      </c>
      <c r="O18" s="170"/>
    </row>
    <row r="19" spans="1:15" ht="15.75" thickBot="1" x14ac:dyDescent="0.3">
      <c r="A19" s="25"/>
      <c r="B19" s="26">
        <v>44216</v>
      </c>
      <c r="C19" s="27">
        <v>5412</v>
      </c>
      <c r="D19" s="37" t="s">
        <v>27</v>
      </c>
      <c r="E19" s="29">
        <v>44216</v>
      </c>
      <c r="F19" s="30">
        <v>93079</v>
      </c>
      <c r="H19" s="31">
        <v>44216</v>
      </c>
      <c r="I19" s="43">
        <v>2636</v>
      </c>
      <c r="J19" s="39"/>
      <c r="K19" s="55"/>
      <c r="L19" s="56"/>
      <c r="M19" s="35">
        <v>71562</v>
      </c>
      <c r="N19" s="36">
        <v>13469</v>
      </c>
      <c r="O19" s="170"/>
    </row>
    <row r="20" spans="1:15" ht="15.75" thickBot="1" x14ac:dyDescent="0.3">
      <c r="A20" s="25"/>
      <c r="B20" s="26">
        <v>44217</v>
      </c>
      <c r="C20" s="27">
        <v>5180</v>
      </c>
      <c r="D20" s="37" t="s">
        <v>28</v>
      </c>
      <c r="E20" s="29">
        <v>44217</v>
      </c>
      <c r="F20" s="30">
        <v>100458</v>
      </c>
      <c r="H20" s="31">
        <v>44217</v>
      </c>
      <c r="I20" s="43">
        <v>585</v>
      </c>
      <c r="J20" s="39"/>
      <c r="K20" s="57"/>
      <c r="L20" s="51"/>
      <c r="M20" s="35">
        <v>91752</v>
      </c>
      <c r="N20" s="36">
        <v>2941</v>
      </c>
      <c r="O20" s="170"/>
    </row>
    <row r="21" spans="1:15" ht="15.75" thickBot="1" x14ac:dyDescent="0.3">
      <c r="A21" s="25"/>
      <c r="B21" s="26">
        <v>44218</v>
      </c>
      <c r="C21" s="27">
        <v>7914</v>
      </c>
      <c r="D21" s="37" t="s">
        <v>29</v>
      </c>
      <c r="E21" s="29">
        <v>44218</v>
      </c>
      <c r="F21" s="30">
        <v>127995</v>
      </c>
      <c r="H21" s="31">
        <v>44218</v>
      </c>
      <c r="I21" s="43">
        <v>10887</v>
      </c>
      <c r="J21" s="39"/>
      <c r="K21" s="54"/>
      <c r="L21" s="51"/>
      <c r="M21" s="35">
        <f>94325+261+1772</f>
        <v>96358</v>
      </c>
      <c r="N21" s="36">
        <v>15452</v>
      </c>
      <c r="O21" s="170"/>
    </row>
    <row r="22" spans="1:15" ht="15.75" thickBot="1" x14ac:dyDescent="0.3">
      <c r="A22" s="25"/>
      <c r="B22" s="26">
        <v>44219</v>
      </c>
      <c r="C22" s="27">
        <v>2749</v>
      </c>
      <c r="D22" s="37" t="s">
        <v>30</v>
      </c>
      <c r="E22" s="29">
        <v>44219</v>
      </c>
      <c r="F22" s="30">
        <v>142397</v>
      </c>
      <c r="H22" s="31">
        <v>44219</v>
      </c>
      <c r="I22" s="43">
        <v>2270</v>
      </c>
      <c r="J22" s="48">
        <v>44219</v>
      </c>
      <c r="K22" s="58" t="s">
        <v>31</v>
      </c>
      <c r="L22" s="59">
        <f>16898.35+400+4000</f>
        <v>21298.35</v>
      </c>
      <c r="M22" s="35">
        <f>103162+15177+280</f>
        <v>118619</v>
      </c>
      <c r="N22" s="36">
        <v>5563</v>
      </c>
      <c r="O22" s="170"/>
    </row>
    <row r="23" spans="1:15" ht="15.75" thickBot="1" x14ac:dyDescent="0.3">
      <c r="A23" s="25"/>
      <c r="B23" s="26">
        <v>44220</v>
      </c>
      <c r="C23" s="27">
        <v>20668</v>
      </c>
      <c r="D23" s="37" t="s">
        <v>32</v>
      </c>
      <c r="E23" s="29">
        <v>44220</v>
      </c>
      <c r="F23" s="30">
        <v>114361</v>
      </c>
      <c r="H23" s="31">
        <v>44220</v>
      </c>
      <c r="I23" s="43">
        <v>722</v>
      </c>
      <c r="J23" s="60"/>
      <c r="K23" s="61"/>
      <c r="L23" s="62"/>
      <c r="M23" s="35">
        <v>74166</v>
      </c>
      <c r="N23" s="36">
        <v>18805</v>
      </c>
      <c r="O23" s="170"/>
    </row>
    <row r="24" spans="1:15" ht="15.75" thickBot="1" x14ac:dyDescent="0.3">
      <c r="A24" s="25"/>
      <c r="B24" s="26">
        <v>44221</v>
      </c>
      <c r="C24" s="27">
        <v>1369</v>
      </c>
      <c r="D24" s="37" t="s">
        <v>14</v>
      </c>
      <c r="E24" s="29">
        <v>44221</v>
      </c>
      <c r="F24" s="30">
        <v>76677</v>
      </c>
      <c r="H24" s="31">
        <v>44221</v>
      </c>
      <c r="I24" s="43">
        <v>597</v>
      </c>
      <c r="J24" s="63"/>
      <c r="K24" s="64"/>
      <c r="L24" s="65"/>
      <c r="M24" s="35">
        <v>67388</v>
      </c>
      <c r="N24" s="36">
        <v>7323</v>
      </c>
      <c r="O24" s="170"/>
    </row>
    <row r="25" spans="1:15" ht="15.75" thickBot="1" x14ac:dyDescent="0.3">
      <c r="A25" s="25"/>
      <c r="B25" s="26">
        <v>44222</v>
      </c>
      <c r="C25" s="27">
        <v>3969</v>
      </c>
      <c r="D25" s="37" t="s">
        <v>33</v>
      </c>
      <c r="E25" s="29">
        <v>44222</v>
      </c>
      <c r="F25" s="30">
        <v>84243</v>
      </c>
      <c r="H25" s="31">
        <v>44222</v>
      </c>
      <c r="I25" s="43">
        <v>4073</v>
      </c>
      <c r="J25" s="66"/>
      <c r="K25" s="67"/>
      <c r="L25" s="68"/>
      <c r="M25" s="35">
        <v>72066</v>
      </c>
      <c r="N25" s="36">
        <v>4135</v>
      </c>
      <c r="O25" s="170"/>
    </row>
    <row r="26" spans="1:15" ht="15.75" thickBot="1" x14ac:dyDescent="0.3">
      <c r="A26" s="25"/>
      <c r="B26" s="26">
        <v>44223</v>
      </c>
      <c r="C26" s="27">
        <v>13400</v>
      </c>
      <c r="D26" s="37" t="s">
        <v>34</v>
      </c>
      <c r="E26" s="29">
        <v>44223</v>
      </c>
      <c r="F26" s="30">
        <v>94079</v>
      </c>
      <c r="H26" s="31">
        <v>44223</v>
      </c>
      <c r="I26" s="43">
        <v>602</v>
      </c>
      <c r="J26" s="39"/>
      <c r="K26" s="64"/>
      <c r="L26" s="62"/>
      <c r="M26" s="35">
        <f>76661+3067</f>
        <v>79728</v>
      </c>
      <c r="N26" s="189">
        <v>349</v>
      </c>
      <c r="O26" s="170"/>
    </row>
    <row r="27" spans="1:15" ht="15.75" thickBot="1" x14ac:dyDescent="0.3">
      <c r="A27" s="25"/>
      <c r="B27" s="26">
        <v>44224</v>
      </c>
      <c r="C27" s="27">
        <v>1667</v>
      </c>
      <c r="D27" s="45" t="s">
        <v>14</v>
      </c>
      <c r="E27" s="29">
        <v>44224</v>
      </c>
      <c r="F27" s="30">
        <v>78818</v>
      </c>
      <c r="H27" s="31">
        <v>44224</v>
      </c>
      <c r="I27" s="43">
        <v>659</v>
      </c>
      <c r="J27" s="69"/>
      <c r="K27" s="70"/>
      <c r="L27" s="68"/>
      <c r="M27" s="35">
        <v>75770</v>
      </c>
      <c r="N27" s="36">
        <v>721</v>
      </c>
      <c r="O27" s="170"/>
    </row>
    <row r="28" spans="1:15" ht="15.75" thickBot="1" x14ac:dyDescent="0.3">
      <c r="A28" s="25"/>
      <c r="B28" s="26">
        <v>44225</v>
      </c>
      <c r="C28" s="27">
        <v>1201</v>
      </c>
      <c r="D28" s="45" t="s">
        <v>14</v>
      </c>
      <c r="E28" s="29">
        <v>44225</v>
      </c>
      <c r="F28" s="30">
        <v>123158</v>
      </c>
      <c r="H28" s="31">
        <v>44225</v>
      </c>
      <c r="I28" s="43">
        <v>10625</v>
      </c>
      <c r="J28" s="69"/>
      <c r="K28" s="71"/>
      <c r="L28" s="68"/>
      <c r="M28" s="35">
        <v>106378</v>
      </c>
      <c r="N28" s="36">
        <v>4954</v>
      </c>
      <c r="O28" s="170"/>
    </row>
    <row r="29" spans="1:15" ht="15.75" thickBot="1" x14ac:dyDescent="0.3">
      <c r="A29" s="25"/>
      <c r="B29" s="26">
        <v>44226</v>
      </c>
      <c r="C29" s="27">
        <v>5337</v>
      </c>
      <c r="D29" s="72" t="s">
        <v>35</v>
      </c>
      <c r="E29" s="29">
        <v>44226</v>
      </c>
      <c r="F29" s="30">
        <v>137579</v>
      </c>
      <c r="H29" s="31">
        <v>44226</v>
      </c>
      <c r="I29" s="43">
        <v>2297</v>
      </c>
      <c r="J29" s="69">
        <v>44226</v>
      </c>
      <c r="K29" s="73" t="s">
        <v>36</v>
      </c>
      <c r="L29" s="68">
        <f>16963.3+400+4000</f>
        <v>21363.3</v>
      </c>
      <c r="M29" s="35">
        <v>112677</v>
      </c>
      <c r="N29" s="36">
        <v>4310</v>
      </c>
      <c r="O29" s="170"/>
    </row>
    <row r="30" spans="1:15" ht="15.75" thickBot="1" x14ac:dyDescent="0.3">
      <c r="A30" s="25"/>
      <c r="B30" s="26">
        <v>44227</v>
      </c>
      <c r="C30" s="27">
        <v>10206</v>
      </c>
      <c r="D30" s="72" t="s">
        <v>37</v>
      </c>
      <c r="E30" s="29">
        <v>44227</v>
      </c>
      <c r="F30" s="30">
        <v>113946</v>
      </c>
      <c r="H30" s="31">
        <v>44227</v>
      </c>
      <c r="I30" s="74">
        <v>550</v>
      </c>
      <c r="J30" s="69"/>
      <c r="K30" s="44"/>
      <c r="L30" s="41"/>
      <c r="M30" s="35">
        <v>103190</v>
      </c>
      <c r="N30" s="36">
        <v>0</v>
      </c>
      <c r="O30" s="170"/>
    </row>
    <row r="31" spans="1:15" ht="15.75" thickBot="1" x14ac:dyDescent="0.3">
      <c r="A31" s="25"/>
      <c r="B31" s="26">
        <v>44228</v>
      </c>
      <c r="C31" s="27">
        <v>8788</v>
      </c>
      <c r="D31" s="72" t="s">
        <v>38</v>
      </c>
      <c r="E31" s="29">
        <v>44228</v>
      </c>
      <c r="F31" s="30">
        <v>104547</v>
      </c>
      <c r="H31" s="31">
        <v>44228</v>
      </c>
      <c r="I31" s="74">
        <v>385</v>
      </c>
      <c r="J31" s="69">
        <v>44228</v>
      </c>
      <c r="K31" s="75" t="s">
        <v>39</v>
      </c>
      <c r="L31" s="68">
        <v>20000</v>
      </c>
      <c r="M31" s="35">
        <v>75374</v>
      </c>
      <c r="N31" s="36">
        <v>0</v>
      </c>
      <c r="O31" s="170"/>
    </row>
    <row r="32" spans="1:15" ht="15.75" thickBot="1" x14ac:dyDescent="0.3">
      <c r="A32" s="25"/>
      <c r="B32" s="26">
        <v>44229</v>
      </c>
      <c r="C32" s="27">
        <v>8244</v>
      </c>
      <c r="D32" s="72" t="s">
        <v>19</v>
      </c>
      <c r="E32" s="29">
        <v>44229</v>
      </c>
      <c r="F32" s="76">
        <v>134992</v>
      </c>
      <c r="H32" s="31">
        <v>44229</v>
      </c>
      <c r="I32" s="74">
        <v>479</v>
      </c>
      <c r="J32" s="69"/>
      <c r="K32" s="44"/>
      <c r="L32" s="41"/>
      <c r="M32" s="35">
        <v>120716</v>
      </c>
      <c r="N32" s="36">
        <v>5553</v>
      </c>
      <c r="O32" s="170"/>
    </row>
    <row r="33" spans="1:15" ht="15.75" thickBot="1" x14ac:dyDescent="0.3">
      <c r="A33" s="25"/>
      <c r="B33" s="26">
        <v>44230</v>
      </c>
      <c r="C33" s="27">
        <v>4397</v>
      </c>
      <c r="D33" s="77" t="s">
        <v>40</v>
      </c>
      <c r="E33" s="29">
        <v>44230</v>
      </c>
      <c r="F33" s="78">
        <v>88039</v>
      </c>
      <c r="H33" s="31">
        <v>44230</v>
      </c>
      <c r="I33" s="74">
        <v>2495</v>
      </c>
      <c r="J33" s="69"/>
      <c r="K33" s="44"/>
      <c r="L33" s="78"/>
      <c r="M33" s="35">
        <f>74838+3056</f>
        <v>77894</v>
      </c>
      <c r="N33" s="36">
        <v>3253</v>
      </c>
      <c r="O33" s="170"/>
    </row>
    <row r="34" spans="1:15" ht="15.75" thickBot="1" x14ac:dyDescent="0.3">
      <c r="A34" s="25"/>
      <c r="B34" s="26"/>
      <c r="C34" s="27"/>
      <c r="D34" s="67"/>
      <c r="E34" s="29"/>
      <c r="F34" s="78"/>
      <c r="H34" s="31"/>
      <c r="I34" s="74"/>
      <c r="J34" s="69"/>
      <c r="K34" s="34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79">
        <v>44203</v>
      </c>
      <c r="C35" s="80">
        <v>30394.12</v>
      </c>
      <c r="D35" s="67"/>
      <c r="E35" s="29"/>
      <c r="F35" s="78"/>
      <c r="H35" s="31"/>
      <c r="I35" s="74"/>
      <c r="J35" s="69">
        <v>44203</v>
      </c>
      <c r="K35" s="190" t="s">
        <v>200</v>
      </c>
      <c r="L35" s="78">
        <v>4880</v>
      </c>
      <c r="M35" s="35">
        <v>0</v>
      </c>
      <c r="N35" s="36">
        <v>0</v>
      </c>
      <c r="O35" s="170"/>
    </row>
    <row r="36" spans="1:15" ht="15.75" thickBot="1" x14ac:dyDescent="0.3">
      <c r="A36" s="25"/>
      <c r="B36" s="79">
        <v>44204</v>
      </c>
      <c r="C36" s="80">
        <v>14246.86</v>
      </c>
      <c r="D36" s="67"/>
      <c r="E36" s="29"/>
      <c r="F36" s="78"/>
      <c r="H36" s="31"/>
      <c r="I36" s="74"/>
      <c r="J36" s="69">
        <v>44204</v>
      </c>
      <c r="K36" s="58" t="s">
        <v>41</v>
      </c>
      <c r="L36" s="10">
        <v>6055</v>
      </c>
      <c r="M36" s="35">
        <v>0</v>
      </c>
      <c r="N36" s="36">
        <v>0</v>
      </c>
      <c r="O36" s="170"/>
    </row>
    <row r="37" spans="1:15" ht="15.75" thickBot="1" x14ac:dyDescent="0.3">
      <c r="A37" s="25"/>
      <c r="B37" s="79">
        <v>44205</v>
      </c>
      <c r="C37" s="80">
        <v>12466.83</v>
      </c>
      <c r="D37" s="67"/>
      <c r="E37" s="29"/>
      <c r="F37" s="78"/>
      <c r="H37" s="31"/>
      <c r="I37" s="74"/>
      <c r="J37" s="69">
        <v>44207</v>
      </c>
      <c r="K37" s="191" t="s">
        <v>42</v>
      </c>
      <c r="L37" s="78">
        <v>3000</v>
      </c>
      <c r="M37" s="35">
        <v>0</v>
      </c>
      <c r="N37" s="36">
        <v>0</v>
      </c>
      <c r="O37" s="170"/>
    </row>
    <row r="38" spans="1:15" ht="15.75" thickBot="1" x14ac:dyDescent="0.3">
      <c r="A38" s="25"/>
      <c r="B38" s="79">
        <v>44207</v>
      </c>
      <c r="C38" s="80">
        <v>9901.66</v>
      </c>
      <c r="D38" s="67"/>
      <c r="E38" s="29"/>
      <c r="F38" s="78"/>
      <c r="H38" s="31"/>
      <c r="I38" s="74"/>
      <c r="J38" s="69">
        <v>44208</v>
      </c>
      <c r="K38" s="82" t="s">
        <v>43</v>
      </c>
      <c r="L38" s="78">
        <v>4563.3900000000003</v>
      </c>
      <c r="M38" s="35">
        <v>0</v>
      </c>
      <c r="N38" s="36">
        <v>0</v>
      </c>
      <c r="O38" s="170"/>
    </row>
    <row r="39" spans="1:15" ht="15.75" thickBot="1" x14ac:dyDescent="0.3">
      <c r="A39" s="25"/>
      <c r="B39" s="79">
        <v>44208</v>
      </c>
      <c r="C39" s="80">
        <v>16408.63</v>
      </c>
      <c r="D39" s="67"/>
      <c r="E39" s="29"/>
      <c r="F39" s="78"/>
      <c r="H39" s="31"/>
      <c r="I39" s="74"/>
      <c r="J39" s="69">
        <v>44209</v>
      </c>
      <c r="K39" s="34" t="s">
        <v>201</v>
      </c>
      <c r="L39" s="78">
        <v>5610.99</v>
      </c>
      <c r="M39" s="35">
        <v>0</v>
      </c>
      <c r="N39" s="36">
        <v>0</v>
      </c>
      <c r="O39" s="170"/>
    </row>
    <row r="40" spans="1:15" ht="15.75" thickBot="1" x14ac:dyDescent="0.3">
      <c r="A40" s="25"/>
      <c r="B40" s="79">
        <v>44209</v>
      </c>
      <c r="C40" s="80">
        <v>19720</v>
      </c>
      <c r="D40" s="67"/>
      <c r="E40" s="29"/>
      <c r="F40" s="78"/>
      <c r="H40" s="31"/>
      <c r="I40" s="74"/>
      <c r="J40" s="69">
        <v>44211</v>
      </c>
      <c r="K40" s="82" t="s">
        <v>44</v>
      </c>
      <c r="L40" s="78">
        <v>5800</v>
      </c>
      <c r="M40" s="35">
        <v>0</v>
      </c>
      <c r="N40" s="36">
        <v>0</v>
      </c>
      <c r="O40" s="170"/>
    </row>
    <row r="41" spans="1:15" ht="15.75" thickBot="1" x14ac:dyDescent="0.3">
      <c r="A41" s="25"/>
      <c r="B41" s="79">
        <v>44210</v>
      </c>
      <c r="C41" s="80">
        <v>15779.04</v>
      </c>
      <c r="D41" s="67"/>
      <c r="E41" s="29"/>
      <c r="F41" s="78"/>
      <c r="H41" s="31"/>
      <c r="I41" s="74"/>
      <c r="J41" s="69">
        <v>44214</v>
      </c>
      <c r="K41" s="81" t="s">
        <v>202</v>
      </c>
      <c r="L41" s="78">
        <v>24526.41</v>
      </c>
      <c r="M41" s="35">
        <v>0</v>
      </c>
      <c r="N41" s="36">
        <v>0</v>
      </c>
      <c r="O41" s="170"/>
    </row>
    <row r="42" spans="1:15" ht="15.75" thickBot="1" x14ac:dyDescent="0.3">
      <c r="A42" s="25"/>
      <c r="B42" s="79">
        <v>44212</v>
      </c>
      <c r="C42" s="80">
        <v>21877.27</v>
      </c>
      <c r="D42" s="67"/>
      <c r="E42" s="29"/>
      <c r="F42" s="78"/>
      <c r="H42" s="31"/>
      <c r="I42" s="74"/>
      <c r="J42" s="69">
        <v>44214</v>
      </c>
      <c r="K42" s="44" t="s">
        <v>45</v>
      </c>
      <c r="L42" s="78">
        <f>9720+9345+705</f>
        <v>19770</v>
      </c>
      <c r="M42" s="35">
        <v>0</v>
      </c>
      <c r="N42" s="36">
        <v>0</v>
      </c>
      <c r="O42" s="170"/>
    </row>
    <row r="43" spans="1:15" ht="16.5" thickBot="1" x14ac:dyDescent="0.3">
      <c r="A43" s="25"/>
      <c r="B43" s="79">
        <v>44214</v>
      </c>
      <c r="C43" s="80">
        <v>8529.94</v>
      </c>
      <c r="D43" s="83"/>
      <c r="E43" s="29"/>
      <c r="F43" s="78"/>
      <c r="H43" s="31"/>
      <c r="I43" s="74"/>
      <c r="J43" s="69">
        <v>44214</v>
      </c>
      <c r="K43" s="44" t="s">
        <v>46</v>
      </c>
      <c r="L43" s="78">
        <v>986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44215</v>
      </c>
      <c r="C44" s="80">
        <v>13042.72</v>
      </c>
      <c r="D44" s="84"/>
      <c r="E44" s="85"/>
      <c r="F44" s="86"/>
      <c r="H44" s="31"/>
      <c r="I44" s="74"/>
      <c r="J44" s="69">
        <v>44215</v>
      </c>
      <c r="K44" s="192" t="s">
        <v>47</v>
      </c>
      <c r="L44" s="78">
        <f>25960.8+4315.2+23367.04</f>
        <v>53643.040000000001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44216</v>
      </c>
      <c r="C45" s="80">
        <v>18810.37</v>
      </c>
      <c r="D45" s="84"/>
      <c r="E45" s="85"/>
      <c r="F45" s="86"/>
      <c r="H45" s="31"/>
      <c r="I45" s="74"/>
      <c r="J45" s="69">
        <v>44218</v>
      </c>
      <c r="K45" s="58" t="s">
        <v>48</v>
      </c>
      <c r="L45" s="89">
        <v>10022.4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79">
        <v>44217</v>
      </c>
      <c r="C46" s="80">
        <v>13715.81</v>
      </c>
      <c r="D46" s="84"/>
      <c r="E46" s="88"/>
      <c r="F46" s="86"/>
      <c r="H46" s="31"/>
      <c r="I46" s="74"/>
      <c r="J46" s="69">
        <v>44221</v>
      </c>
      <c r="K46" s="193" t="s">
        <v>49</v>
      </c>
      <c r="L46" s="89">
        <f>3700+500</f>
        <v>4200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79">
        <v>44219</v>
      </c>
      <c r="C47" s="80">
        <v>25365.19</v>
      </c>
      <c r="D47" s="40"/>
      <c r="E47" s="88"/>
      <c r="F47" s="86"/>
      <c r="H47" s="31"/>
      <c r="I47" s="74"/>
      <c r="J47" s="69">
        <v>44222</v>
      </c>
      <c r="K47" s="82" t="s">
        <v>50</v>
      </c>
      <c r="L47" s="89">
        <v>348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79">
        <v>44221</v>
      </c>
      <c r="C48" s="80">
        <v>25421.5</v>
      </c>
      <c r="D48" s="40"/>
      <c r="E48" s="88"/>
      <c r="F48" s="86"/>
      <c r="H48" s="91"/>
      <c r="I48" s="74"/>
      <c r="J48" s="69">
        <v>44222</v>
      </c>
      <c r="K48" s="94" t="s">
        <v>51</v>
      </c>
      <c r="L48" s="92">
        <v>23331</v>
      </c>
      <c r="M48" s="93"/>
      <c r="N48" s="36"/>
      <c r="O48" s="170"/>
    </row>
    <row r="49" spans="1:15" ht="16.5" thickBot="1" x14ac:dyDescent="0.3">
      <c r="A49" s="25"/>
      <c r="B49" s="79">
        <v>44225</v>
      </c>
      <c r="C49" s="80">
        <v>20030.84</v>
      </c>
      <c r="D49" s="40"/>
      <c r="E49" s="88"/>
      <c r="F49" s="86"/>
      <c r="H49" s="91"/>
      <c r="I49" s="74"/>
      <c r="J49" s="69">
        <v>44224</v>
      </c>
      <c r="K49" s="101" t="s">
        <v>52</v>
      </c>
      <c r="L49" s="92">
        <v>1884.94</v>
      </c>
      <c r="M49" s="93"/>
      <c r="N49" s="36"/>
      <c r="O49" s="170"/>
    </row>
    <row r="50" spans="1:15" ht="16.5" thickBot="1" x14ac:dyDescent="0.3">
      <c r="A50" s="25"/>
      <c r="B50" s="79">
        <v>44229</v>
      </c>
      <c r="C50" s="80">
        <v>16491.599999999999</v>
      </c>
      <c r="D50" s="95"/>
      <c r="E50" s="85"/>
      <c r="F50" s="86"/>
      <c r="H50" s="91"/>
      <c r="I50" s="74"/>
      <c r="J50" s="69">
        <v>44225</v>
      </c>
      <c r="K50" s="90" t="s">
        <v>53</v>
      </c>
      <c r="L50" s="89">
        <v>1697.17</v>
      </c>
      <c r="M50" s="93"/>
      <c r="N50" s="36"/>
      <c r="O50" s="170"/>
    </row>
    <row r="51" spans="1:15" ht="16.5" thickBot="1" x14ac:dyDescent="0.3">
      <c r="A51" s="25"/>
      <c r="B51" s="96"/>
      <c r="C51" s="78"/>
      <c r="D51" s="40"/>
      <c r="E51" s="85"/>
      <c r="F51" s="86"/>
      <c r="H51" s="91"/>
      <c r="I51" s="74"/>
      <c r="J51" s="69">
        <v>44225</v>
      </c>
      <c r="K51" s="90" t="s">
        <v>54</v>
      </c>
      <c r="L51" s="89">
        <v>522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91"/>
      <c r="I52" s="74"/>
      <c r="J52" s="69">
        <v>44225</v>
      </c>
      <c r="K52" s="90" t="s">
        <v>55</v>
      </c>
      <c r="L52" s="89">
        <v>5962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91"/>
      <c r="I53" s="74"/>
      <c r="J53" s="69">
        <v>44225</v>
      </c>
      <c r="K53" s="82" t="s">
        <v>56</v>
      </c>
      <c r="L53" s="89">
        <v>5005.2700000000004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91"/>
      <c r="I54" s="74"/>
      <c r="J54" s="69"/>
      <c r="K54" s="58"/>
      <c r="L54" s="78">
        <v>0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91"/>
      <c r="I55" s="74"/>
      <c r="J55" s="69"/>
      <c r="K55" s="90"/>
      <c r="L55" s="89"/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101"/>
      <c r="L56" s="92"/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70"/>
    </row>
    <row r="60" spans="1:15" ht="15.75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481638.57999999996</v>
      </c>
      <c r="D62" s="106"/>
      <c r="E62" s="107" t="s">
        <v>57</v>
      </c>
      <c r="F62" s="108">
        <f>SUM(F5:F61)</f>
        <v>3208273</v>
      </c>
      <c r="G62" s="106"/>
      <c r="H62" s="109" t="s">
        <v>58</v>
      </c>
      <c r="I62" s="110">
        <f>SUM(I5:I61)</f>
        <v>71441</v>
      </c>
      <c r="J62" s="111"/>
      <c r="K62" s="112" t="s">
        <v>59</v>
      </c>
      <c r="L62" s="113">
        <f>SUM(L5:L61)</f>
        <v>289312.84999999998</v>
      </c>
      <c r="M62" s="114">
        <f>SUM(M5:M61)</f>
        <v>2654267.7000000002</v>
      </c>
      <c r="N62" s="114">
        <f>SUM(N5:N61)</f>
        <v>232247</v>
      </c>
      <c r="O62" s="186"/>
    </row>
    <row r="63" spans="1:15" ht="16.5" thickTop="1" thickBot="1" x14ac:dyDescent="0.3">
      <c r="C63" s="5" t="s">
        <v>11</v>
      </c>
      <c r="O63" s="186"/>
    </row>
    <row r="64" spans="1:15" ht="19.5" customHeight="1" thickBot="1" x14ac:dyDescent="0.3">
      <c r="A64" s="58"/>
      <c r="B64" s="115"/>
      <c r="C64" s="4"/>
      <c r="H64" s="325" t="s">
        <v>60</v>
      </c>
      <c r="I64" s="326"/>
      <c r="J64" s="116"/>
      <c r="K64" s="327">
        <f>I62+L62</f>
        <v>360753.85</v>
      </c>
      <c r="L64" s="328"/>
      <c r="M64" s="315">
        <f>M62+N62</f>
        <v>2886514.7</v>
      </c>
      <c r="N64" s="316"/>
      <c r="O64" s="187"/>
    </row>
    <row r="65" spans="2:15" ht="15.75" customHeight="1" x14ac:dyDescent="0.25">
      <c r="D65" s="317" t="s">
        <v>61</v>
      </c>
      <c r="E65" s="317"/>
      <c r="F65" s="117">
        <f>F62-K64-C62</f>
        <v>2365880.5699999998</v>
      </c>
      <c r="I65" s="118"/>
      <c r="J65" s="119"/>
    </row>
    <row r="66" spans="2:15" ht="18.75" x14ac:dyDescent="0.3">
      <c r="D66" s="318" t="s">
        <v>62</v>
      </c>
      <c r="E66" s="318"/>
      <c r="F66" s="114">
        <v>-2276696.6800000002</v>
      </c>
      <c r="I66" s="319" t="s">
        <v>63</v>
      </c>
      <c r="J66" s="320"/>
      <c r="K66" s="321">
        <f>F68+F69+F70</f>
        <v>344253.98999999964</v>
      </c>
      <c r="L66" s="322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89183.889999999665</v>
      </c>
      <c r="H68" s="25"/>
      <c r="I68" s="126" t="s">
        <v>65</v>
      </c>
      <c r="J68" s="127"/>
      <c r="K68" s="323">
        <f>-C4</f>
        <v>-250864.68</v>
      </c>
      <c r="L68" s="324"/>
      <c r="M68" s="128"/>
    </row>
    <row r="69" spans="2:15" ht="16.5" thickBot="1" x14ac:dyDescent="0.3">
      <c r="D69" s="87" t="s">
        <v>66</v>
      </c>
      <c r="E69" s="58" t="s">
        <v>67</v>
      </c>
      <c r="F69" s="129">
        <v>45529</v>
      </c>
    </row>
    <row r="70" spans="2:15" ht="20.25" thickTop="1" thickBot="1" x14ac:dyDescent="0.35">
      <c r="C70" s="130">
        <v>44230</v>
      </c>
      <c r="D70" s="309" t="s">
        <v>68</v>
      </c>
      <c r="E70" s="310"/>
      <c r="F70" s="131">
        <v>209541.1</v>
      </c>
      <c r="I70" s="311" t="s">
        <v>69</v>
      </c>
      <c r="J70" s="312"/>
      <c r="K70" s="313">
        <f>K66+K68</f>
        <v>93389.309999999648</v>
      </c>
      <c r="L70" s="314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6">
    <mergeCell ref="D70:E70"/>
    <mergeCell ref="I70:J70"/>
    <mergeCell ref="K70:L70"/>
    <mergeCell ref="M64:N64"/>
    <mergeCell ref="D65:E65"/>
    <mergeCell ref="D66:E66"/>
    <mergeCell ref="I66:J66"/>
    <mergeCell ref="K66:L66"/>
    <mergeCell ref="K68:L68"/>
    <mergeCell ref="H64:I64"/>
    <mergeCell ref="K64:L64"/>
    <mergeCell ref="C1:K1"/>
    <mergeCell ref="B3:C3"/>
    <mergeCell ref="H3:I3"/>
    <mergeCell ref="E4:F4"/>
    <mergeCell ref="H4:I4"/>
  </mergeCells>
  <pageMargins left="0.52" right="0.15748031496062992" top="0.31496062992125984" bottom="0.39370078740157483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07"/>
  <sheetViews>
    <sheetView workbookViewId="0">
      <selection activeCell="C14" sqref="C13:C14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44321</v>
      </c>
      <c r="B3" s="152" t="s">
        <v>430</v>
      </c>
      <c r="C3" s="78">
        <v>150372.1</v>
      </c>
      <c r="D3" s="153"/>
      <c r="E3" s="10"/>
      <c r="F3" s="154">
        <f>C3-E3</f>
        <v>150372.1</v>
      </c>
    </row>
    <row r="4" spans="1:7" ht="18.75" x14ac:dyDescent="0.3">
      <c r="A4" s="151">
        <v>44321</v>
      </c>
      <c r="B4" s="152" t="s">
        <v>431</v>
      </c>
      <c r="C4" s="78">
        <v>48414.400000000001</v>
      </c>
      <c r="D4" s="155"/>
      <c r="E4" s="78"/>
      <c r="F4" s="156">
        <f>F3+C4-E4</f>
        <v>198786.5</v>
      </c>
      <c r="G4" s="157"/>
    </row>
    <row r="5" spans="1:7" ht="15.75" x14ac:dyDescent="0.25">
      <c r="A5" s="155">
        <v>44322</v>
      </c>
      <c r="B5" s="152" t="s">
        <v>432</v>
      </c>
      <c r="C5" s="78">
        <v>168126.93</v>
      </c>
      <c r="D5" s="155">
        <v>44323</v>
      </c>
      <c r="E5" s="78">
        <v>366913.43</v>
      </c>
      <c r="F5" s="156">
        <f t="shared" ref="F5:F68" si="0">F4+C5-E5</f>
        <v>0</v>
      </c>
    </row>
    <row r="6" spans="1:7" ht="15.75" x14ac:dyDescent="0.25">
      <c r="A6" s="155">
        <v>44323</v>
      </c>
      <c r="B6" s="152" t="s">
        <v>433</v>
      </c>
      <c r="C6" s="78">
        <v>115329.5</v>
      </c>
      <c r="D6" s="155"/>
      <c r="E6" s="78"/>
      <c r="F6" s="156">
        <f t="shared" si="0"/>
        <v>115329.5</v>
      </c>
    </row>
    <row r="7" spans="1:7" ht="15.75" x14ac:dyDescent="0.25">
      <c r="A7" s="155">
        <v>44324</v>
      </c>
      <c r="B7" s="152" t="s">
        <v>434</v>
      </c>
      <c r="C7" s="78">
        <v>210514.4</v>
      </c>
      <c r="D7" s="155"/>
      <c r="E7" s="78"/>
      <c r="F7" s="156">
        <f t="shared" si="0"/>
        <v>325843.90000000002</v>
      </c>
    </row>
    <row r="8" spans="1:7" ht="15.75" x14ac:dyDescent="0.25">
      <c r="A8" s="155">
        <v>44324</v>
      </c>
      <c r="B8" s="152" t="s">
        <v>435</v>
      </c>
      <c r="C8" s="78">
        <v>16808</v>
      </c>
      <c r="D8" s="155"/>
      <c r="E8" s="78"/>
      <c r="F8" s="156">
        <f t="shared" si="0"/>
        <v>342651.9</v>
      </c>
    </row>
    <row r="9" spans="1:7" ht="15.75" x14ac:dyDescent="0.25">
      <c r="A9" s="155">
        <v>44326</v>
      </c>
      <c r="B9" s="152" t="s">
        <v>436</v>
      </c>
      <c r="C9" s="78">
        <v>29077.599999999999</v>
      </c>
      <c r="D9" s="155"/>
      <c r="E9" s="78"/>
      <c r="F9" s="156">
        <f t="shared" si="0"/>
        <v>371729.5</v>
      </c>
    </row>
    <row r="10" spans="1:7" ht="18.75" x14ac:dyDescent="0.3">
      <c r="A10" s="155">
        <v>44326</v>
      </c>
      <c r="B10" s="152" t="s">
        <v>437</v>
      </c>
      <c r="C10" s="78">
        <v>47948.6</v>
      </c>
      <c r="D10" s="155"/>
      <c r="E10" s="78"/>
      <c r="F10" s="156">
        <f t="shared" si="0"/>
        <v>419678.1</v>
      </c>
      <c r="G10" s="157"/>
    </row>
    <row r="11" spans="1:7" ht="15.75" x14ac:dyDescent="0.25">
      <c r="A11" s="151">
        <v>44327</v>
      </c>
      <c r="B11" s="152" t="s">
        <v>438</v>
      </c>
      <c r="C11" s="78">
        <v>55802</v>
      </c>
      <c r="D11" s="155"/>
      <c r="E11" s="78"/>
      <c r="F11" s="156">
        <f t="shared" si="0"/>
        <v>475480.1</v>
      </c>
    </row>
    <row r="12" spans="1:7" ht="15.75" x14ac:dyDescent="0.25">
      <c r="A12" s="155">
        <v>44327</v>
      </c>
      <c r="B12" s="152" t="s">
        <v>439</v>
      </c>
      <c r="C12" s="78">
        <v>50266.6</v>
      </c>
      <c r="D12" s="155"/>
      <c r="E12" s="78"/>
      <c r="F12" s="156">
        <f t="shared" si="0"/>
        <v>525746.69999999995</v>
      </c>
    </row>
    <row r="13" spans="1:7" ht="15.75" x14ac:dyDescent="0.25">
      <c r="A13" s="155">
        <v>44329</v>
      </c>
      <c r="B13" s="152" t="s">
        <v>440</v>
      </c>
      <c r="C13" s="78">
        <v>183934.07</v>
      </c>
      <c r="D13" s="155"/>
      <c r="E13" s="78"/>
      <c r="F13" s="156">
        <f t="shared" si="0"/>
        <v>709680.77</v>
      </c>
    </row>
    <row r="14" spans="1:7" ht="15.75" x14ac:dyDescent="0.25">
      <c r="A14" s="155">
        <v>44330</v>
      </c>
      <c r="B14" s="152" t="s">
        <v>441</v>
      </c>
      <c r="C14" s="78">
        <v>187288.82</v>
      </c>
      <c r="D14" s="155">
        <v>44331</v>
      </c>
      <c r="E14" s="78">
        <v>896969.59</v>
      </c>
      <c r="F14" s="156">
        <f t="shared" si="0"/>
        <v>0</v>
      </c>
    </row>
    <row r="15" spans="1:7" ht="15.75" x14ac:dyDescent="0.25">
      <c r="A15" s="155">
        <v>44331</v>
      </c>
      <c r="B15" s="152" t="s">
        <v>442</v>
      </c>
      <c r="C15" s="78">
        <v>108.8</v>
      </c>
      <c r="D15" s="155"/>
      <c r="E15" s="78"/>
      <c r="F15" s="156">
        <f t="shared" si="0"/>
        <v>108.8</v>
      </c>
    </row>
    <row r="16" spans="1:7" ht="15.75" x14ac:dyDescent="0.25">
      <c r="A16" s="155">
        <v>44331</v>
      </c>
      <c r="B16" s="152" t="s">
        <v>443</v>
      </c>
      <c r="C16" s="78">
        <v>165123.85</v>
      </c>
      <c r="D16" s="155"/>
      <c r="E16" s="78"/>
      <c r="F16" s="156">
        <f t="shared" si="0"/>
        <v>165232.65</v>
      </c>
    </row>
    <row r="17" spans="1:7" ht="15.75" x14ac:dyDescent="0.25">
      <c r="A17" s="155">
        <v>44333</v>
      </c>
      <c r="B17" s="152" t="s">
        <v>444</v>
      </c>
      <c r="C17" s="78">
        <v>107259.1</v>
      </c>
      <c r="D17" s="155"/>
      <c r="E17" s="78"/>
      <c r="F17" s="156">
        <f t="shared" si="0"/>
        <v>272491.75</v>
      </c>
    </row>
    <row r="18" spans="1:7" ht="15.75" x14ac:dyDescent="0.25">
      <c r="A18" s="155">
        <v>44335</v>
      </c>
      <c r="B18" s="152" t="s">
        <v>445</v>
      </c>
      <c r="C18" s="78">
        <v>124216.01</v>
      </c>
      <c r="D18" s="155"/>
      <c r="E18" s="78"/>
      <c r="F18" s="156">
        <f t="shared" si="0"/>
        <v>396707.76</v>
      </c>
    </row>
    <row r="19" spans="1:7" ht="15.75" x14ac:dyDescent="0.25">
      <c r="A19" s="155">
        <v>44335</v>
      </c>
      <c r="B19" s="152" t="s">
        <v>446</v>
      </c>
      <c r="C19" s="78">
        <v>40493.199999999997</v>
      </c>
      <c r="D19" s="155"/>
      <c r="E19" s="78"/>
      <c r="F19" s="156">
        <f t="shared" si="0"/>
        <v>437200.96</v>
      </c>
    </row>
    <row r="20" spans="1:7" ht="15.75" x14ac:dyDescent="0.25">
      <c r="A20" s="155">
        <v>44335</v>
      </c>
      <c r="B20" s="152" t="s">
        <v>447</v>
      </c>
      <c r="C20" s="78">
        <v>2172</v>
      </c>
      <c r="D20" s="155"/>
      <c r="E20" s="78"/>
      <c r="F20" s="156">
        <f t="shared" si="0"/>
        <v>439372.96</v>
      </c>
    </row>
    <row r="21" spans="1:7" ht="15.75" x14ac:dyDescent="0.25">
      <c r="A21" s="155">
        <v>44336</v>
      </c>
      <c r="B21" s="152" t="s">
        <v>448</v>
      </c>
      <c r="C21" s="78">
        <v>62034.5</v>
      </c>
      <c r="D21" s="155"/>
      <c r="E21" s="78"/>
      <c r="F21" s="156">
        <f t="shared" si="0"/>
        <v>501407.46</v>
      </c>
    </row>
    <row r="22" spans="1:7" ht="18.75" x14ac:dyDescent="0.3">
      <c r="A22" s="155">
        <v>44337</v>
      </c>
      <c r="B22" s="152" t="s">
        <v>449</v>
      </c>
      <c r="C22" s="78">
        <v>120346.16</v>
      </c>
      <c r="D22" s="155"/>
      <c r="E22" s="78"/>
      <c r="F22" s="156">
        <f t="shared" si="0"/>
        <v>621753.62</v>
      </c>
      <c r="G22" s="157"/>
    </row>
    <row r="23" spans="1:7" ht="15.75" x14ac:dyDescent="0.25">
      <c r="A23" s="155">
        <v>44337</v>
      </c>
      <c r="B23" s="152" t="s">
        <v>450</v>
      </c>
      <c r="C23" s="78">
        <v>44935</v>
      </c>
      <c r="D23" s="155">
        <v>44338</v>
      </c>
      <c r="E23" s="78">
        <v>666688.62</v>
      </c>
      <c r="F23" s="156">
        <f t="shared" si="0"/>
        <v>0</v>
      </c>
    </row>
    <row r="24" spans="1:7" ht="15.75" x14ac:dyDescent="0.25">
      <c r="A24" s="155">
        <v>44337</v>
      </c>
      <c r="B24" s="152" t="s">
        <v>451</v>
      </c>
      <c r="C24" s="78">
        <v>9679.7999999999993</v>
      </c>
      <c r="D24" s="155"/>
      <c r="E24" s="78"/>
      <c r="F24" s="156">
        <f t="shared" si="0"/>
        <v>9679.7999999999993</v>
      </c>
    </row>
    <row r="25" spans="1:7" ht="15.75" x14ac:dyDescent="0.25">
      <c r="A25" s="155">
        <v>44338</v>
      </c>
      <c r="B25" s="152" t="s">
        <v>452</v>
      </c>
      <c r="C25" s="78">
        <v>168583.32</v>
      </c>
      <c r="D25" s="155"/>
      <c r="E25" s="78"/>
      <c r="F25" s="156">
        <f t="shared" si="0"/>
        <v>178263.12</v>
      </c>
    </row>
    <row r="26" spans="1:7" ht="15.75" x14ac:dyDescent="0.25">
      <c r="A26" s="155">
        <v>44338</v>
      </c>
      <c r="B26" s="152" t="s">
        <v>453</v>
      </c>
      <c r="C26" s="78">
        <v>21117.599999999999</v>
      </c>
      <c r="D26" s="155"/>
      <c r="E26" s="78"/>
      <c r="F26" s="156">
        <f t="shared" si="0"/>
        <v>199380.72</v>
      </c>
    </row>
    <row r="27" spans="1:7" ht="15.75" x14ac:dyDescent="0.25">
      <c r="A27" s="155">
        <v>44340</v>
      </c>
      <c r="B27" s="152" t="s">
        <v>454</v>
      </c>
      <c r="C27" s="78">
        <v>128928.1</v>
      </c>
      <c r="D27" s="155"/>
      <c r="E27" s="78"/>
      <c r="F27" s="156">
        <f t="shared" si="0"/>
        <v>328308.82</v>
      </c>
    </row>
    <row r="28" spans="1:7" ht="15.75" x14ac:dyDescent="0.25">
      <c r="A28" s="155">
        <v>44341</v>
      </c>
      <c r="B28" s="152" t="s">
        <v>455</v>
      </c>
      <c r="C28" s="78">
        <v>17042.400000000001</v>
      </c>
      <c r="D28" s="155"/>
      <c r="E28" s="78"/>
      <c r="F28" s="156">
        <f t="shared" si="0"/>
        <v>345351.22000000003</v>
      </c>
    </row>
    <row r="29" spans="1:7" ht="15.75" x14ac:dyDescent="0.25">
      <c r="A29" s="155">
        <v>44341</v>
      </c>
      <c r="B29" s="152" t="s">
        <v>456</v>
      </c>
      <c r="C29" s="78">
        <v>288</v>
      </c>
      <c r="D29" s="155"/>
      <c r="E29" s="78"/>
      <c r="F29" s="156">
        <f t="shared" si="0"/>
        <v>345639.22000000003</v>
      </c>
    </row>
    <row r="30" spans="1:7" ht="18.75" x14ac:dyDescent="0.3">
      <c r="A30" s="155">
        <v>44341</v>
      </c>
      <c r="B30" s="152" t="s">
        <v>457</v>
      </c>
      <c r="C30" s="78">
        <v>168700.4</v>
      </c>
      <c r="D30" s="155"/>
      <c r="E30" s="78"/>
      <c r="F30" s="156">
        <f t="shared" si="0"/>
        <v>514339.62</v>
      </c>
      <c r="G30" s="157"/>
    </row>
    <row r="31" spans="1:7" ht="15.75" x14ac:dyDescent="0.25">
      <c r="A31" s="155">
        <v>44343</v>
      </c>
      <c r="B31" s="152" t="s">
        <v>458</v>
      </c>
      <c r="C31" s="78">
        <v>163151.94</v>
      </c>
      <c r="D31" s="155"/>
      <c r="E31" s="78"/>
      <c r="F31" s="156">
        <f t="shared" si="0"/>
        <v>677491.56</v>
      </c>
    </row>
    <row r="32" spans="1:7" ht="15.75" x14ac:dyDescent="0.25">
      <c r="A32" s="151">
        <v>44344</v>
      </c>
      <c r="B32" s="152" t="s">
        <v>459</v>
      </c>
      <c r="C32" s="78">
        <v>91776.4</v>
      </c>
      <c r="D32" s="155">
        <v>44345</v>
      </c>
      <c r="E32" s="78">
        <v>769267.96</v>
      </c>
      <c r="F32" s="156">
        <f t="shared" si="0"/>
        <v>0</v>
      </c>
    </row>
    <row r="33" spans="1:6" ht="15.75" x14ac:dyDescent="0.25">
      <c r="A33" s="151">
        <v>44345</v>
      </c>
      <c r="B33" s="152" t="s">
        <v>460</v>
      </c>
      <c r="C33" s="78">
        <v>16448.400000000001</v>
      </c>
      <c r="D33" s="155"/>
      <c r="E33" s="78"/>
      <c r="F33" s="156">
        <f t="shared" si="0"/>
        <v>16448.400000000001</v>
      </c>
    </row>
    <row r="34" spans="1:6" ht="15.75" x14ac:dyDescent="0.25">
      <c r="A34" s="151">
        <v>44345</v>
      </c>
      <c r="B34" s="152" t="s">
        <v>461</v>
      </c>
      <c r="C34" s="78">
        <v>232988.63</v>
      </c>
      <c r="D34" s="155"/>
      <c r="E34" s="78"/>
      <c r="F34" s="156">
        <f t="shared" si="0"/>
        <v>249437.03</v>
      </c>
    </row>
    <row r="35" spans="1:6" ht="15.75" x14ac:dyDescent="0.25">
      <c r="A35" s="151">
        <v>44347</v>
      </c>
      <c r="B35" s="152" t="s">
        <v>462</v>
      </c>
      <c r="C35" s="78">
        <v>120348</v>
      </c>
      <c r="D35" s="155"/>
      <c r="E35" s="78"/>
      <c r="F35" s="156">
        <f t="shared" si="0"/>
        <v>369785.03</v>
      </c>
    </row>
    <row r="36" spans="1:6" ht="15.75" x14ac:dyDescent="0.25">
      <c r="A36" s="151">
        <v>44347</v>
      </c>
      <c r="B36" s="152" t="s">
        <v>463</v>
      </c>
      <c r="C36" s="78">
        <v>42066</v>
      </c>
      <c r="D36" s="155"/>
      <c r="E36" s="78"/>
      <c r="F36" s="156">
        <f t="shared" si="0"/>
        <v>411851.03</v>
      </c>
    </row>
    <row r="37" spans="1:6" ht="15.75" x14ac:dyDescent="0.25">
      <c r="A37" s="155">
        <v>44348</v>
      </c>
      <c r="B37" s="152" t="s">
        <v>464</v>
      </c>
      <c r="C37" s="78">
        <v>120428.98</v>
      </c>
      <c r="D37" s="155"/>
      <c r="E37" s="78"/>
      <c r="F37" s="156">
        <f t="shared" si="0"/>
        <v>532280.01</v>
      </c>
    </row>
    <row r="38" spans="1:6" ht="15.75" x14ac:dyDescent="0.25">
      <c r="A38" s="155">
        <v>44349</v>
      </c>
      <c r="B38" s="152" t="s">
        <v>465</v>
      </c>
      <c r="C38" s="78">
        <v>378</v>
      </c>
      <c r="D38" s="155"/>
      <c r="E38" s="78"/>
      <c r="F38" s="156">
        <f t="shared" si="0"/>
        <v>532658.01</v>
      </c>
    </row>
    <row r="39" spans="1:6" ht="15.75" x14ac:dyDescent="0.25">
      <c r="A39" s="155">
        <v>44349</v>
      </c>
      <c r="B39" s="152" t="s">
        <v>466</v>
      </c>
      <c r="C39" s="78">
        <v>175319.6</v>
      </c>
      <c r="D39" s="155"/>
      <c r="E39" s="78"/>
      <c r="F39" s="156">
        <f t="shared" si="0"/>
        <v>707977.61</v>
      </c>
    </row>
    <row r="40" spans="1:6" ht="15.75" x14ac:dyDescent="0.25">
      <c r="A40" s="151">
        <v>44350</v>
      </c>
      <c r="B40" s="152" t="s">
        <v>467</v>
      </c>
      <c r="C40" s="78">
        <v>212502.44</v>
      </c>
      <c r="D40" s="155"/>
      <c r="E40" s="78"/>
      <c r="F40" s="156">
        <f t="shared" si="0"/>
        <v>920480.05</v>
      </c>
    </row>
    <row r="41" spans="1:6" ht="15.75" x14ac:dyDescent="0.25">
      <c r="A41" s="151">
        <v>44351</v>
      </c>
      <c r="B41" s="152" t="s">
        <v>468</v>
      </c>
      <c r="C41" s="78">
        <v>3158.75</v>
      </c>
      <c r="D41" s="155"/>
      <c r="E41" s="78"/>
      <c r="F41" s="156">
        <f t="shared" si="0"/>
        <v>923638.8</v>
      </c>
    </row>
    <row r="42" spans="1:6" ht="15.75" x14ac:dyDescent="0.25">
      <c r="A42" s="151">
        <v>44351</v>
      </c>
      <c r="B42" s="152" t="s">
        <v>469</v>
      </c>
      <c r="C42" s="78">
        <v>42422.2</v>
      </c>
      <c r="D42" s="155"/>
      <c r="E42" s="78"/>
      <c r="F42" s="156">
        <f t="shared" si="0"/>
        <v>966061</v>
      </c>
    </row>
    <row r="43" spans="1:6" ht="15.75" hidden="1" x14ac:dyDescent="0.25">
      <c r="A43" s="151"/>
      <c r="B43" s="152"/>
      <c r="C43" s="78"/>
      <c r="D43" s="155"/>
      <c r="E43" s="78"/>
      <c r="F43" s="156">
        <f t="shared" si="0"/>
        <v>966061</v>
      </c>
    </row>
    <row r="44" spans="1:6" ht="15.75" hidden="1" x14ac:dyDescent="0.25">
      <c r="A44" s="151"/>
      <c r="B44" s="152"/>
      <c r="C44" s="78"/>
      <c r="D44" s="155"/>
      <c r="E44" s="78"/>
      <c r="F44" s="156">
        <f t="shared" si="0"/>
        <v>966061</v>
      </c>
    </row>
    <row r="45" spans="1:6" ht="15.75" hidden="1" x14ac:dyDescent="0.25">
      <c r="A45" s="151"/>
      <c r="B45" s="152"/>
      <c r="C45" s="78"/>
      <c r="D45" s="155"/>
      <c r="E45" s="78"/>
      <c r="F45" s="156">
        <f t="shared" si="0"/>
        <v>966061</v>
      </c>
    </row>
    <row r="46" spans="1:6" ht="15.75" hidden="1" x14ac:dyDescent="0.25">
      <c r="A46" s="151"/>
      <c r="B46" s="152"/>
      <c r="C46" s="78"/>
      <c r="D46" s="155"/>
      <c r="E46" s="78"/>
      <c r="F46" s="156">
        <f t="shared" si="0"/>
        <v>966061</v>
      </c>
    </row>
    <row r="47" spans="1:6" ht="15.75" hidden="1" x14ac:dyDescent="0.25">
      <c r="A47" s="151"/>
      <c r="B47" s="152"/>
      <c r="C47" s="78"/>
      <c r="D47" s="155"/>
      <c r="E47" s="78"/>
      <c r="F47" s="156">
        <f t="shared" si="0"/>
        <v>966061</v>
      </c>
    </row>
    <row r="48" spans="1:6" ht="15.75" hidden="1" x14ac:dyDescent="0.25">
      <c r="A48" s="151"/>
      <c r="B48" s="152"/>
      <c r="C48" s="78"/>
      <c r="D48" s="155"/>
      <c r="E48" s="78"/>
      <c r="F48" s="156">
        <f t="shared" si="0"/>
        <v>966061</v>
      </c>
    </row>
    <row r="49" spans="1:6" ht="15.75" hidden="1" x14ac:dyDescent="0.25">
      <c r="A49" s="151"/>
      <c r="B49" s="152"/>
      <c r="C49" s="78"/>
      <c r="D49" s="155"/>
      <c r="E49" s="78"/>
      <c r="F49" s="156">
        <f t="shared" si="0"/>
        <v>966061</v>
      </c>
    </row>
    <row r="50" spans="1:6" ht="15.75" hidden="1" x14ac:dyDescent="0.25">
      <c r="A50" s="151"/>
      <c r="B50" s="152"/>
      <c r="C50" s="78"/>
      <c r="D50" s="155"/>
      <c r="E50" s="78"/>
      <c r="F50" s="156">
        <f t="shared" si="0"/>
        <v>966061</v>
      </c>
    </row>
    <row r="51" spans="1:6" ht="15.75" hidden="1" x14ac:dyDescent="0.25">
      <c r="A51" s="151"/>
      <c r="B51" s="152"/>
      <c r="C51" s="78"/>
      <c r="D51" s="155"/>
      <c r="E51" s="78"/>
      <c r="F51" s="156">
        <f t="shared" si="0"/>
        <v>966061</v>
      </c>
    </row>
    <row r="52" spans="1:6" ht="15.75" hidden="1" x14ac:dyDescent="0.25">
      <c r="A52" s="151"/>
      <c r="B52" s="152"/>
      <c r="C52" s="78"/>
      <c r="D52" s="155"/>
      <c r="E52" s="78"/>
      <c r="F52" s="156">
        <f t="shared" si="0"/>
        <v>966061</v>
      </c>
    </row>
    <row r="53" spans="1:6" ht="15.75" hidden="1" x14ac:dyDescent="0.25">
      <c r="A53" s="151"/>
      <c r="B53" s="152"/>
      <c r="C53" s="78"/>
      <c r="D53" s="155"/>
      <c r="E53" s="78"/>
      <c r="F53" s="156">
        <f t="shared" si="0"/>
        <v>966061</v>
      </c>
    </row>
    <row r="54" spans="1:6" ht="15.75" hidden="1" x14ac:dyDescent="0.25">
      <c r="A54" s="151"/>
      <c r="B54" s="152"/>
      <c r="C54" s="78"/>
      <c r="D54" s="155"/>
      <c r="E54" s="78"/>
      <c r="F54" s="156">
        <f t="shared" si="0"/>
        <v>966061</v>
      </c>
    </row>
    <row r="55" spans="1:6" ht="15.75" hidden="1" x14ac:dyDescent="0.25">
      <c r="A55" s="151"/>
      <c r="B55" s="152"/>
      <c r="C55" s="78"/>
      <c r="D55" s="155"/>
      <c r="E55" s="78"/>
      <c r="F55" s="156">
        <f t="shared" si="0"/>
        <v>966061</v>
      </c>
    </row>
    <row r="56" spans="1:6" ht="15.75" hidden="1" x14ac:dyDescent="0.25">
      <c r="A56" s="151"/>
      <c r="B56" s="152"/>
      <c r="C56" s="78"/>
      <c r="D56" s="155"/>
      <c r="E56" s="78"/>
      <c r="F56" s="156">
        <f t="shared" si="0"/>
        <v>966061</v>
      </c>
    </row>
    <row r="57" spans="1:6" ht="15.75" hidden="1" x14ac:dyDescent="0.25">
      <c r="A57" s="151"/>
      <c r="B57" s="152"/>
      <c r="C57" s="78"/>
      <c r="D57" s="155"/>
      <c r="E57" s="78"/>
      <c r="F57" s="156">
        <f t="shared" si="0"/>
        <v>966061</v>
      </c>
    </row>
    <row r="58" spans="1:6" ht="15.75" hidden="1" x14ac:dyDescent="0.25">
      <c r="A58" s="151"/>
      <c r="B58" s="152"/>
      <c r="C58" s="78"/>
      <c r="D58" s="155"/>
      <c r="E58" s="78"/>
      <c r="F58" s="156">
        <f t="shared" si="0"/>
        <v>966061</v>
      </c>
    </row>
    <row r="59" spans="1:6" ht="15.75" hidden="1" x14ac:dyDescent="0.25">
      <c r="A59" s="151"/>
      <c r="B59" s="152"/>
      <c r="C59" s="78"/>
      <c r="D59" s="155"/>
      <c r="E59" s="78"/>
      <c r="F59" s="156">
        <f t="shared" si="0"/>
        <v>966061</v>
      </c>
    </row>
    <row r="60" spans="1:6" ht="15.75" hidden="1" x14ac:dyDescent="0.25">
      <c r="A60" s="151"/>
      <c r="B60" s="152"/>
      <c r="C60" s="78"/>
      <c r="D60" s="155"/>
      <c r="E60" s="78"/>
      <c r="F60" s="156">
        <f t="shared" si="0"/>
        <v>966061</v>
      </c>
    </row>
    <row r="61" spans="1:6" ht="15.75" hidden="1" x14ac:dyDescent="0.25">
      <c r="A61" s="159"/>
      <c r="B61" s="160"/>
      <c r="C61" s="141"/>
      <c r="D61" s="153"/>
      <c r="E61" s="141"/>
      <c r="F61" s="156">
        <f t="shared" si="0"/>
        <v>966061</v>
      </c>
    </row>
    <row r="62" spans="1:6" ht="15.75" hidden="1" x14ac:dyDescent="0.25">
      <c r="A62" s="159"/>
      <c r="B62" s="160"/>
      <c r="C62" s="141"/>
      <c r="D62" s="153"/>
      <c r="E62" s="141"/>
      <c r="F62" s="156">
        <f t="shared" si="0"/>
        <v>966061</v>
      </c>
    </row>
    <row r="63" spans="1:6" ht="15.75" hidden="1" x14ac:dyDescent="0.25">
      <c r="A63" s="159"/>
      <c r="B63" s="160"/>
      <c r="C63" s="141"/>
      <c r="D63" s="153"/>
      <c r="E63" s="141"/>
      <c r="F63" s="156">
        <f t="shared" si="0"/>
        <v>966061</v>
      </c>
    </row>
    <row r="64" spans="1:6" ht="15.75" hidden="1" x14ac:dyDescent="0.25">
      <c r="A64" s="159"/>
      <c r="B64" s="160"/>
      <c r="C64" s="141"/>
      <c r="D64" s="153"/>
      <c r="E64" s="141"/>
      <c r="F64" s="156">
        <f t="shared" si="0"/>
        <v>966061</v>
      </c>
    </row>
    <row r="65" spans="1:6" ht="15.75" hidden="1" x14ac:dyDescent="0.25">
      <c r="A65" s="159"/>
      <c r="B65" s="160"/>
      <c r="C65" s="141"/>
      <c r="D65" s="153"/>
      <c r="E65" s="141"/>
      <c r="F65" s="156">
        <f t="shared" si="0"/>
        <v>966061</v>
      </c>
    </row>
    <row r="66" spans="1:6" ht="15.75" x14ac:dyDescent="0.25">
      <c r="A66" s="159">
        <v>44352</v>
      </c>
      <c r="B66" s="160" t="s">
        <v>470</v>
      </c>
      <c r="C66" s="141">
        <v>52136</v>
      </c>
      <c r="D66" s="153"/>
      <c r="E66" s="141"/>
      <c r="F66" s="156">
        <f t="shared" si="0"/>
        <v>1018197</v>
      </c>
    </row>
    <row r="67" spans="1:6" ht="15.75" x14ac:dyDescent="0.25">
      <c r="A67" s="151">
        <v>44352</v>
      </c>
      <c r="B67" s="152" t="s">
        <v>471</v>
      </c>
      <c r="C67" s="78">
        <v>131950.39999999999</v>
      </c>
      <c r="D67" s="155"/>
      <c r="E67" s="78"/>
      <c r="F67" s="156">
        <f t="shared" si="0"/>
        <v>1150147.3999999999</v>
      </c>
    </row>
    <row r="68" spans="1:6" ht="15.75" x14ac:dyDescent="0.25">
      <c r="A68" s="151">
        <v>44353</v>
      </c>
      <c r="B68" s="152" t="s">
        <v>472</v>
      </c>
      <c r="C68" s="78">
        <v>4436.8</v>
      </c>
      <c r="D68" s="155">
        <v>44355</v>
      </c>
      <c r="E68" s="78">
        <v>1154584.2</v>
      </c>
      <c r="F68" s="156">
        <f t="shared" si="0"/>
        <v>0</v>
      </c>
    </row>
    <row r="69" spans="1:6" ht="15.75" x14ac:dyDescent="0.25">
      <c r="A69" s="151"/>
      <c r="B69" s="152"/>
      <c r="C69" s="78"/>
      <c r="D69" s="155"/>
      <c r="E69" s="78"/>
      <c r="F69" s="156">
        <f t="shared" ref="F69:F70" si="1">F68+C69-E69</f>
        <v>0</v>
      </c>
    </row>
    <row r="70" spans="1:6" ht="16.5" thickBot="1" x14ac:dyDescent="0.3">
      <c r="A70" s="161"/>
      <c r="B70" s="162"/>
      <c r="C70" s="163">
        <v>0</v>
      </c>
      <c r="D70" s="164"/>
      <c r="E70" s="163"/>
      <c r="F70" s="156">
        <f t="shared" si="1"/>
        <v>0</v>
      </c>
    </row>
    <row r="71" spans="1:6" ht="19.5" thickTop="1" x14ac:dyDescent="0.3">
      <c r="B71" s="58"/>
      <c r="C71" s="4">
        <f>SUM(C3:C70)</f>
        <v>3854423.8</v>
      </c>
      <c r="D71" s="1"/>
      <c r="E71" s="4">
        <f>SUM(E3:E70)</f>
        <v>3854423.8</v>
      </c>
      <c r="F71" s="165">
        <f>F70</f>
        <v>0</v>
      </c>
    </row>
    <row r="72" spans="1:6" x14ac:dyDescent="0.25">
      <c r="B72" s="58"/>
      <c r="C72" s="4"/>
      <c r="D72" s="1"/>
      <c r="E72" s="5"/>
      <c r="F72" s="4"/>
    </row>
    <row r="73" spans="1:6" x14ac:dyDescent="0.25">
      <c r="B73" s="58"/>
      <c r="C73" s="4"/>
      <c r="D73" s="1"/>
      <c r="E73" s="5"/>
      <c r="F73" s="4"/>
    </row>
    <row r="74" spans="1:6" x14ac:dyDescent="0.25">
      <c r="A74"/>
      <c r="B74" s="25"/>
      <c r="D74" s="25"/>
    </row>
    <row r="75" spans="1:6" x14ac:dyDescent="0.25">
      <c r="A75"/>
      <c r="B75" s="25"/>
      <c r="D75" s="25"/>
    </row>
    <row r="76" spans="1:6" x14ac:dyDescent="0.25">
      <c r="A76"/>
      <c r="B76" s="25"/>
      <c r="D76" s="25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F82"/>
    </row>
    <row r="83" spans="1:6" x14ac:dyDescent="0.25">
      <c r="A83"/>
      <c r="B83" s="25"/>
      <c r="D83" s="25"/>
      <c r="F83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A88"/>
      <c r="B88" s="25"/>
      <c r="D88" s="25"/>
      <c r="E88"/>
      <c r="F88"/>
    </row>
    <row r="89" spans="1:6" x14ac:dyDescent="0.25">
      <c r="A89"/>
      <c r="B89" s="25"/>
      <c r="D89" s="25"/>
      <c r="E89"/>
      <c r="F89"/>
    </row>
    <row r="90" spans="1:6" x14ac:dyDescent="0.25">
      <c r="A90"/>
      <c r="B90" s="25"/>
      <c r="D90" s="25"/>
      <c r="E90"/>
      <c r="F90"/>
    </row>
    <row r="91" spans="1:6" x14ac:dyDescent="0.25">
      <c r="A91"/>
      <c r="B91" s="25"/>
      <c r="D91" s="25"/>
      <c r="E91"/>
      <c r="F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5" x14ac:dyDescent="0.25">
      <c r="B97" s="25"/>
      <c r="D97" s="25"/>
      <c r="E97"/>
    </row>
    <row r="98" spans="2:5" x14ac:dyDescent="0.25">
      <c r="B98" s="25"/>
      <c r="D98" s="25"/>
      <c r="E98"/>
    </row>
    <row r="99" spans="2:5" x14ac:dyDescent="0.25">
      <c r="B99" s="25"/>
      <c r="D99" s="25"/>
      <c r="E99"/>
    </row>
    <row r="100" spans="2:5" x14ac:dyDescent="0.25">
      <c r="B100" s="25"/>
      <c r="D100" s="25"/>
      <c r="E100"/>
    </row>
    <row r="101" spans="2:5" x14ac:dyDescent="0.25">
      <c r="B101" s="25"/>
    </row>
    <row r="102" spans="2:5" x14ac:dyDescent="0.25">
      <c r="B102" s="25"/>
    </row>
    <row r="103" spans="2:5" x14ac:dyDescent="0.25">
      <c r="B103" s="25"/>
      <c r="D103" s="25"/>
    </row>
    <row r="104" spans="2:5" x14ac:dyDescent="0.25">
      <c r="B104" s="25"/>
    </row>
    <row r="105" spans="2:5" x14ac:dyDescent="0.25">
      <c r="B105" s="25"/>
    </row>
    <row r="106" spans="2:5" x14ac:dyDescent="0.25">
      <c r="B106" s="25"/>
    </row>
    <row r="107" spans="2:5" ht="18.75" x14ac:dyDescent="0.3">
      <c r="C107" s="137"/>
    </row>
  </sheetData>
  <pageMargins left="0.67" right="0.11811023622047245" top="0.35433070866141736" bottom="0.35433070866141736" header="0.31496062992125984" footer="0.31496062992125984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92"/>
  <sheetViews>
    <sheetView topLeftCell="D10" workbookViewId="0">
      <selection activeCell="W33" sqref="W33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4.42578125" customWidth="1"/>
    <col min="12" max="12" width="14.5703125" style="5" customWidth="1"/>
    <col min="13" max="13" width="18.140625" style="6" customWidth="1"/>
    <col min="14" max="14" width="14.140625" style="4" customWidth="1"/>
    <col min="15" max="15" width="7.140625" style="10" customWidth="1"/>
    <col min="17" max="17" width="3.28515625" style="167" customWidth="1"/>
    <col min="18" max="18" width="15" style="167" customWidth="1"/>
    <col min="19" max="19" width="22.7109375" style="245" customWidth="1"/>
    <col min="20" max="20" width="6.28515625" style="245" customWidth="1"/>
    <col min="21" max="21" width="11.140625" style="245" customWidth="1"/>
    <col min="22" max="22" width="12.85546875" style="245" customWidth="1"/>
    <col min="23" max="23" width="22.7109375" style="245" customWidth="1"/>
    <col min="24" max="24" width="8" style="245" customWidth="1"/>
  </cols>
  <sheetData>
    <row r="1" spans="1:24" ht="23.25" customHeight="1" x14ac:dyDescent="0.35">
      <c r="B1" s="366" t="s">
        <v>473</v>
      </c>
      <c r="C1" s="301" t="s">
        <v>474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24" ht="16.5" thickBot="1" x14ac:dyDescent="0.3">
      <c r="B2" s="367"/>
      <c r="C2" s="5"/>
      <c r="H2" s="7" t="s">
        <v>1</v>
      </c>
      <c r="I2" s="3"/>
      <c r="J2" s="8"/>
      <c r="L2" s="9"/>
      <c r="M2" s="3"/>
      <c r="N2" s="10"/>
      <c r="R2" s="368" t="s">
        <v>475</v>
      </c>
      <c r="S2" s="368"/>
      <c r="T2" s="368"/>
      <c r="U2" s="368"/>
      <c r="V2" s="368"/>
      <c r="W2" s="368"/>
    </row>
    <row r="3" spans="1:24" ht="21.75" customHeight="1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  <c r="R3" s="368"/>
      <c r="S3" s="368"/>
      <c r="T3" s="368"/>
      <c r="U3" s="368"/>
      <c r="V3" s="368"/>
      <c r="W3" s="368"/>
    </row>
    <row r="4" spans="1:24" ht="20.25" thickTop="1" thickBot="1" x14ac:dyDescent="0.35">
      <c r="A4" s="16" t="s">
        <v>6</v>
      </c>
      <c r="B4" s="17"/>
      <c r="C4" s="18">
        <v>255764.39</v>
      </c>
      <c r="D4" s="19">
        <v>44353</v>
      </c>
      <c r="E4" s="305" t="s">
        <v>7</v>
      </c>
      <c r="F4" s="306"/>
      <c r="H4" s="307" t="s">
        <v>8</v>
      </c>
      <c r="I4" s="308"/>
      <c r="J4" s="20"/>
      <c r="K4" s="21"/>
      <c r="L4" s="22"/>
      <c r="M4" s="23" t="s">
        <v>9</v>
      </c>
      <c r="N4" s="24" t="s">
        <v>10</v>
      </c>
      <c r="O4" s="246"/>
      <c r="Q4" s="168"/>
      <c r="R4" s="369" t="s">
        <v>476</v>
      </c>
      <c r="S4" s="370"/>
      <c r="T4" s="247"/>
      <c r="U4" s="371" t="s">
        <v>477</v>
      </c>
      <c r="V4" s="371"/>
      <c r="W4" s="371"/>
      <c r="X4" s="247"/>
    </row>
    <row r="5" spans="1:24" ht="16.5" thickBot="1" x14ac:dyDescent="0.3">
      <c r="A5" s="25" t="s">
        <v>11</v>
      </c>
      <c r="B5" s="26">
        <v>44354</v>
      </c>
      <c r="C5" s="27">
        <v>1260</v>
      </c>
      <c r="D5" s="28" t="s">
        <v>14</v>
      </c>
      <c r="E5" s="29">
        <v>44354</v>
      </c>
      <c r="F5" s="30">
        <v>77113</v>
      </c>
      <c r="H5" s="31">
        <v>44354</v>
      </c>
      <c r="I5" s="32">
        <v>495</v>
      </c>
      <c r="J5" s="33"/>
      <c r="K5" s="34"/>
      <c r="L5" s="10"/>
      <c r="M5" s="35">
        <v>0</v>
      </c>
      <c r="N5" s="36">
        <v>2926</v>
      </c>
      <c r="O5" s="248" t="s">
        <v>478</v>
      </c>
      <c r="Q5" s="248"/>
      <c r="R5" s="249">
        <v>44354</v>
      </c>
      <c r="S5" s="250">
        <v>79419</v>
      </c>
      <c r="T5" s="247"/>
      <c r="U5" s="247"/>
      <c r="V5" s="247"/>
      <c r="W5" s="247"/>
      <c r="X5" s="247"/>
    </row>
    <row r="6" spans="1:24" ht="16.5" thickBot="1" x14ac:dyDescent="0.3">
      <c r="A6" s="25"/>
      <c r="B6" s="26">
        <v>44355</v>
      </c>
      <c r="C6" s="27">
        <v>9200</v>
      </c>
      <c r="D6" s="37" t="s">
        <v>479</v>
      </c>
      <c r="E6" s="29">
        <v>44355</v>
      </c>
      <c r="F6" s="30">
        <f>141354+10866</f>
        <v>152220</v>
      </c>
      <c r="H6" s="31">
        <v>44355</v>
      </c>
      <c r="I6" s="38">
        <v>495</v>
      </c>
      <c r="J6" s="48"/>
      <c r="K6" s="40"/>
      <c r="L6" s="41"/>
      <c r="M6" s="35">
        <v>120000</v>
      </c>
      <c r="N6" s="36">
        <v>20382</v>
      </c>
      <c r="O6" s="141"/>
      <c r="Q6" s="170"/>
      <c r="R6" s="251">
        <v>44355</v>
      </c>
      <c r="S6" s="252">
        <v>122143</v>
      </c>
      <c r="T6" s="247"/>
      <c r="U6" s="253" t="s">
        <v>480</v>
      </c>
      <c r="V6" s="233">
        <v>44356</v>
      </c>
      <c r="W6" s="254">
        <v>120000</v>
      </c>
      <c r="X6" s="247"/>
    </row>
    <row r="7" spans="1:24" ht="16.5" thickBot="1" x14ac:dyDescent="0.3">
      <c r="A7" s="25"/>
      <c r="B7" s="26">
        <v>44356</v>
      </c>
      <c r="C7" s="27">
        <v>10718</v>
      </c>
      <c r="D7" s="42" t="s">
        <v>481</v>
      </c>
      <c r="E7" s="29">
        <v>44356</v>
      </c>
      <c r="F7" s="30">
        <v>109009</v>
      </c>
      <c r="H7" s="31">
        <v>44356</v>
      </c>
      <c r="I7" s="43">
        <v>440</v>
      </c>
      <c r="J7" s="48">
        <v>44356</v>
      </c>
      <c r="K7" s="44" t="s">
        <v>482</v>
      </c>
      <c r="L7" s="41">
        <v>679</v>
      </c>
      <c r="M7" s="35">
        <f>10230+150+75440</f>
        <v>85820</v>
      </c>
      <c r="N7" s="36">
        <v>2701</v>
      </c>
      <c r="O7" s="141"/>
      <c r="Q7" s="213"/>
      <c r="R7" s="251">
        <v>44356</v>
      </c>
      <c r="S7" s="252">
        <v>84241</v>
      </c>
      <c r="T7" s="247"/>
      <c r="U7" s="253" t="s">
        <v>480</v>
      </c>
      <c r="V7" s="233">
        <v>44357</v>
      </c>
      <c r="W7" s="254">
        <v>75440</v>
      </c>
      <c r="X7" s="247"/>
    </row>
    <row r="8" spans="1:24" ht="16.5" thickBot="1" x14ac:dyDescent="0.3">
      <c r="A8" s="25"/>
      <c r="B8" s="26">
        <v>44357</v>
      </c>
      <c r="C8" s="27">
        <v>4966</v>
      </c>
      <c r="D8" s="45" t="s">
        <v>483</v>
      </c>
      <c r="E8" s="29">
        <v>44357</v>
      </c>
      <c r="F8" s="30">
        <f>85581+46561</f>
        <v>132142</v>
      </c>
      <c r="H8" s="31">
        <v>44357</v>
      </c>
      <c r="I8" s="43">
        <v>495</v>
      </c>
      <c r="J8" s="225"/>
      <c r="K8" s="44"/>
      <c r="L8" s="41"/>
      <c r="M8" s="35">
        <v>0</v>
      </c>
      <c r="N8" s="36">
        <v>5129</v>
      </c>
      <c r="O8" s="141"/>
      <c r="Q8" s="214"/>
      <c r="R8" s="251">
        <v>44357</v>
      </c>
      <c r="S8" s="252">
        <v>121552</v>
      </c>
      <c r="T8" s="247"/>
      <c r="U8" s="253" t="s">
        <v>480</v>
      </c>
      <c r="V8" s="233">
        <v>44368</v>
      </c>
      <c r="W8" s="254">
        <v>120000</v>
      </c>
      <c r="X8" s="247"/>
    </row>
    <row r="9" spans="1:24" ht="16.5" thickBot="1" x14ac:dyDescent="0.3">
      <c r="A9" s="25"/>
      <c r="B9" s="26">
        <v>44358</v>
      </c>
      <c r="C9" s="27">
        <v>0</v>
      </c>
      <c r="D9" s="45"/>
      <c r="E9" s="29">
        <v>44358</v>
      </c>
      <c r="F9" s="30">
        <v>192498</v>
      </c>
      <c r="H9" s="31">
        <v>44358</v>
      </c>
      <c r="I9" s="43">
        <v>10288</v>
      </c>
      <c r="J9" s="48"/>
      <c r="K9" s="49"/>
      <c r="L9" s="41"/>
      <c r="M9" s="35">
        <v>181550</v>
      </c>
      <c r="N9" s="36">
        <v>8193</v>
      </c>
      <c r="O9" s="141"/>
      <c r="Q9" s="170"/>
      <c r="R9" s="251">
        <v>44358</v>
      </c>
      <c r="S9" s="252">
        <v>177695</v>
      </c>
      <c r="T9" s="247"/>
      <c r="U9" s="253" t="s">
        <v>480</v>
      </c>
      <c r="V9" s="233">
        <v>44369</v>
      </c>
      <c r="W9" s="254">
        <v>164450</v>
      </c>
      <c r="X9" s="247"/>
    </row>
    <row r="10" spans="1:24" ht="16.5" thickBot="1" x14ac:dyDescent="0.3">
      <c r="A10" s="25"/>
      <c r="B10" s="26">
        <v>44359</v>
      </c>
      <c r="C10" s="27">
        <v>4654</v>
      </c>
      <c r="D10" s="42" t="s">
        <v>484</v>
      </c>
      <c r="E10" s="29">
        <v>44359</v>
      </c>
      <c r="F10" s="30">
        <v>180402</v>
      </c>
      <c r="H10" s="31">
        <v>44359</v>
      </c>
      <c r="I10" s="43">
        <v>5550</v>
      </c>
      <c r="J10" s="48">
        <v>44359</v>
      </c>
      <c r="K10" s="50" t="s">
        <v>485</v>
      </c>
      <c r="L10" s="51">
        <f>16368.46+400+4000</f>
        <v>20768.46</v>
      </c>
      <c r="M10" s="35">
        <v>325340</v>
      </c>
      <c r="N10" s="36">
        <v>10601</v>
      </c>
      <c r="O10" s="141"/>
      <c r="Q10" s="170"/>
      <c r="R10" s="251">
        <v>44359</v>
      </c>
      <c r="S10" s="252">
        <v>147683</v>
      </c>
      <c r="T10" s="247"/>
      <c r="U10" s="253" t="s">
        <v>480</v>
      </c>
      <c r="V10" s="233">
        <v>44370</v>
      </c>
      <c r="W10" s="254">
        <v>274260</v>
      </c>
      <c r="X10" s="247"/>
    </row>
    <row r="11" spans="1:24" ht="18" thickBot="1" x14ac:dyDescent="0.35">
      <c r="A11" s="25"/>
      <c r="B11" s="26">
        <v>44360</v>
      </c>
      <c r="C11" s="27">
        <v>17685</v>
      </c>
      <c r="D11" s="37" t="s">
        <v>486</v>
      </c>
      <c r="E11" s="29">
        <v>44360</v>
      </c>
      <c r="F11" s="30">
        <v>115973</v>
      </c>
      <c r="H11" s="31">
        <v>44360</v>
      </c>
      <c r="I11" s="43">
        <v>550</v>
      </c>
      <c r="J11" s="226"/>
      <c r="K11" s="53"/>
      <c r="L11" s="41"/>
      <c r="M11" s="35">
        <v>82350</v>
      </c>
      <c r="N11" s="36">
        <v>9369</v>
      </c>
      <c r="O11" s="141"/>
      <c r="Q11" s="170"/>
      <c r="R11" s="251">
        <v>44360</v>
      </c>
      <c r="S11" s="252">
        <v>88369</v>
      </c>
      <c r="T11" s="247"/>
      <c r="U11" s="255" t="s">
        <v>487</v>
      </c>
      <c r="V11" s="233">
        <v>44358</v>
      </c>
      <c r="W11" s="256">
        <v>181550</v>
      </c>
      <c r="X11" s="257"/>
    </row>
    <row r="12" spans="1:24" ht="18" thickBot="1" x14ac:dyDescent="0.35">
      <c r="A12" s="25"/>
      <c r="B12" s="26">
        <v>44361</v>
      </c>
      <c r="C12" s="27">
        <v>9388</v>
      </c>
      <c r="D12" s="37" t="s">
        <v>488</v>
      </c>
      <c r="E12" s="29">
        <v>44361</v>
      </c>
      <c r="F12" s="30">
        <v>154060</v>
      </c>
      <c r="H12" s="31">
        <v>44361</v>
      </c>
      <c r="I12" s="43">
        <v>495</v>
      </c>
      <c r="J12" s="48"/>
      <c r="K12" s="44"/>
      <c r="L12" s="41"/>
      <c r="M12" s="35">
        <v>132090</v>
      </c>
      <c r="N12" s="36">
        <v>3080</v>
      </c>
      <c r="O12" s="141"/>
      <c r="Q12" s="170"/>
      <c r="R12" s="251">
        <v>44361</v>
      </c>
      <c r="S12" s="252">
        <v>141097</v>
      </c>
      <c r="T12" s="247"/>
      <c r="U12" s="255" t="s">
        <v>487</v>
      </c>
      <c r="V12" s="233">
        <v>44361</v>
      </c>
      <c r="W12" s="256">
        <v>325340</v>
      </c>
      <c r="X12" s="257"/>
    </row>
    <row r="13" spans="1:24" ht="18" thickBot="1" x14ac:dyDescent="0.35">
      <c r="A13" s="25"/>
      <c r="B13" s="26">
        <v>44362</v>
      </c>
      <c r="C13" s="27">
        <v>3514</v>
      </c>
      <c r="D13" s="45" t="s">
        <v>489</v>
      </c>
      <c r="E13" s="29">
        <v>44362</v>
      </c>
      <c r="F13" s="30">
        <v>108946</v>
      </c>
      <c r="H13" s="31">
        <v>44362</v>
      </c>
      <c r="I13" s="43">
        <v>895</v>
      </c>
      <c r="J13" s="48">
        <v>44362</v>
      </c>
      <c r="K13" s="258" t="s">
        <v>334</v>
      </c>
      <c r="L13" s="41">
        <v>6000</v>
      </c>
      <c r="M13" s="35">
        <f>3060+2203+84946</f>
        <v>90209</v>
      </c>
      <c r="N13" s="36">
        <v>8328</v>
      </c>
      <c r="O13" s="294" t="s">
        <v>545</v>
      </c>
      <c r="Q13" s="170"/>
      <c r="R13" s="251">
        <v>44362</v>
      </c>
      <c r="S13" s="252">
        <v>84946</v>
      </c>
      <c r="T13" s="247"/>
      <c r="U13" s="255" t="s">
        <v>487</v>
      </c>
      <c r="V13" s="233">
        <v>44362</v>
      </c>
      <c r="W13" s="256">
        <v>82350</v>
      </c>
      <c r="X13" s="257"/>
    </row>
    <row r="14" spans="1:24" ht="18" thickBot="1" x14ac:dyDescent="0.35">
      <c r="A14" s="25"/>
      <c r="B14" s="26">
        <v>44363</v>
      </c>
      <c r="C14" s="27">
        <v>9111</v>
      </c>
      <c r="D14" s="42" t="s">
        <v>490</v>
      </c>
      <c r="E14" s="29">
        <v>44363</v>
      </c>
      <c r="F14" s="30">
        <v>114847</v>
      </c>
      <c r="H14" s="31">
        <v>44363</v>
      </c>
      <c r="I14" s="43">
        <v>2440</v>
      </c>
      <c r="J14" s="48"/>
      <c r="K14" s="44"/>
      <c r="L14" s="41"/>
      <c r="M14" s="35">
        <f>150+91494</f>
        <v>91644</v>
      </c>
      <c r="N14" s="36">
        <v>6703</v>
      </c>
      <c r="O14" s="295" t="s">
        <v>546</v>
      </c>
      <c r="Q14" s="170"/>
      <c r="R14" s="251">
        <v>44363</v>
      </c>
      <c r="S14" s="252">
        <v>96593</v>
      </c>
      <c r="T14" s="247"/>
      <c r="U14" s="255" t="s">
        <v>487</v>
      </c>
      <c r="V14" s="233">
        <v>44363</v>
      </c>
      <c r="W14" s="256">
        <v>132090</v>
      </c>
      <c r="X14" s="257"/>
    </row>
    <row r="15" spans="1:24" ht="18" thickBot="1" x14ac:dyDescent="0.35">
      <c r="A15" s="25"/>
      <c r="B15" s="26">
        <v>44364</v>
      </c>
      <c r="C15" s="27">
        <v>8755</v>
      </c>
      <c r="D15" s="37" t="s">
        <v>491</v>
      </c>
      <c r="E15" s="29">
        <v>44364</v>
      </c>
      <c r="F15" s="30">
        <v>155251</v>
      </c>
      <c r="H15" s="31">
        <v>44364</v>
      </c>
      <c r="I15" s="43">
        <v>440</v>
      </c>
      <c r="J15" s="48"/>
      <c r="K15" s="44"/>
      <c r="L15" s="41"/>
      <c r="M15" s="35">
        <v>120000</v>
      </c>
      <c r="N15" s="296">
        <v>8236</v>
      </c>
      <c r="O15" s="141"/>
      <c r="Q15" s="170"/>
      <c r="R15" s="251">
        <v>44364</v>
      </c>
      <c r="S15" s="252">
        <v>137820</v>
      </c>
      <c r="T15" s="247"/>
      <c r="U15" s="255" t="s">
        <v>487</v>
      </c>
      <c r="V15" s="233">
        <v>44364</v>
      </c>
      <c r="W15" s="256">
        <v>176440</v>
      </c>
      <c r="X15" s="257"/>
    </row>
    <row r="16" spans="1:24" ht="18" thickBot="1" x14ac:dyDescent="0.35">
      <c r="A16" s="25"/>
      <c r="B16" s="26">
        <v>44365</v>
      </c>
      <c r="C16" s="27">
        <v>10454</v>
      </c>
      <c r="D16" s="37" t="s">
        <v>492</v>
      </c>
      <c r="E16" s="29">
        <v>44365</v>
      </c>
      <c r="F16" s="30">
        <v>153813</v>
      </c>
      <c r="H16" s="31">
        <v>44365</v>
      </c>
      <c r="I16" s="43">
        <v>590</v>
      </c>
      <c r="J16" s="48"/>
      <c r="K16" s="44"/>
      <c r="L16" s="10"/>
      <c r="M16" s="259">
        <v>164450</v>
      </c>
      <c r="N16" s="141">
        <v>11121</v>
      </c>
      <c r="O16" s="141"/>
      <c r="Q16" s="170"/>
      <c r="R16" s="251">
        <v>44365</v>
      </c>
      <c r="S16" s="252">
        <v>131648</v>
      </c>
      <c r="T16" s="247"/>
      <c r="U16" s="255" t="s">
        <v>487</v>
      </c>
      <c r="V16" s="233">
        <v>44365</v>
      </c>
      <c r="W16" s="256">
        <v>137820</v>
      </c>
      <c r="X16" s="257"/>
    </row>
    <row r="17" spans="1:24" ht="18" thickBot="1" x14ac:dyDescent="0.35">
      <c r="A17" s="25"/>
      <c r="B17" s="26">
        <v>44366</v>
      </c>
      <c r="C17" s="27">
        <v>2767</v>
      </c>
      <c r="D17" s="45" t="s">
        <v>319</v>
      </c>
      <c r="E17" s="29">
        <v>44366</v>
      </c>
      <c r="F17" s="30">
        <v>256498</v>
      </c>
      <c r="H17" s="31">
        <v>44366</v>
      </c>
      <c r="I17" s="43">
        <v>12050</v>
      </c>
      <c r="J17" s="48">
        <v>44366</v>
      </c>
      <c r="K17" s="44" t="s">
        <v>493</v>
      </c>
      <c r="L17" s="51">
        <f>16468.46+400+4000</f>
        <v>20868.46</v>
      </c>
      <c r="M17" s="35">
        <f>12964+274260</f>
        <v>287224</v>
      </c>
      <c r="N17" s="297">
        <v>12247</v>
      </c>
      <c r="O17" s="141"/>
      <c r="Q17" s="170"/>
      <c r="R17" s="251">
        <v>44366</v>
      </c>
      <c r="S17" s="252">
        <v>217420</v>
      </c>
      <c r="T17" s="247"/>
      <c r="U17" s="255" t="s">
        <v>487</v>
      </c>
      <c r="V17" s="233">
        <v>44371</v>
      </c>
      <c r="W17" s="256">
        <v>81200</v>
      </c>
      <c r="X17" s="257"/>
    </row>
    <row r="18" spans="1:24" ht="18" thickBot="1" x14ac:dyDescent="0.35">
      <c r="A18" s="25"/>
      <c r="B18" s="26">
        <v>44367</v>
      </c>
      <c r="C18" s="27">
        <v>26412</v>
      </c>
      <c r="D18" s="37" t="s">
        <v>494</v>
      </c>
      <c r="E18" s="29">
        <v>44367</v>
      </c>
      <c r="F18" s="30">
        <v>230627</v>
      </c>
      <c r="H18" s="31">
        <v>44367</v>
      </c>
      <c r="I18" s="43">
        <v>550</v>
      </c>
      <c r="J18" s="48"/>
      <c r="K18" s="215"/>
      <c r="L18" s="41"/>
      <c r="M18" s="298">
        <v>167190</v>
      </c>
      <c r="N18" s="36">
        <v>12780</v>
      </c>
      <c r="O18" s="141"/>
      <c r="Q18" s="170"/>
      <c r="R18" s="251">
        <v>44367</v>
      </c>
      <c r="S18" s="252">
        <v>190885</v>
      </c>
      <c r="T18" s="247"/>
      <c r="U18" s="255" t="s">
        <v>487</v>
      </c>
      <c r="V18" s="233">
        <v>44372</v>
      </c>
      <c r="W18" s="256">
        <v>167190</v>
      </c>
      <c r="X18" s="257"/>
    </row>
    <row r="19" spans="1:24" ht="18" thickBot="1" x14ac:dyDescent="0.35">
      <c r="A19" s="25"/>
      <c r="B19" s="26">
        <v>44368</v>
      </c>
      <c r="C19" s="27">
        <v>3306</v>
      </c>
      <c r="D19" s="37" t="s">
        <v>311</v>
      </c>
      <c r="E19" s="29">
        <v>44368</v>
      </c>
      <c r="F19" s="30">
        <v>91166</v>
      </c>
      <c r="H19" s="31">
        <v>44368</v>
      </c>
      <c r="I19" s="43">
        <v>840</v>
      </c>
      <c r="J19" s="48"/>
      <c r="K19" s="55"/>
      <c r="L19" s="56"/>
      <c r="M19" s="35">
        <v>0</v>
      </c>
      <c r="N19" s="36">
        <v>3622</v>
      </c>
      <c r="O19" s="141"/>
      <c r="Q19" s="170"/>
      <c r="R19" s="251">
        <v>44368</v>
      </c>
      <c r="S19" s="252">
        <v>83398</v>
      </c>
      <c r="T19" s="247"/>
      <c r="U19" s="255" t="s">
        <v>487</v>
      </c>
      <c r="V19" s="233">
        <v>44376</v>
      </c>
      <c r="W19" s="256">
        <v>209600</v>
      </c>
      <c r="X19" s="257"/>
    </row>
    <row r="20" spans="1:24" ht="18" thickBot="1" x14ac:dyDescent="0.35">
      <c r="A20" s="25"/>
      <c r="B20" s="26">
        <v>44369</v>
      </c>
      <c r="C20" s="27">
        <v>2327</v>
      </c>
      <c r="D20" s="37" t="s">
        <v>14</v>
      </c>
      <c r="E20" s="29">
        <v>44369</v>
      </c>
      <c r="F20" s="30">
        <v>99473</v>
      </c>
      <c r="H20" s="31">
        <v>44369</v>
      </c>
      <c r="I20" s="43">
        <v>495</v>
      </c>
      <c r="J20" s="48"/>
      <c r="K20" s="57"/>
      <c r="L20" s="51"/>
      <c r="M20" s="35">
        <f>45+1710</f>
        <v>1755</v>
      </c>
      <c r="N20" s="36">
        <v>3669</v>
      </c>
      <c r="O20" s="141"/>
      <c r="Q20" s="170"/>
      <c r="R20" s="251">
        <v>44369</v>
      </c>
      <c r="S20" s="252">
        <v>91227</v>
      </c>
      <c r="T20" s="247"/>
      <c r="U20" s="255" t="s">
        <v>487</v>
      </c>
      <c r="V20" s="233">
        <v>44378</v>
      </c>
      <c r="W20" s="256">
        <v>75870</v>
      </c>
      <c r="X20" s="257"/>
    </row>
    <row r="21" spans="1:24" ht="18" thickBot="1" x14ac:dyDescent="0.35">
      <c r="A21" s="25"/>
      <c r="B21" s="26">
        <v>44370</v>
      </c>
      <c r="C21" s="27">
        <v>6965</v>
      </c>
      <c r="D21" s="37" t="s">
        <v>495</v>
      </c>
      <c r="E21" s="29">
        <v>44370</v>
      </c>
      <c r="F21" s="30">
        <v>103144</v>
      </c>
      <c r="H21" s="31">
        <v>44370</v>
      </c>
      <c r="I21" s="43">
        <v>2440</v>
      </c>
      <c r="J21" s="48"/>
      <c r="K21" s="54"/>
      <c r="L21" s="51"/>
      <c r="M21" s="35">
        <v>135</v>
      </c>
      <c r="N21" s="36">
        <v>6518</v>
      </c>
      <c r="O21" s="141"/>
      <c r="Q21" s="170"/>
      <c r="R21" s="251">
        <v>44370</v>
      </c>
      <c r="S21" s="252">
        <v>87086</v>
      </c>
      <c r="T21" s="247"/>
      <c r="U21" s="255"/>
      <c r="V21" s="233"/>
      <c r="W21" s="256">
        <v>0</v>
      </c>
      <c r="X21" s="257"/>
    </row>
    <row r="22" spans="1:24" ht="24" thickBot="1" x14ac:dyDescent="0.3">
      <c r="A22" s="25"/>
      <c r="B22" s="26">
        <v>44371</v>
      </c>
      <c r="C22" s="27">
        <v>1742</v>
      </c>
      <c r="D22" s="37" t="s">
        <v>496</v>
      </c>
      <c r="E22" s="29">
        <v>44371</v>
      </c>
      <c r="F22" s="30">
        <v>90937</v>
      </c>
      <c r="H22" s="31">
        <v>44371</v>
      </c>
      <c r="I22" s="43">
        <v>440</v>
      </c>
      <c r="J22" s="48"/>
      <c r="K22" s="58"/>
      <c r="L22" s="59"/>
      <c r="M22" s="298">
        <v>81200</v>
      </c>
      <c r="N22" s="36">
        <v>8632</v>
      </c>
      <c r="O22" s="141"/>
      <c r="Q22" s="170"/>
      <c r="R22" s="251">
        <v>44371</v>
      </c>
      <c r="S22" s="252">
        <v>80123</v>
      </c>
      <c r="T22" s="247"/>
      <c r="U22" s="260"/>
      <c r="V22" s="261"/>
      <c r="W22" s="262">
        <v>0</v>
      </c>
      <c r="X22" s="263"/>
    </row>
    <row r="23" spans="1:24" ht="24" thickBot="1" x14ac:dyDescent="0.35">
      <c r="A23" s="25"/>
      <c r="B23" s="26">
        <v>44372</v>
      </c>
      <c r="C23" s="27">
        <v>11366</v>
      </c>
      <c r="D23" s="37" t="s">
        <v>492</v>
      </c>
      <c r="E23" s="29">
        <v>44372</v>
      </c>
      <c r="F23" s="30">
        <v>180311</v>
      </c>
      <c r="H23" s="31">
        <v>44372</v>
      </c>
      <c r="I23" s="43">
        <v>10550</v>
      </c>
      <c r="J23" s="227"/>
      <c r="K23" s="216"/>
      <c r="L23" s="51"/>
      <c r="M23" s="35">
        <v>152531</v>
      </c>
      <c r="N23" s="36">
        <v>5864</v>
      </c>
      <c r="O23" s="141"/>
      <c r="Q23" s="170"/>
      <c r="R23" s="251">
        <v>44372</v>
      </c>
      <c r="S23" s="252">
        <v>0</v>
      </c>
      <c r="T23" s="247"/>
      <c r="U23" s="354" t="s">
        <v>497</v>
      </c>
      <c r="V23" s="355"/>
      <c r="W23" s="264">
        <f>SUM(W6:W22)</f>
        <v>2323600</v>
      </c>
      <c r="X23" s="263"/>
    </row>
    <row r="24" spans="1:24" ht="16.5" thickBot="1" x14ac:dyDescent="0.3">
      <c r="A24" s="25"/>
      <c r="B24" s="26">
        <v>44373</v>
      </c>
      <c r="C24" s="27">
        <v>2308</v>
      </c>
      <c r="D24" s="37" t="s">
        <v>498</v>
      </c>
      <c r="E24" s="29">
        <v>44373</v>
      </c>
      <c r="F24" s="30">
        <v>145102</v>
      </c>
      <c r="H24" s="31">
        <v>44373</v>
      </c>
      <c r="I24" s="43">
        <f>550+175</f>
        <v>725</v>
      </c>
      <c r="J24" s="228">
        <v>44373</v>
      </c>
      <c r="K24" s="229" t="s">
        <v>499</v>
      </c>
      <c r="L24" s="230">
        <f>15022.3+400+4000</f>
        <v>19422.3</v>
      </c>
      <c r="M24" s="35">
        <v>127951</v>
      </c>
      <c r="N24" s="36">
        <v>3550</v>
      </c>
      <c r="O24" s="141"/>
      <c r="Q24" s="214"/>
      <c r="R24" s="251">
        <v>44373</v>
      </c>
      <c r="S24" s="252">
        <v>0</v>
      </c>
      <c r="T24" s="247"/>
      <c r="U24" s="170"/>
      <c r="V24" s="265"/>
      <c r="W24" s="247"/>
      <c r="X24" s="247"/>
    </row>
    <row r="25" spans="1:24" ht="16.5" thickBot="1" x14ac:dyDescent="0.3">
      <c r="A25" s="25"/>
      <c r="B25" s="26">
        <v>44374</v>
      </c>
      <c r="C25" s="27">
        <v>12678</v>
      </c>
      <c r="D25" s="37" t="s">
        <v>494</v>
      </c>
      <c r="E25" s="29">
        <v>44374</v>
      </c>
      <c r="F25" s="30">
        <v>159708</v>
      </c>
      <c r="H25" s="31">
        <v>44374</v>
      </c>
      <c r="I25" s="43">
        <v>550</v>
      </c>
      <c r="J25" s="231"/>
      <c r="K25" s="90"/>
      <c r="L25" s="89"/>
      <c r="M25" s="298">
        <v>137820</v>
      </c>
      <c r="N25" s="36">
        <v>7873</v>
      </c>
      <c r="O25" s="141"/>
      <c r="Q25" s="170"/>
      <c r="R25" s="251">
        <v>44374</v>
      </c>
      <c r="S25" s="252">
        <v>138607</v>
      </c>
      <c r="T25" s="247"/>
      <c r="U25" s="356" t="s">
        <v>500</v>
      </c>
      <c r="V25" s="357"/>
      <c r="W25" s="360">
        <f>S29-W23</f>
        <v>163726</v>
      </c>
      <c r="X25" s="247"/>
    </row>
    <row r="26" spans="1:24" ht="16.5" thickBot="1" x14ac:dyDescent="0.3">
      <c r="A26" s="25"/>
      <c r="B26" s="26">
        <v>44375</v>
      </c>
      <c r="C26" s="27">
        <v>9300</v>
      </c>
      <c r="D26" s="37" t="s">
        <v>501</v>
      </c>
      <c r="E26" s="29">
        <v>44375</v>
      </c>
      <c r="F26" s="30">
        <v>121884</v>
      </c>
      <c r="H26" s="31">
        <v>44375</v>
      </c>
      <c r="I26" s="43">
        <v>440</v>
      </c>
      <c r="J26" s="48"/>
      <c r="K26" s="229"/>
      <c r="L26" s="51"/>
      <c r="M26" s="35">
        <v>209600</v>
      </c>
      <c r="N26" s="36">
        <v>4664</v>
      </c>
      <c r="O26" s="141"/>
      <c r="Q26" s="170"/>
      <c r="R26" s="251">
        <v>44375</v>
      </c>
      <c r="S26" s="252">
        <v>107480</v>
      </c>
      <c r="T26" s="247"/>
      <c r="U26" s="358"/>
      <c r="V26" s="359"/>
      <c r="W26" s="361"/>
      <c r="X26" s="247"/>
    </row>
    <row r="27" spans="1:24" ht="16.5" thickBot="1" x14ac:dyDescent="0.3">
      <c r="A27" s="25"/>
      <c r="B27" s="26">
        <v>44376</v>
      </c>
      <c r="C27" s="27">
        <v>3467</v>
      </c>
      <c r="D27" s="45" t="s">
        <v>502</v>
      </c>
      <c r="E27" s="29">
        <v>44376</v>
      </c>
      <c r="F27" s="30">
        <v>88825</v>
      </c>
      <c r="H27" s="31">
        <v>44376</v>
      </c>
      <c r="I27" s="43">
        <v>576</v>
      </c>
      <c r="J27" s="232"/>
      <c r="K27" s="204"/>
      <c r="L27" s="89"/>
      <c r="M27" s="35">
        <v>75870</v>
      </c>
      <c r="N27" s="268">
        <v>6888</v>
      </c>
      <c r="O27" s="141"/>
      <c r="Q27" s="170"/>
      <c r="R27" s="251">
        <v>44376</v>
      </c>
      <c r="S27" s="252">
        <v>77894</v>
      </c>
      <c r="T27" s="247"/>
      <c r="U27" s="247"/>
      <c r="V27" s="247"/>
      <c r="W27" s="247"/>
      <c r="X27" s="247"/>
    </row>
    <row r="28" spans="1:24" ht="16.5" thickBot="1" x14ac:dyDescent="0.3">
      <c r="A28" s="25"/>
      <c r="B28" s="26">
        <v>44377</v>
      </c>
      <c r="C28" s="27">
        <v>2020</v>
      </c>
      <c r="D28" s="45" t="s">
        <v>390</v>
      </c>
      <c r="E28" s="29">
        <v>44377</v>
      </c>
      <c r="F28" s="30">
        <v>151476</v>
      </c>
      <c r="H28" s="31">
        <v>44377</v>
      </c>
      <c r="I28" s="43">
        <v>1131</v>
      </c>
      <c r="J28" s="233">
        <v>44377</v>
      </c>
      <c r="K28" s="40" t="s">
        <v>39</v>
      </c>
      <c r="L28" s="89">
        <v>20000</v>
      </c>
      <c r="M28" s="35">
        <v>125407</v>
      </c>
      <c r="N28" s="268">
        <v>2918</v>
      </c>
      <c r="O28" s="141"/>
      <c r="Q28" s="170"/>
      <c r="R28" s="266">
        <v>44377</v>
      </c>
      <c r="S28" s="267">
        <v>0</v>
      </c>
      <c r="T28" s="247"/>
      <c r="U28" s="247"/>
      <c r="V28" s="247"/>
      <c r="W28" s="247"/>
      <c r="X28" s="247"/>
    </row>
    <row r="29" spans="1:24" ht="19.5" thickBot="1" x14ac:dyDescent="0.35">
      <c r="A29" s="25"/>
      <c r="B29" s="26"/>
      <c r="C29" s="27"/>
      <c r="D29" s="72"/>
      <c r="E29" s="29"/>
      <c r="F29" s="30"/>
      <c r="H29" s="31"/>
      <c r="I29" s="43"/>
      <c r="J29" s="234"/>
      <c r="K29" s="73"/>
      <c r="L29" s="89"/>
      <c r="M29" s="35">
        <v>0</v>
      </c>
      <c r="N29" s="268">
        <v>0</v>
      </c>
      <c r="O29" s="141"/>
      <c r="Q29" s="168"/>
      <c r="R29" s="362" t="s">
        <v>503</v>
      </c>
      <c r="S29" s="364">
        <f>SUM(S5:S28)</f>
        <v>2487326</v>
      </c>
      <c r="T29" s="269"/>
      <c r="U29" s="269"/>
      <c r="V29" s="269"/>
      <c r="W29" s="269"/>
      <c r="X29" s="269"/>
    </row>
    <row r="30" spans="1:24" ht="16.5" thickBot="1" x14ac:dyDescent="0.3">
      <c r="A30" s="25"/>
      <c r="B30" s="26"/>
      <c r="C30" s="27"/>
      <c r="D30" s="72"/>
      <c r="E30" s="29"/>
      <c r="F30" s="30"/>
      <c r="H30" s="31"/>
      <c r="I30" s="74"/>
      <c r="J30" s="175" t="s">
        <v>424</v>
      </c>
      <c r="K30" s="270" t="s">
        <v>504</v>
      </c>
      <c r="L30" s="271">
        <f>189+999</f>
        <v>1188</v>
      </c>
      <c r="M30" s="35">
        <v>0</v>
      </c>
      <c r="N30" s="268">
        <v>0</v>
      </c>
      <c r="O30" s="141"/>
      <c r="Q30" s="272"/>
      <c r="R30" s="363"/>
      <c r="S30" s="365"/>
      <c r="T30" s="247"/>
      <c r="U30" s="247"/>
      <c r="V30" s="247"/>
      <c r="W30" s="247"/>
      <c r="X30" s="247"/>
    </row>
    <row r="31" spans="1:24" ht="16.5" thickBot="1" x14ac:dyDescent="0.3">
      <c r="A31" s="25"/>
      <c r="B31" s="273">
        <v>44354</v>
      </c>
      <c r="C31" s="274">
        <v>12672.3</v>
      </c>
      <c r="D31" s="275" t="s">
        <v>236</v>
      </c>
      <c r="E31" s="29"/>
      <c r="F31" s="30"/>
      <c r="H31" s="31"/>
      <c r="I31" s="74"/>
      <c r="J31" s="175" t="s">
        <v>424</v>
      </c>
      <c r="K31" s="67" t="s">
        <v>144</v>
      </c>
      <c r="L31" s="68">
        <f>10260+10260+8805+9180</f>
        <v>38505</v>
      </c>
      <c r="M31" s="35">
        <v>0</v>
      </c>
      <c r="N31" s="268">
        <v>0</v>
      </c>
      <c r="O31" s="141"/>
      <c r="Q31" s="170"/>
      <c r="R31" s="265"/>
      <c r="S31" s="247"/>
      <c r="T31" s="247"/>
      <c r="U31" s="247"/>
      <c r="V31" s="247"/>
      <c r="W31" s="247"/>
      <c r="X31" s="247"/>
    </row>
    <row r="32" spans="1:24" ht="16.5" thickBot="1" x14ac:dyDescent="0.3">
      <c r="A32" s="25"/>
      <c r="B32" s="273">
        <v>44357</v>
      </c>
      <c r="C32" s="274">
        <v>13688.05</v>
      </c>
      <c r="D32" s="275" t="s">
        <v>236</v>
      </c>
      <c r="E32" s="29"/>
      <c r="F32" s="76"/>
      <c r="H32" s="31"/>
      <c r="I32" s="74"/>
      <c r="J32" s="175" t="s">
        <v>424</v>
      </c>
      <c r="K32" s="270" t="s">
        <v>505</v>
      </c>
      <c r="L32" s="271">
        <v>22100</v>
      </c>
      <c r="M32" s="35">
        <v>0</v>
      </c>
      <c r="N32" s="36">
        <v>0</v>
      </c>
      <c r="O32" s="141"/>
      <c r="T32" s="247"/>
      <c r="U32" s="247"/>
      <c r="V32" s="247"/>
      <c r="W32" s="247"/>
      <c r="X32" s="247"/>
    </row>
    <row r="33" spans="1:24" ht="16.5" thickBot="1" x14ac:dyDescent="0.3">
      <c r="A33" s="25"/>
      <c r="B33" s="273">
        <v>44364</v>
      </c>
      <c r="C33" s="274">
        <v>26233.7</v>
      </c>
      <c r="D33" s="275" t="s">
        <v>236</v>
      </c>
      <c r="E33" s="29"/>
      <c r="F33" s="78"/>
      <c r="H33" s="31"/>
      <c r="I33" s="74"/>
      <c r="J33" s="175" t="s">
        <v>424</v>
      </c>
      <c r="K33" s="67" t="s">
        <v>506</v>
      </c>
      <c r="L33" s="276">
        <v>41873</v>
      </c>
      <c r="M33" s="35">
        <v>0</v>
      </c>
      <c r="N33" s="36">
        <v>0</v>
      </c>
      <c r="O33" s="141"/>
      <c r="T33" s="247"/>
      <c r="U33" s="247"/>
      <c r="V33" s="247"/>
      <c r="W33" s="247"/>
      <c r="X33" s="247"/>
    </row>
    <row r="34" spans="1:24" ht="16.5" thickBot="1" x14ac:dyDescent="0.3">
      <c r="A34" s="25"/>
      <c r="B34" s="273">
        <v>44365</v>
      </c>
      <c r="C34" s="274">
        <v>12044.28</v>
      </c>
      <c r="D34" s="275" t="s">
        <v>236</v>
      </c>
      <c r="E34" s="29"/>
      <c r="F34" s="78"/>
      <c r="H34" s="31"/>
      <c r="I34" s="74"/>
      <c r="J34" s="175" t="s">
        <v>424</v>
      </c>
      <c r="K34" s="277" t="s">
        <v>420</v>
      </c>
      <c r="L34" s="278">
        <v>9014.9699999999993</v>
      </c>
      <c r="M34" s="35">
        <v>0</v>
      </c>
      <c r="N34" s="36">
        <v>0</v>
      </c>
      <c r="O34" s="141"/>
      <c r="T34" s="247"/>
      <c r="U34" s="247"/>
      <c r="V34" s="247"/>
      <c r="W34" s="247"/>
      <c r="X34" s="247"/>
    </row>
    <row r="35" spans="1:24" ht="16.5" thickBot="1" x14ac:dyDescent="0.3">
      <c r="A35" s="25"/>
      <c r="B35" s="273">
        <v>44369</v>
      </c>
      <c r="C35" s="274">
        <v>13774.08</v>
      </c>
      <c r="D35" s="275" t="s">
        <v>236</v>
      </c>
      <c r="E35" s="29"/>
      <c r="F35" s="78"/>
      <c r="H35" s="31"/>
      <c r="I35" s="74"/>
      <c r="J35" s="175" t="s">
        <v>424</v>
      </c>
      <c r="K35" s="67" t="s">
        <v>421</v>
      </c>
      <c r="L35" s="276">
        <v>1332</v>
      </c>
      <c r="M35" s="35">
        <v>0</v>
      </c>
      <c r="N35" s="36">
        <v>0</v>
      </c>
      <c r="O35" s="141"/>
      <c r="T35" s="247"/>
      <c r="U35" s="247"/>
      <c r="V35" s="247"/>
      <c r="W35" s="247"/>
      <c r="X35" s="247"/>
    </row>
    <row r="36" spans="1:24" ht="16.5" thickBot="1" x14ac:dyDescent="0.3">
      <c r="A36" s="25"/>
      <c r="B36" s="273">
        <v>44371</v>
      </c>
      <c r="C36" s="274">
        <v>23467.78</v>
      </c>
      <c r="D36" s="275" t="s">
        <v>236</v>
      </c>
      <c r="E36" s="279"/>
      <c r="F36" s="78"/>
      <c r="H36" s="31"/>
      <c r="I36" s="74"/>
      <c r="J36" s="175" t="s">
        <v>424</v>
      </c>
      <c r="K36" s="277" t="s">
        <v>46</v>
      </c>
      <c r="L36" s="278">
        <v>986</v>
      </c>
      <c r="M36" s="93"/>
      <c r="N36" s="36">
        <v>0</v>
      </c>
      <c r="O36" s="141"/>
      <c r="T36" s="247"/>
      <c r="U36" s="247"/>
      <c r="V36" s="247"/>
      <c r="W36" s="247"/>
      <c r="X36" s="247"/>
    </row>
    <row r="37" spans="1:24" ht="18" thickBot="1" x14ac:dyDescent="0.35">
      <c r="A37" s="25"/>
      <c r="B37" s="273">
        <v>44373</v>
      </c>
      <c r="C37" s="274">
        <v>13683.4</v>
      </c>
      <c r="D37" s="275" t="s">
        <v>236</v>
      </c>
      <c r="E37" s="29"/>
      <c r="F37" s="200" t="s">
        <v>11</v>
      </c>
      <c r="H37" s="31"/>
      <c r="I37" s="74"/>
      <c r="J37" s="175" t="s">
        <v>424</v>
      </c>
      <c r="K37" s="280" t="s">
        <v>507</v>
      </c>
      <c r="L37" s="281">
        <v>55555.55</v>
      </c>
      <c r="M37" s="93"/>
      <c r="N37" s="36">
        <v>0</v>
      </c>
      <c r="O37" s="141"/>
      <c r="T37" s="257"/>
      <c r="U37" s="257"/>
      <c r="V37" s="257"/>
      <c r="W37" s="257"/>
      <c r="X37" s="257"/>
    </row>
    <row r="38" spans="1:24" ht="18" thickBot="1" x14ac:dyDescent="0.35">
      <c r="A38" s="25"/>
      <c r="B38" s="273">
        <v>44376</v>
      </c>
      <c r="C38" s="274">
        <v>22166.63</v>
      </c>
      <c r="D38" s="275" t="s">
        <v>236</v>
      </c>
      <c r="E38" s="29"/>
      <c r="F38" s="200"/>
      <c r="H38" s="31"/>
      <c r="I38" s="74"/>
      <c r="J38" s="175" t="s">
        <v>424</v>
      </c>
      <c r="K38" s="280" t="s">
        <v>508</v>
      </c>
      <c r="L38" s="281">
        <v>14335.75</v>
      </c>
      <c r="M38" s="93"/>
      <c r="N38" s="36">
        <v>0</v>
      </c>
      <c r="O38" s="141"/>
      <c r="T38" s="257"/>
      <c r="U38" s="257"/>
      <c r="V38" s="257"/>
      <c r="W38" s="257"/>
      <c r="X38" s="257"/>
    </row>
    <row r="39" spans="1:24" ht="18" thickBot="1" x14ac:dyDescent="0.35">
      <c r="A39" s="25"/>
      <c r="B39" s="96">
        <v>44361</v>
      </c>
      <c r="C39" s="78">
        <v>11400</v>
      </c>
      <c r="D39" s="185" t="s">
        <v>509</v>
      </c>
      <c r="E39" s="29"/>
      <c r="F39" s="180"/>
      <c r="H39" s="31"/>
      <c r="I39" s="74"/>
      <c r="J39" s="175" t="s">
        <v>424</v>
      </c>
      <c r="K39" s="282" t="s">
        <v>510</v>
      </c>
      <c r="L39" s="276">
        <v>1976.64</v>
      </c>
      <c r="M39" s="93"/>
      <c r="N39" s="36">
        <v>0</v>
      </c>
      <c r="O39" s="141"/>
      <c r="T39" s="257"/>
      <c r="U39" s="257"/>
      <c r="V39" s="257"/>
      <c r="W39" s="257"/>
      <c r="X39" s="257"/>
    </row>
    <row r="40" spans="1:24" ht="18" thickBot="1" x14ac:dyDescent="0.35">
      <c r="A40" s="25"/>
      <c r="B40" s="96"/>
      <c r="C40" s="78"/>
      <c r="D40" s="185"/>
      <c r="E40" s="29"/>
      <c r="F40" s="180"/>
      <c r="H40" s="31"/>
      <c r="I40" s="74"/>
      <c r="J40" s="175" t="s">
        <v>424</v>
      </c>
      <c r="K40" s="67" t="s">
        <v>511</v>
      </c>
      <c r="L40" s="276">
        <f>399+399</f>
        <v>798</v>
      </c>
      <c r="M40" s="93"/>
      <c r="N40" s="36">
        <v>0</v>
      </c>
      <c r="O40" s="141"/>
      <c r="T40" s="257"/>
      <c r="U40" s="257"/>
      <c r="V40" s="257"/>
      <c r="W40" s="257"/>
      <c r="X40" s="257"/>
    </row>
    <row r="41" spans="1:24" ht="18" thickBot="1" x14ac:dyDescent="0.35">
      <c r="A41" s="25"/>
      <c r="B41" s="96"/>
      <c r="C41" s="283"/>
      <c r="D41" s="82"/>
      <c r="E41" s="29"/>
      <c r="F41" s="182"/>
      <c r="H41" s="31"/>
      <c r="I41" s="74"/>
      <c r="J41" s="175" t="s">
        <v>424</v>
      </c>
      <c r="K41" s="67" t="s">
        <v>512</v>
      </c>
      <c r="L41" s="276">
        <v>1032.4000000000001</v>
      </c>
      <c r="M41" s="93"/>
      <c r="N41" s="36">
        <v>0</v>
      </c>
      <c r="O41" s="141"/>
      <c r="T41" s="257"/>
      <c r="U41" s="257"/>
      <c r="V41" s="257"/>
      <c r="W41" s="257"/>
      <c r="X41" s="257"/>
    </row>
    <row r="42" spans="1:24" ht="18" thickBot="1" x14ac:dyDescent="0.35">
      <c r="A42" s="25"/>
      <c r="B42" s="96"/>
      <c r="C42" s="78"/>
      <c r="D42" s="82"/>
      <c r="E42" s="29"/>
      <c r="F42" s="183"/>
      <c r="H42" s="31"/>
      <c r="I42" s="74"/>
      <c r="J42" s="175" t="s">
        <v>424</v>
      </c>
      <c r="K42" s="67" t="s">
        <v>513</v>
      </c>
      <c r="L42" s="276">
        <f>398.99+422.1+498.99+398.99</f>
        <v>1719.07</v>
      </c>
      <c r="M42" s="93"/>
      <c r="N42" s="36">
        <v>0</v>
      </c>
      <c r="O42" s="141"/>
      <c r="T42" s="257"/>
      <c r="U42" s="257"/>
      <c r="V42" s="257"/>
      <c r="W42" s="257"/>
      <c r="X42" s="257"/>
    </row>
    <row r="43" spans="1:24" ht="18" thickBot="1" x14ac:dyDescent="0.35">
      <c r="A43" s="25"/>
      <c r="B43" s="96"/>
      <c r="C43" s="78"/>
      <c r="D43" s="82"/>
      <c r="E43" s="29"/>
      <c r="F43" s="183"/>
      <c r="H43" s="31"/>
      <c r="I43" s="74"/>
      <c r="J43" s="175" t="s">
        <v>424</v>
      </c>
      <c r="K43" s="67" t="s">
        <v>42</v>
      </c>
      <c r="L43" s="276">
        <f>1394.81+986.84</f>
        <v>2381.65</v>
      </c>
      <c r="M43" s="93"/>
      <c r="N43" s="36">
        <v>0</v>
      </c>
      <c r="O43" s="141"/>
      <c r="T43" s="257"/>
      <c r="U43" s="257"/>
      <c r="V43" s="257"/>
      <c r="W43" s="257"/>
      <c r="X43" s="257"/>
    </row>
    <row r="44" spans="1:24" ht="18" thickBot="1" x14ac:dyDescent="0.35">
      <c r="A44" s="25"/>
      <c r="B44" s="96"/>
      <c r="C44" s="78"/>
      <c r="D44" s="82"/>
      <c r="E44" s="29"/>
      <c r="F44" s="40"/>
      <c r="H44" s="31"/>
      <c r="I44" s="74"/>
      <c r="J44" s="175" t="s">
        <v>424</v>
      </c>
      <c r="K44" s="77" t="s">
        <v>514</v>
      </c>
      <c r="L44" s="276">
        <v>1237.3399999999999</v>
      </c>
      <c r="M44" s="299">
        <v>0</v>
      </c>
      <c r="N44" s="36">
        <v>0</v>
      </c>
      <c r="O44" s="141"/>
      <c r="T44" s="257"/>
      <c r="U44" s="257"/>
      <c r="V44" s="257"/>
      <c r="W44" s="257"/>
      <c r="X44" s="257"/>
    </row>
    <row r="45" spans="1:24" ht="18" thickBot="1" x14ac:dyDescent="0.35">
      <c r="A45" s="25"/>
      <c r="B45" s="96"/>
      <c r="C45" s="78"/>
      <c r="D45" s="82"/>
      <c r="E45" s="29"/>
      <c r="F45" s="40"/>
      <c r="H45" s="31"/>
      <c r="I45" s="74"/>
      <c r="J45" s="175" t="s">
        <v>424</v>
      </c>
      <c r="K45" s="77" t="s">
        <v>515</v>
      </c>
      <c r="L45" s="276">
        <v>4096.47</v>
      </c>
      <c r="M45" s="93"/>
      <c r="N45" s="36">
        <v>0</v>
      </c>
      <c r="O45" s="141"/>
      <c r="T45" s="257"/>
      <c r="U45" s="257"/>
      <c r="V45" s="257"/>
      <c r="W45" s="257"/>
      <c r="X45" s="257"/>
    </row>
    <row r="46" spans="1:24" ht="18" hidden="1" thickBot="1" x14ac:dyDescent="0.35">
      <c r="A46" s="25"/>
      <c r="B46" s="284"/>
      <c r="C46" s="285"/>
      <c r="D46" s="286"/>
      <c r="E46" s="29"/>
      <c r="F46" s="40"/>
      <c r="H46" s="31"/>
      <c r="I46" s="74"/>
      <c r="J46" s="175"/>
      <c r="K46" s="70"/>
      <c r="L46" s="68"/>
      <c r="M46" s="93">
        <v>0</v>
      </c>
      <c r="N46" s="268">
        <v>0</v>
      </c>
      <c r="O46" s="141"/>
      <c r="T46" s="257"/>
      <c r="U46" s="257"/>
      <c r="V46" s="257"/>
      <c r="W46" s="257"/>
      <c r="X46" s="257"/>
    </row>
    <row r="47" spans="1:24" ht="16.5" hidden="1" thickBot="1" x14ac:dyDescent="0.3">
      <c r="A47" s="25"/>
      <c r="B47" s="96"/>
      <c r="C47" s="78"/>
      <c r="D47" s="82"/>
      <c r="E47" s="29"/>
      <c r="F47" s="40"/>
      <c r="H47" s="31"/>
      <c r="I47" s="74"/>
      <c r="J47" s="175"/>
      <c r="K47" s="67"/>
      <c r="L47" s="68"/>
      <c r="M47" s="93"/>
      <c r="N47" s="36">
        <v>0</v>
      </c>
      <c r="O47" s="141"/>
      <c r="Q47" s="170"/>
      <c r="R47" s="168"/>
      <c r="S47" s="247"/>
      <c r="T47" s="247"/>
      <c r="U47" s="247"/>
      <c r="V47" s="247"/>
      <c r="W47" s="247"/>
      <c r="X47" s="247"/>
    </row>
    <row r="48" spans="1:24" ht="16.5" hidden="1" thickBot="1" x14ac:dyDescent="0.3">
      <c r="A48" s="25"/>
      <c r="B48" s="96"/>
      <c r="C48" s="78"/>
      <c r="D48" s="82"/>
      <c r="E48" s="88"/>
      <c r="F48" s="86"/>
      <c r="H48" s="31"/>
      <c r="I48" s="74"/>
      <c r="J48" s="232"/>
      <c r="K48" s="67"/>
      <c r="L48" s="68"/>
      <c r="M48" s="93"/>
      <c r="N48" s="268"/>
      <c r="O48" s="141"/>
      <c r="Q48" s="186"/>
    </row>
    <row r="49" spans="1:24" ht="16.5" hidden="1" thickBot="1" x14ac:dyDescent="0.3">
      <c r="A49" s="25"/>
      <c r="B49" s="96"/>
      <c r="C49" s="78"/>
      <c r="D49" s="185"/>
      <c r="E49" s="88"/>
      <c r="F49" s="86"/>
      <c r="H49" s="31"/>
      <c r="I49" s="74"/>
      <c r="J49" s="232"/>
      <c r="K49" s="67"/>
      <c r="L49" s="68"/>
      <c r="M49" s="93"/>
      <c r="N49" s="268"/>
      <c r="O49" s="141"/>
      <c r="Q49" s="186"/>
    </row>
    <row r="50" spans="1:24" ht="19.5" hidden="1" customHeight="1" thickBot="1" x14ac:dyDescent="0.3">
      <c r="A50" s="25"/>
      <c r="B50" s="96"/>
      <c r="C50" s="78"/>
      <c r="D50" s="185"/>
      <c r="E50" s="85"/>
      <c r="F50" s="86"/>
      <c r="H50" s="31"/>
      <c r="I50" s="74"/>
      <c r="J50" s="232"/>
      <c r="K50" s="67"/>
      <c r="L50" s="68"/>
      <c r="M50" s="93"/>
      <c r="N50" s="36"/>
      <c r="O50" s="141"/>
      <c r="Q50" s="187"/>
      <c r="R50" s="289"/>
      <c r="S50" s="290"/>
      <c r="T50" s="290"/>
      <c r="U50" s="290"/>
      <c r="V50" s="290"/>
      <c r="W50" s="290"/>
      <c r="X50" s="290"/>
    </row>
    <row r="51" spans="1:24" ht="15.75" hidden="1" customHeight="1" thickBot="1" x14ac:dyDescent="0.3">
      <c r="A51" s="25"/>
      <c r="B51" s="96"/>
      <c r="C51" s="78"/>
      <c r="D51" s="185"/>
      <c r="E51" s="85"/>
      <c r="F51" s="86"/>
      <c r="H51" s="31"/>
      <c r="I51" s="74"/>
      <c r="J51" s="232"/>
      <c r="K51" s="67"/>
      <c r="L51" s="68"/>
      <c r="M51" s="93"/>
      <c r="N51" s="36"/>
      <c r="O51" s="141"/>
    </row>
    <row r="52" spans="1:24" ht="18.75" hidden="1" customHeight="1" thickBot="1" x14ac:dyDescent="0.3">
      <c r="A52" s="25"/>
      <c r="B52" s="96"/>
      <c r="C52" s="78"/>
      <c r="D52" s="185"/>
      <c r="E52" s="29"/>
      <c r="F52" s="78"/>
      <c r="H52" s="31"/>
      <c r="I52" s="74"/>
      <c r="J52" s="232"/>
      <c r="K52" s="67"/>
      <c r="L52" s="68"/>
      <c r="M52" s="93"/>
      <c r="N52" s="36"/>
      <c r="O52" s="141"/>
    </row>
    <row r="53" spans="1:24" ht="19.5" hidden="1" thickBot="1" x14ac:dyDescent="0.35">
      <c r="A53" s="25"/>
      <c r="B53" s="96"/>
      <c r="C53" s="78"/>
      <c r="D53" s="97"/>
      <c r="E53" s="29"/>
      <c r="F53" s="78"/>
      <c r="H53" s="31"/>
      <c r="I53" s="74"/>
      <c r="J53" s="232"/>
      <c r="K53" s="90"/>
      <c r="L53" s="89"/>
      <c r="M53" s="93"/>
      <c r="N53" s="36"/>
      <c r="O53" s="141"/>
    </row>
    <row r="54" spans="1:24" ht="19.5" hidden="1" thickBot="1" x14ac:dyDescent="0.35">
      <c r="A54" s="25"/>
      <c r="B54" s="96"/>
      <c r="C54" s="78"/>
      <c r="D54" s="97"/>
      <c r="E54" s="29"/>
      <c r="F54" s="78"/>
      <c r="H54" s="31"/>
      <c r="I54" s="74"/>
      <c r="J54" s="232"/>
      <c r="K54" s="34"/>
      <c r="L54" s="89"/>
      <c r="M54" s="35"/>
      <c r="N54" s="36"/>
      <c r="O54" s="141"/>
    </row>
    <row r="55" spans="1:24" ht="19.5" hidden="1" thickBot="1" x14ac:dyDescent="0.35">
      <c r="A55" s="25"/>
      <c r="B55" s="96"/>
      <c r="C55" s="78"/>
      <c r="D55" s="97"/>
      <c r="E55" s="29"/>
      <c r="F55" s="78"/>
      <c r="H55" s="31"/>
      <c r="I55" s="74"/>
      <c r="J55" s="232"/>
      <c r="K55" s="90"/>
      <c r="L55" s="89"/>
      <c r="M55" s="35">
        <v>0</v>
      </c>
      <c r="N55" s="36">
        <v>0</v>
      </c>
      <c r="O55" s="141"/>
    </row>
    <row r="56" spans="1:24" ht="19.5" hidden="1" thickBot="1" x14ac:dyDescent="0.35">
      <c r="A56" s="25"/>
      <c r="B56" s="96"/>
      <c r="C56" s="78"/>
      <c r="D56" s="97"/>
      <c r="E56" s="98"/>
      <c r="F56" s="99"/>
      <c r="H56" s="91"/>
      <c r="I56" s="100"/>
      <c r="J56" s="232"/>
      <c r="K56" s="101"/>
      <c r="L56" s="92"/>
      <c r="M56" s="35"/>
      <c r="N56" s="36"/>
      <c r="O56" s="141"/>
    </row>
    <row r="57" spans="1:24" ht="16.5" hidden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41"/>
    </row>
    <row r="58" spans="1:24" ht="16.5" hidden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41"/>
    </row>
    <row r="59" spans="1:24" ht="16.5" hidden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41"/>
    </row>
    <row r="60" spans="1:24" ht="16.5" hidden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41"/>
      <c r="Q60" s="188"/>
      <c r="R60" s="188"/>
      <c r="S60" s="291"/>
      <c r="T60" s="291"/>
      <c r="U60" s="291"/>
      <c r="V60" s="291"/>
      <c r="W60" s="291"/>
      <c r="X60" s="291"/>
    </row>
    <row r="61" spans="1:24" ht="16.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41"/>
      <c r="Q61" s="188"/>
      <c r="R61" s="188"/>
      <c r="S61" s="291"/>
      <c r="T61" s="291"/>
      <c r="U61" s="291"/>
      <c r="V61" s="291"/>
      <c r="W61" s="291"/>
      <c r="X61" s="291"/>
    </row>
    <row r="62" spans="1:24" ht="21.75" thickBot="1" x14ac:dyDescent="0.3">
      <c r="B62" s="104" t="s">
        <v>57</v>
      </c>
      <c r="C62" s="105">
        <f>SUM(C5:C61)</f>
        <v>323493.21999999997</v>
      </c>
      <c r="D62" s="106"/>
      <c r="E62" s="107" t="s">
        <v>57</v>
      </c>
      <c r="F62" s="108">
        <f>SUM(F5:F61)</f>
        <v>3365425</v>
      </c>
      <c r="G62" s="106"/>
      <c r="H62" s="109" t="s">
        <v>58</v>
      </c>
      <c r="I62" s="110">
        <f>SUM(I5:I61)</f>
        <v>53960</v>
      </c>
      <c r="J62" s="111"/>
      <c r="K62" s="112" t="s">
        <v>59</v>
      </c>
      <c r="L62" s="113">
        <f>SUM(L5:L61)</f>
        <v>285870.06000000006</v>
      </c>
      <c r="M62" s="114">
        <f>SUM(M5:M61)</f>
        <v>2760136</v>
      </c>
      <c r="N62" s="114">
        <f>SUM(N5:N61)</f>
        <v>175994</v>
      </c>
      <c r="O62" s="287"/>
      <c r="S62" s="300"/>
      <c r="T62" s="292"/>
      <c r="U62" s="292"/>
      <c r="V62" s="292"/>
      <c r="W62" s="292"/>
      <c r="X62" s="292"/>
    </row>
    <row r="63" spans="1:24" ht="22.5" thickTop="1" thickBot="1" x14ac:dyDescent="0.3">
      <c r="C63" s="5" t="s">
        <v>11</v>
      </c>
      <c r="S63" s="300"/>
      <c r="T63" s="292"/>
      <c r="U63" s="292"/>
      <c r="V63" s="292"/>
      <c r="W63" s="292"/>
      <c r="X63" s="292"/>
    </row>
    <row r="64" spans="1:24" ht="19.5" thickBot="1" x14ac:dyDescent="0.3">
      <c r="A64" s="58"/>
      <c r="B64" s="115"/>
      <c r="C64" s="4"/>
      <c r="H64" s="325" t="s">
        <v>60</v>
      </c>
      <c r="I64" s="326"/>
      <c r="J64" s="116"/>
      <c r="K64" s="327">
        <f>I62+L62</f>
        <v>339830.06000000006</v>
      </c>
      <c r="L64" s="328"/>
      <c r="M64" s="315">
        <f>M62+N62</f>
        <v>2936130</v>
      </c>
      <c r="N64" s="316"/>
      <c r="O64" s="288"/>
    </row>
    <row r="65" spans="2:15" x14ac:dyDescent="0.25">
      <c r="D65" s="317" t="s">
        <v>61</v>
      </c>
      <c r="E65" s="317"/>
      <c r="F65" s="117">
        <f>F62-K64-C62</f>
        <v>2702101.7199999997</v>
      </c>
      <c r="I65" s="118"/>
      <c r="J65" s="119"/>
    </row>
    <row r="66" spans="2:15" ht="18.75" x14ac:dyDescent="0.3">
      <c r="D66" s="318" t="s">
        <v>429</v>
      </c>
      <c r="E66" s="318"/>
      <c r="F66" s="114">
        <v>-2720820.95</v>
      </c>
      <c r="I66" s="319" t="s">
        <v>63</v>
      </c>
      <c r="J66" s="320"/>
      <c r="K66" s="321">
        <f>F68+F69+F70</f>
        <v>381077.72999999952</v>
      </c>
      <c r="L66" s="322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-18719.230000000447</v>
      </c>
      <c r="H68" s="25"/>
      <c r="I68" s="126" t="s">
        <v>65</v>
      </c>
      <c r="J68" s="127"/>
      <c r="K68" s="323">
        <f>-C4</f>
        <v>-255764.39</v>
      </c>
      <c r="L68" s="324"/>
      <c r="M68" s="128"/>
    </row>
    <row r="69" spans="2:15" ht="16.5" thickBot="1" x14ac:dyDescent="0.3">
      <c r="D69" s="87" t="s">
        <v>66</v>
      </c>
      <c r="E69" s="58" t="s">
        <v>67</v>
      </c>
      <c r="F69" s="129">
        <v>91154.240000000005</v>
      </c>
    </row>
    <row r="70" spans="2:15" ht="20.25" thickTop="1" thickBot="1" x14ac:dyDescent="0.35">
      <c r="C70" s="130">
        <v>44377</v>
      </c>
      <c r="D70" s="309" t="s">
        <v>68</v>
      </c>
      <c r="E70" s="310"/>
      <c r="F70" s="131">
        <v>308642.71999999997</v>
      </c>
      <c r="I70" s="311" t="s">
        <v>69</v>
      </c>
      <c r="J70" s="312"/>
      <c r="K70" s="313">
        <f>K66+K68</f>
        <v>125313.3399999995</v>
      </c>
      <c r="L70" s="314"/>
    </row>
    <row r="71" spans="2:15" ht="19.5" thickBot="1" x14ac:dyDescent="0.35">
      <c r="C71" s="132"/>
      <c r="D71" s="133"/>
      <c r="E71" s="134"/>
      <c r="F71" s="135"/>
      <c r="J71" s="136"/>
      <c r="M71" s="137"/>
    </row>
    <row r="72" spans="2:15" x14ac:dyDescent="0.25">
      <c r="I72" s="346" t="s">
        <v>547</v>
      </c>
      <c r="J72" s="347"/>
      <c r="K72" s="350">
        <v>163726</v>
      </c>
      <c r="L72" s="351"/>
    </row>
    <row r="73" spans="2:15" ht="16.5" thickBot="1" x14ac:dyDescent="0.3">
      <c r="B73" s="138"/>
      <c r="C73" s="139"/>
      <c r="D73" s="140"/>
      <c r="E73" s="141"/>
      <c r="I73" s="348"/>
      <c r="J73" s="349"/>
      <c r="K73" s="352"/>
      <c r="L73" s="353"/>
      <c r="M73" s="2"/>
      <c r="N73" s="58"/>
      <c r="O73" s="58"/>
    </row>
    <row r="74" spans="2:15" x14ac:dyDescent="0.25">
      <c r="B74" s="138"/>
      <c r="C74" s="142"/>
      <c r="E74" s="141"/>
      <c r="M74" s="2"/>
      <c r="N74" s="58"/>
      <c r="O74" s="58"/>
    </row>
    <row r="75" spans="2:15" x14ac:dyDescent="0.25">
      <c r="B75" s="138"/>
      <c r="C75" s="142"/>
      <c r="E75" s="141"/>
      <c r="F75" s="143"/>
      <c r="L75" s="144"/>
      <c r="M75" s="4"/>
    </row>
    <row r="76" spans="2:15" x14ac:dyDescent="0.25">
      <c r="B76" s="138"/>
      <c r="C76" s="142"/>
      <c r="E76" s="141"/>
      <c r="M76" s="4"/>
    </row>
    <row r="77" spans="2:15" x14ac:dyDescent="0.25">
      <c r="B77" s="138"/>
      <c r="C77" s="142"/>
      <c r="E77" s="141"/>
      <c r="F77" s="208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  <c r="M87" s="4"/>
    </row>
    <row r="88" spans="5:13" x14ac:dyDescent="0.25">
      <c r="E88" s="209"/>
      <c r="F88" s="141"/>
      <c r="M88" s="4"/>
    </row>
    <row r="89" spans="5:13" x14ac:dyDescent="0.25">
      <c r="E89" s="209"/>
      <c r="F89" s="141"/>
    </row>
    <row r="90" spans="5:13" x14ac:dyDescent="0.25">
      <c r="F90" s="208"/>
    </row>
    <row r="91" spans="5:13" x14ac:dyDescent="0.25">
      <c r="F91" s="208"/>
    </row>
    <row r="92" spans="5:13" x14ac:dyDescent="0.25">
      <c r="F92" s="208"/>
    </row>
  </sheetData>
  <mergeCells count="27">
    <mergeCell ref="R2:W3"/>
    <mergeCell ref="R4:S4"/>
    <mergeCell ref="U4:W4"/>
    <mergeCell ref="B1:B2"/>
    <mergeCell ref="C1:K1"/>
    <mergeCell ref="E4:F4"/>
    <mergeCell ref="H4:I4"/>
    <mergeCell ref="H3:I3"/>
    <mergeCell ref="B3:C3"/>
    <mergeCell ref="U23:V23"/>
    <mergeCell ref="U25:V26"/>
    <mergeCell ref="W25:W26"/>
    <mergeCell ref="R29:R30"/>
    <mergeCell ref="S29:S30"/>
    <mergeCell ref="H64:I64"/>
    <mergeCell ref="K64:L64"/>
    <mergeCell ref="M64:N64"/>
    <mergeCell ref="D65:E65"/>
    <mergeCell ref="D66:E66"/>
    <mergeCell ref="I66:J66"/>
    <mergeCell ref="K66:L66"/>
    <mergeCell ref="K68:L68"/>
    <mergeCell ref="D70:E70"/>
    <mergeCell ref="I70:J70"/>
    <mergeCell ref="K70:L70"/>
    <mergeCell ref="I72:J73"/>
    <mergeCell ref="K72:L73"/>
  </mergeCells>
  <pageMargins left="0.15748031496062992" right="0.15748031496062992" top="0.27559055118110237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G114"/>
  <sheetViews>
    <sheetView topLeftCell="A16" workbookViewId="0">
      <selection activeCell="I16" sqref="I16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thickBot="1" x14ac:dyDescent="0.4">
      <c r="A1" s="293" t="s">
        <v>473</v>
      </c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44354</v>
      </c>
      <c r="B3" s="152" t="s">
        <v>516</v>
      </c>
      <c r="C3" s="78">
        <v>14914</v>
      </c>
      <c r="D3" s="153"/>
      <c r="E3" s="10"/>
      <c r="F3" s="154">
        <f>C3-E3</f>
        <v>14914</v>
      </c>
    </row>
    <row r="4" spans="1:7" ht="18.75" x14ac:dyDescent="0.3">
      <c r="A4" s="151">
        <v>44354</v>
      </c>
      <c r="B4" s="152" t="s">
        <v>517</v>
      </c>
      <c r="C4" s="78">
        <v>145723.43</v>
      </c>
      <c r="D4" s="155"/>
      <c r="E4" s="78"/>
      <c r="F4" s="156">
        <f>F3+C4-E4</f>
        <v>160637.43</v>
      </c>
      <c r="G4" s="157"/>
    </row>
    <row r="5" spans="1:7" ht="15.75" x14ac:dyDescent="0.25">
      <c r="A5" s="155">
        <v>44355</v>
      </c>
      <c r="B5" s="152" t="s">
        <v>518</v>
      </c>
      <c r="C5" s="78">
        <v>146885.79999999999</v>
      </c>
      <c r="D5" s="155"/>
      <c r="E5" s="78"/>
      <c r="F5" s="156">
        <f t="shared" ref="F5:F68" si="0">F4+C5-E5</f>
        <v>307523.23</v>
      </c>
    </row>
    <row r="6" spans="1:7" ht="15.75" x14ac:dyDescent="0.25">
      <c r="A6" s="155">
        <v>44356</v>
      </c>
      <c r="B6" s="152" t="s">
        <v>519</v>
      </c>
      <c r="C6" s="78">
        <v>136676.26999999999</v>
      </c>
      <c r="D6" s="155"/>
      <c r="E6" s="78"/>
      <c r="F6" s="156">
        <f t="shared" si="0"/>
        <v>444199.5</v>
      </c>
    </row>
    <row r="7" spans="1:7" ht="15.75" x14ac:dyDescent="0.25">
      <c r="A7" s="155">
        <v>44357</v>
      </c>
      <c r="B7" s="152" t="s">
        <v>520</v>
      </c>
      <c r="C7" s="78">
        <v>23247.1</v>
      </c>
      <c r="D7" s="155"/>
      <c r="E7" s="78"/>
      <c r="F7" s="156">
        <f t="shared" si="0"/>
        <v>467446.6</v>
      </c>
    </row>
    <row r="8" spans="1:7" ht="15.75" x14ac:dyDescent="0.25">
      <c r="A8" s="155">
        <v>44357</v>
      </c>
      <c r="B8" s="152" t="s">
        <v>521</v>
      </c>
      <c r="C8" s="78">
        <v>46652.41</v>
      </c>
      <c r="D8" s="155"/>
      <c r="E8" s="78"/>
      <c r="F8" s="156">
        <f t="shared" si="0"/>
        <v>514099.01</v>
      </c>
    </row>
    <row r="9" spans="1:7" ht="15.75" x14ac:dyDescent="0.25">
      <c r="A9" s="155">
        <v>44358</v>
      </c>
      <c r="B9" s="152" t="s">
        <v>522</v>
      </c>
      <c r="C9" s="78">
        <v>88338.67</v>
      </c>
      <c r="D9" s="155"/>
      <c r="E9" s="78"/>
      <c r="F9" s="156">
        <f t="shared" si="0"/>
        <v>602437.68000000005</v>
      </c>
    </row>
    <row r="10" spans="1:7" ht="18.75" x14ac:dyDescent="0.3">
      <c r="A10" s="155">
        <v>44358</v>
      </c>
      <c r="B10" s="152" t="s">
        <v>523</v>
      </c>
      <c r="C10" s="78">
        <v>15925</v>
      </c>
      <c r="D10" s="155">
        <v>44358</v>
      </c>
      <c r="E10" s="78">
        <v>618362.68000000005</v>
      </c>
      <c r="F10" s="156">
        <f t="shared" si="0"/>
        <v>0</v>
      </c>
      <c r="G10" s="157"/>
    </row>
    <row r="11" spans="1:7" ht="15.75" x14ac:dyDescent="0.25">
      <c r="A11" s="151">
        <v>44359</v>
      </c>
      <c r="B11" s="152" t="s">
        <v>524</v>
      </c>
      <c r="C11" s="78">
        <v>49175.7</v>
      </c>
      <c r="D11" s="155"/>
      <c r="E11" s="78"/>
      <c r="F11" s="156">
        <f t="shared" si="0"/>
        <v>49175.7</v>
      </c>
    </row>
    <row r="12" spans="1:7" ht="15.75" x14ac:dyDescent="0.25">
      <c r="A12" s="155">
        <v>44359</v>
      </c>
      <c r="B12" s="152" t="s">
        <v>525</v>
      </c>
      <c r="C12" s="78">
        <v>269193.39</v>
      </c>
      <c r="D12" s="155"/>
      <c r="E12" s="78"/>
      <c r="F12" s="156">
        <f t="shared" si="0"/>
        <v>318369.09000000003</v>
      </c>
    </row>
    <row r="13" spans="1:7" ht="15.75" x14ac:dyDescent="0.25">
      <c r="A13" s="155">
        <v>44361</v>
      </c>
      <c r="B13" s="152" t="s">
        <v>526</v>
      </c>
      <c r="C13" s="78">
        <v>133276.4</v>
      </c>
      <c r="D13" s="155">
        <v>44363</v>
      </c>
      <c r="E13" s="78">
        <v>451645.49</v>
      </c>
      <c r="F13" s="156">
        <f t="shared" si="0"/>
        <v>0</v>
      </c>
    </row>
    <row r="14" spans="1:7" ht="15.75" x14ac:dyDescent="0.25">
      <c r="A14" s="155">
        <v>44363</v>
      </c>
      <c r="B14" s="152" t="s">
        <v>527</v>
      </c>
      <c r="C14" s="78">
        <v>160696.85</v>
      </c>
      <c r="D14" s="155"/>
      <c r="E14" s="78"/>
      <c r="F14" s="156">
        <f t="shared" si="0"/>
        <v>160696.85</v>
      </c>
    </row>
    <row r="15" spans="1:7" ht="15.75" x14ac:dyDescent="0.25">
      <c r="A15" s="155">
        <v>44363</v>
      </c>
      <c r="B15" s="152" t="s">
        <v>528</v>
      </c>
      <c r="C15" s="78">
        <v>18956</v>
      </c>
      <c r="D15" s="155"/>
      <c r="E15" s="78"/>
      <c r="F15" s="156">
        <f t="shared" si="0"/>
        <v>179652.85</v>
      </c>
    </row>
    <row r="16" spans="1:7" ht="15.75" x14ac:dyDescent="0.25">
      <c r="A16" s="155">
        <v>44364</v>
      </c>
      <c r="B16" s="152" t="s">
        <v>529</v>
      </c>
      <c r="C16" s="78">
        <v>6575.8</v>
      </c>
      <c r="D16" s="155"/>
      <c r="E16" s="78"/>
      <c r="F16" s="156">
        <f t="shared" si="0"/>
        <v>186228.65</v>
      </c>
    </row>
    <row r="17" spans="1:7" ht="15.75" x14ac:dyDescent="0.25">
      <c r="A17" s="155">
        <v>44365</v>
      </c>
      <c r="B17" s="152" t="s">
        <v>530</v>
      </c>
      <c r="C17" s="78">
        <v>174890.81</v>
      </c>
      <c r="D17" s="155"/>
      <c r="E17" s="78"/>
      <c r="F17" s="156">
        <f t="shared" si="0"/>
        <v>361119.45999999996</v>
      </c>
    </row>
    <row r="18" spans="1:7" ht="15.75" x14ac:dyDescent="0.25">
      <c r="A18" s="155">
        <v>44365</v>
      </c>
      <c r="B18" s="152" t="s">
        <v>531</v>
      </c>
      <c r="C18" s="78">
        <v>63472.4</v>
      </c>
      <c r="D18" s="155"/>
      <c r="E18" s="78"/>
      <c r="F18" s="156">
        <f t="shared" si="0"/>
        <v>424591.86</v>
      </c>
    </row>
    <row r="19" spans="1:7" ht="15.75" x14ac:dyDescent="0.25">
      <c r="A19" s="155">
        <v>44365</v>
      </c>
      <c r="B19" s="152" t="s">
        <v>532</v>
      </c>
      <c r="C19" s="78">
        <v>24495</v>
      </c>
      <c r="D19" s="155">
        <v>44366</v>
      </c>
      <c r="E19" s="78">
        <v>449086.86</v>
      </c>
      <c r="F19" s="156">
        <f t="shared" si="0"/>
        <v>0</v>
      </c>
    </row>
    <row r="20" spans="1:7" ht="15.75" x14ac:dyDescent="0.25">
      <c r="A20" s="155">
        <v>44366</v>
      </c>
      <c r="B20" s="152" t="s">
        <v>533</v>
      </c>
      <c r="C20" s="78">
        <v>219692.87</v>
      </c>
      <c r="D20" s="155"/>
      <c r="E20" s="78"/>
      <c r="F20" s="156">
        <f t="shared" si="0"/>
        <v>219692.87</v>
      </c>
    </row>
    <row r="21" spans="1:7" ht="15.75" x14ac:dyDescent="0.25">
      <c r="A21" s="155">
        <v>44367</v>
      </c>
      <c r="B21" s="152" t="s">
        <v>534</v>
      </c>
      <c r="C21" s="78">
        <v>9938.2999999999993</v>
      </c>
      <c r="D21" s="155"/>
      <c r="E21" s="78"/>
      <c r="F21" s="156">
        <f t="shared" si="0"/>
        <v>229631.16999999998</v>
      </c>
    </row>
    <row r="22" spans="1:7" ht="18.75" x14ac:dyDescent="0.3">
      <c r="A22" s="155">
        <v>44368</v>
      </c>
      <c r="B22" s="152" t="s">
        <v>535</v>
      </c>
      <c r="C22" s="78">
        <v>120083.9</v>
      </c>
      <c r="D22" s="155"/>
      <c r="E22" s="78"/>
      <c r="F22" s="156">
        <f t="shared" si="0"/>
        <v>349715.06999999995</v>
      </c>
      <c r="G22" s="157"/>
    </row>
    <row r="23" spans="1:7" ht="15.75" x14ac:dyDescent="0.25">
      <c r="A23" s="155">
        <v>44370</v>
      </c>
      <c r="B23" s="152" t="s">
        <v>536</v>
      </c>
      <c r="C23" s="78">
        <v>124811.6</v>
      </c>
      <c r="D23" s="155"/>
      <c r="E23" s="78"/>
      <c r="F23" s="156">
        <f t="shared" si="0"/>
        <v>474526.66999999993</v>
      </c>
    </row>
    <row r="24" spans="1:7" ht="15.75" x14ac:dyDescent="0.25">
      <c r="A24" s="155">
        <v>44371</v>
      </c>
      <c r="B24" s="152" t="s">
        <v>537</v>
      </c>
      <c r="C24" s="78">
        <v>130998.49</v>
      </c>
      <c r="D24" s="155"/>
      <c r="E24" s="78"/>
      <c r="F24" s="156">
        <f t="shared" si="0"/>
        <v>605525.15999999992</v>
      </c>
    </row>
    <row r="25" spans="1:7" ht="15.75" x14ac:dyDescent="0.25">
      <c r="A25" s="155">
        <v>44372</v>
      </c>
      <c r="B25" s="152" t="s">
        <v>538</v>
      </c>
      <c r="C25" s="78">
        <v>1548</v>
      </c>
      <c r="D25" s="155"/>
      <c r="E25" s="78"/>
      <c r="F25" s="156">
        <f t="shared" si="0"/>
        <v>607073.15999999992</v>
      </c>
    </row>
    <row r="26" spans="1:7" ht="15.75" x14ac:dyDescent="0.25">
      <c r="A26" s="155">
        <v>44372</v>
      </c>
      <c r="B26" s="152" t="s">
        <v>539</v>
      </c>
      <c r="C26" s="78">
        <v>32828.800000000003</v>
      </c>
      <c r="D26" s="155">
        <v>44373</v>
      </c>
      <c r="E26" s="78">
        <v>639901.96</v>
      </c>
      <c r="F26" s="156">
        <f t="shared" si="0"/>
        <v>0</v>
      </c>
    </row>
    <row r="27" spans="1:7" ht="15.75" x14ac:dyDescent="0.25">
      <c r="A27" s="155">
        <v>44373</v>
      </c>
      <c r="B27" s="152" t="s">
        <v>540</v>
      </c>
      <c r="C27" s="78">
        <v>182799.1</v>
      </c>
      <c r="D27" s="155"/>
      <c r="E27" s="78"/>
      <c r="F27" s="156">
        <f t="shared" si="0"/>
        <v>182799.1</v>
      </c>
    </row>
    <row r="28" spans="1:7" ht="15.75" x14ac:dyDescent="0.25">
      <c r="A28" s="155">
        <v>44373</v>
      </c>
      <c r="B28" s="152" t="s">
        <v>541</v>
      </c>
      <c r="C28" s="78">
        <v>100700.1</v>
      </c>
      <c r="D28" s="155"/>
      <c r="E28" s="78"/>
      <c r="F28" s="156">
        <f t="shared" si="0"/>
        <v>283499.2</v>
      </c>
    </row>
    <row r="29" spans="1:7" ht="15.75" x14ac:dyDescent="0.25">
      <c r="A29" s="155">
        <v>44376</v>
      </c>
      <c r="B29" s="152" t="s">
        <v>542</v>
      </c>
      <c r="C29" s="78">
        <v>163352.95999999999</v>
      </c>
      <c r="D29" s="155"/>
      <c r="E29" s="78"/>
      <c r="F29" s="156">
        <f t="shared" si="0"/>
        <v>446852.16000000003</v>
      </c>
    </row>
    <row r="30" spans="1:7" ht="18.75" x14ac:dyDescent="0.3">
      <c r="A30" s="155">
        <v>44377</v>
      </c>
      <c r="B30" s="152" t="s">
        <v>543</v>
      </c>
      <c r="C30" s="78">
        <v>112159.6</v>
      </c>
      <c r="D30" s="155"/>
      <c r="E30" s="78"/>
      <c r="F30" s="156">
        <f t="shared" si="0"/>
        <v>559011.76</v>
      </c>
      <c r="G30" s="157"/>
    </row>
    <row r="31" spans="1:7" ht="15.75" x14ac:dyDescent="0.25">
      <c r="A31" s="155">
        <v>44377</v>
      </c>
      <c r="B31" s="152" t="s">
        <v>544</v>
      </c>
      <c r="C31" s="78">
        <v>2812.2</v>
      </c>
      <c r="D31" s="155">
        <v>44380</v>
      </c>
      <c r="E31" s="78">
        <v>561823.96</v>
      </c>
      <c r="F31" s="156">
        <f t="shared" si="0"/>
        <v>0</v>
      </c>
    </row>
    <row r="32" spans="1:7" ht="15.75" x14ac:dyDescent="0.25">
      <c r="A32" s="151"/>
      <c r="B32" s="152"/>
      <c r="C32" s="78"/>
      <c r="D32" s="155"/>
      <c r="E32" s="78"/>
      <c r="F32" s="156">
        <f t="shared" si="0"/>
        <v>0</v>
      </c>
    </row>
    <row r="33" spans="1:6" ht="15.75" x14ac:dyDescent="0.25">
      <c r="A33" s="151"/>
      <c r="B33" s="152"/>
      <c r="C33" s="78"/>
      <c r="D33" s="155"/>
      <c r="E33" s="78"/>
      <c r="F33" s="156">
        <f t="shared" si="0"/>
        <v>0</v>
      </c>
    </row>
    <row r="34" spans="1:6" ht="15.75" hidden="1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5.75" hidden="1" x14ac:dyDescent="0.25">
      <c r="A35" s="151"/>
      <c r="B35" s="152"/>
      <c r="C35" s="78"/>
      <c r="D35" s="155"/>
      <c r="E35" s="78"/>
      <c r="F35" s="156">
        <f t="shared" si="0"/>
        <v>0</v>
      </c>
    </row>
    <row r="36" spans="1:6" ht="15.75" hidden="1" x14ac:dyDescent="0.25">
      <c r="A36" s="151"/>
      <c r="B36" s="152"/>
      <c r="C36" s="78"/>
      <c r="D36" s="155"/>
      <c r="E36" s="78"/>
      <c r="F36" s="156">
        <f t="shared" si="0"/>
        <v>0</v>
      </c>
    </row>
    <row r="37" spans="1:6" ht="15.75" hidden="1" x14ac:dyDescent="0.25">
      <c r="A37" s="155"/>
      <c r="B37" s="152"/>
      <c r="C37" s="78"/>
      <c r="D37" s="155"/>
      <c r="E37" s="78"/>
      <c r="F37" s="156">
        <f t="shared" si="0"/>
        <v>0</v>
      </c>
    </row>
    <row r="38" spans="1:6" ht="15.75" hidden="1" x14ac:dyDescent="0.25">
      <c r="A38" s="155"/>
      <c r="B38" s="152"/>
      <c r="C38" s="78"/>
      <c r="D38" s="155"/>
      <c r="E38" s="78"/>
      <c r="F38" s="156">
        <f t="shared" si="0"/>
        <v>0</v>
      </c>
    </row>
    <row r="39" spans="1:6" ht="15.75" hidden="1" x14ac:dyDescent="0.25">
      <c r="A39" s="155"/>
      <c r="B39" s="152"/>
      <c r="C39" s="78"/>
      <c r="D39" s="155"/>
      <c r="E39" s="78"/>
      <c r="F39" s="156">
        <f t="shared" si="0"/>
        <v>0</v>
      </c>
    </row>
    <row r="40" spans="1:6" ht="15.75" hidden="1" x14ac:dyDescent="0.25">
      <c r="A40" s="151"/>
      <c r="B40" s="152"/>
      <c r="C40" s="78"/>
      <c r="D40" s="155"/>
      <c r="E40" s="78"/>
      <c r="F40" s="156">
        <f t="shared" si="0"/>
        <v>0</v>
      </c>
    </row>
    <row r="41" spans="1:6" ht="15.75" hidden="1" x14ac:dyDescent="0.25">
      <c r="A41" s="151"/>
      <c r="B41" s="152"/>
      <c r="C41" s="78"/>
      <c r="D41" s="155"/>
      <c r="E41" s="78"/>
      <c r="F41" s="156">
        <f t="shared" si="0"/>
        <v>0</v>
      </c>
    </row>
    <row r="42" spans="1:6" ht="15.75" hidden="1" x14ac:dyDescent="0.25">
      <c r="A42" s="151"/>
      <c r="B42" s="152"/>
      <c r="C42" s="78"/>
      <c r="D42" s="155"/>
      <c r="E42" s="78"/>
      <c r="F42" s="156">
        <f t="shared" si="0"/>
        <v>0</v>
      </c>
    </row>
    <row r="43" spans="1:6" ht="15.75" hidden="1" x14ac:dyDescent="0.25">
      <c r="A43" s="151"/>
      <c r="B43" s="152"/>
      <c r="C43" s="78"/>
      <c r="D43" s="155"/>
      <c r="E43" s="78"/>
      <c r="F43" s="156">
        <f t="shared" si="0"/>
        <v>0</v>
      </c>
    </row>
    <row r="44" spans="1:6" ht="15.75" hidden="1" x14ac:dyDescent="0.25">
      <c r="A44" s="151"/>
      <c r="B44" s="152"/>
      <c r="C44" s="78"/>
      <c r="D44" s="155"/>
      <c r="E44" s="78"/>
      <c r="F44" s="156">
        <f t="shared" si="0"/>
        <v>0</v>
      </c>
    </row>
    <row r="45" spans="1:6" ht="15.75" hidden="1" x14ac:dyDescent="0.25">
      <c r="A45" s="151"/>
      <c r="B45" s="152"/>
      <c r="C45" s="78"/>
      <c r="D45" s="155"/>
      <c r="E45" s="78"/>
      <c r="F45" s="156">
        <f t="shared" si="0"/>
        <v>0</v>
      </c>
    </row>
    <row r="46" spans="1:6" ht="15.75" hidden="1" x14ac:dyDescent="0.25">
      <c r="A46" s="151"/>
      <c r="B46" s="152"/>
      <c r="C46" s="78"/>
      <c r="D46" s="155"/>
      <c r="E46" s="78"/>
      <c r="F46" s="156">
        <f t="shared" si="0"/>
        <v>0</v>
      </c>
    </row>
    <row r="47" spans="1:6" ht="15.75" hidden="1" x14ac:dyDescent="0.25">
      <c r="A47" s="151"/>
      <c r="B47" s="152"/>
      <c r="C47" s="78"/>
      <c r="D47" s="155"/>
      <c r="E47" s="78"/>
      <c r="F47" s="156">
        <f t="shared" si="0"/>
        <v>0</v>
      </c>
    </row>
    <row r="48" spans="1:6" ht="15.75" hidden="1" x14ac:dyDescent="0.25">
      <c r="A48" s="151"/>
      <c r="B48" s="152"/>
      <c r="C48" s="78"/>
      <c r="D48" s="155"/>
      <c r="E48" s="78"/>
      <c r="F48" s="156">
        <f t="shared" si="0"/>
        <v>0</v>
      </c>
    </row>
    <row r="49" spans="1:6" ht="15.75" hidden="1" x14ac:dyDescent="0.25">
      <c r="A49" s="151"/>
      <c r="B49" s="152"/>
      <c r="C49" s="78"/>
      <c r="D49" s="155"/>
      <c r="E49" s="78"/>
      <c r="F49" s="156">
        <f t="shared" si="0"/>
        <v>0</v>
      </c>
    </row>
    <row r="50" spans="1:6" ht="15.75" hidden="1" x14ac:dyDescent="0.25">
      <c r="A50" s="151"/>
      <c r="B50" s="152"/>
      <c r="C50" s="78"/>
      <c r="D50" s="155"/>
      <c r="E50" s="78"/>
      <c r="F50" s="156">
        <f t="shared" si="0"/>
        <v>0</v>
      </c>
    </row>
    <row r="51" spans="1:6" ht="15.75" hidden="1" x14ac:dyDescent="0.25">
      <c r="A51" s="151"/>
      <c r="B51" s="152"/>
      <c r="C51" s="78"/>
      <c r="D51" s="155"/>
      <c r="E51" s="78"/>
      <c r="F51" s="156">
        <f t="shared" si="0"/>
        <v>0</v>
      </c>
    </row>
    <row r="52" spans="1:6" ht="15.75" hidden="1" x14ac:dyDescent="0.25">
      <c r="A52" s="151"/>
      <c r="B52" s="152"/>
      <c r="C52" s="78"/>
      <c r="D52" s="155"/>
      <c r="E52" s="78"/>
      <c r="F52" s="156">
        <f t="shared" si="0"/>
        <v>0</v>
      </c>
    </row>
    <row r="53" spans="1:6" ht="15.75" hidden="1" x14ac:dyDescent="0.25">
      <c r="A53" s="151"/>
      <c r="B53" s="152"/>
      <c r="C53" s="78"/>
      <c r="D53" s="155"/>
      <c r="E53" s="78"/>
      <c r="F53" s="156">
        <f t="shared" si="0"/>
        <v>0</v>
      </c>
    </row>
    <row r="54" spans="1:6" ht="15.75" hidden="1" x14ac:dyDescent="0.25">
      <c r="A54" s="151"/>
      <c r="B54" s="152"/>
      <c r="C54" s="78"/>
      <c r="D54" s="155"/>
      <c r="E54" s="78"/>
      <c r="F54" s="156">
        <f t="shared" si="0"/>
        <v>0</v>
      </c>
    </row>
    <row r="55" spans="1:6" ht="15.75" hidden="1" x14ac:dyDescent="0.25">
      <c r="A55" s="151"/>
      <c r="B55" s="152"/>
      <c r="C55" s="78"/>
      <c r="D55" s="155"/>
      <c r="E55" s="78"/>
      <c r="F55" s="156">
        <f t="shared" si="0"/>
        <v>0</v>
      </c>
    </row>
    <row r="56" spans="1:6" ht="15.75" hidden="1" x14ac:dyDescent="0.25">
      <c r="A56" s="151"/>
      <c r="B56" s="152"/>
      <c r="C56" s="78"/>
      <c r="D56" s="155"/>
      <c r="E56" s="78"/>
      <c r="F56" s="156">
        <f t="shared" si="0"/>
        <v>0</v>
      </c>
    </row>
    <row r="57" spans="1:6" ht="15.75" hidden="1" x14ac:dyDescent="0.25">
      <c r="A57" s="151"/>
      <c r="B57" s="152"/>
      <c r="C57" s="78"/>
      <c r="D57" s="155"/>
      <c r="E57" s="78"/>
      <c r="F57" s="156">
        <f t="shared" si="0"/>
        <v>0</v>
      </c>
    </row>
    <row r="58" spans="1:6" ht="15.75" hidden="1" x14ac:dyDescent="0.25">
      <c r="A58" s="151"/>
      <c r="B58" s="152"/>
      <c r="C58" s="78"/>
      <c r="D58" s="155"/>
      <c r="E58" s="78"/>
      <c r="F58" s="156">
        <f t="shared" si="0"/>
        <v>0</v>
      </c>
    </row>
    <row r="59" spans="1:6" ht="15.75" hidden="1" x14ac:dyDescent="0.25">
      <c r="A59" s="151"/>
      <c r="B59" s="152"/>
      <c r="C59" s="78"/>
      <c r="D59" s="155"/>
      <c r="E59" s="78"/>
      <c r="F59" s="156">
        <f t="shared" si="0"/>
        <v>0</v>
      </c>
    </row>
    <row r="60" spans="1:6" ht="15.75" hidden="1" x14ac:dyDescent="0.25">
      <c r="A60" s="151"/>
      <c r="B60" s="152"/>
      <c r="C60" s="78"/>
      <c r="D60" s="155"/>
      <c r="E60" s="78"/>
      <c r="F60" s="156">
        <f t="shared" si="0"/>
        <v>0</v>
      </c>
    </row>
    <row r="61" spans="1:6" ht="15.75" hidden="1" x14ac:dyDescent="0.25">
      <c r="A61" s="159"/>
      <c r="B61" s="160"/>
      <c r="C61" s="141"/>
      <c r="D61" s="153"/>
      <c r="E61" s="141"/>
      <c r="F61" s="156">
        <f t="shared" si="0"/>
        <v>0</v>
      </c>
    </row>
    <row r="62" spans="1:6" ht="15.75" hidden="1" x14ac:dyDescent="0.25">
      <c r="A62" s="159"/>
      <c r="B62" s="160"/>
      <c r="C62" s="141"/>
      <c r="D62" s="153"/>
      <c r="E62" s="141"/>
      <c r="F62" s="156">
        <f t="shared" si="0"/>
        <v>0</v>
      </c>
    </row>
    <row r="63" spans="1:6" ht="15.75" hidden="1" x14ac:dyDescent="0.25">
      <c r="A63" s="159"/>
      <c r="B63" s="160"/>
      <c r="C63" s="141"/>
      <c r="D63" s="153"/>
      <c r="E63" s="141"/>
      <c r="F63" s="156">
        <f t="shared" si="0"/>
        <v>0</v>
      </c>
    </row>
    <row r="64" spans="1:6" ht="15.75" hidden="1" x14ac:dyDescent="0.25">
      <c r="A64" s="159"/>
      <c r="B64" s="160"/>
      <c r="C64" s="141"/>
      <c r="D64" s="153"/>
      <c r="E64" s="141"/>
      <c r="F64" s="156">
        <f t="shared" si="0"/>
        <v>0</v>
      </c>
    </row>
    <row r="65" spans="1:6" ht="15.75" hidden="1" x14ac:dyDescent="0.25">
      <c r="A65" s="159"/>
      <c r="B65" s="160"/>
      <c r="C65" s="141"/>
      <c r="D65" s="153"/>
      <c r="E65" s="141"/>
      <c r="F65" s="156">
        <f t="shared" si="0"/>
        <v>0</v>
      </c>
    </row>
    <row r="66" spans="1:6" ht="15.75" hidden="1" x14ac:dyDescent="0.25">
      <c r="A66" s="159"/>
      <c r="B66" s="160"/>
      <c r="C66" s="141"/>
      <c r="D66" s="153"/>
      <c r="E66" s="141"/>
      <c r="F66" s="156">
        <f t="shared" si="0"/>
        <v>0</v>
      </c>
    </row>
    <row r="67" spans="1:6" ht="15.75" hidden="1" x14ac:dyDescent="0.25">
      <c r="A67" s="151"/>
      <c r="B67" s="152"/>
      <c r="C67" s="78"/>
      <c r="D67" s="155"/>
      <c r="E67" s="78"/>
      <c r="F67" s="156">
        <f t="shared" si="0"/>
        <v>0</v>
      </c>
    </row>
    <row r="68" spans="1:6" ht="15.75" hidden="1" x14ac:dyDescent="0.25">
      <c r="A68" s="151"/>
      <c r="B68" s="152"/>
      <c r="C68" s="78"/>
      <c r="D68" s="155"/>
      <c r="E68" s="78"/>
      <c r="F68" s="156">
        <f t="shared" si="0"/>
        <v>0</v>
      </c>
    </row>
    <row r="69" spans="1:6" ht="15.75" hidden="1" x14ac:dyDescent="0.25">
      <c r="A69" s="151"/>
      <c r="B69" s="152"/>
      <c r="C69" s="78"/>
      <c r="D69" s="155"/>
      <c r="E69" s="78"/>
      <c r="F69" s="156">
        <f t="shared" ref="F69:F77" si="1">F68+C69-E69</f>
        <v>0</v>
      </c>
    </row>
    <row r="70" spans="1:6" ht="15.75" hidden="1" x14ac:dyDescent="0.25">
      <c r="A70" s="151"/>
      <c r="B70" s="152"/>
      <c r="C70" s="78"/>
      <c r="D70" s="155"/>
      <c r="E70" s="78"/>
      <c r="F70" s="156">
        <f t="shared" si="1"/>
        <v>0</v>
      </c>
    </row>
    <row r="71" spans="1:6" ht="15.75" hidden="1" x14ac:dyDescent="0.25">
      <c r="A71" s="151"/>
      <c r="B71" s="152"/>
      <c r="C71" s="78"/>
      <c r="D71" s="155"/>
      <c r="E71" s="78"/>
      <c r="F71" s="156">
        <f t="shared" si="1"/>
        <v>0</v>
      </c>
    </row>
    <row r="72" spans="1:6" ht="15.75" hidden="1" x14ac:dyDescent="0.25">
      <c r="A72" s="151"/>
      <c r="B72" s="152"/>
      <c r="C72" s="78"/>
      <c r="D72" s="155"/>
      <c r="E72" s="78"/>
      <c r="F72" s="156">
        <f t="shared" si="1"/>
        <v>0</v>
      </c>
    </row>
    <row r="73" spans="1:6" ht="15.75" hidden="1" x14ac:dyDescent="0.25">
      <c r="A73" s="151"/>
      <c r="B73" s="152"/>
      <c r="C73" s="78"/>
      <c r="D73" s="155"/>
      <c r="E73" s="78"/>
      <c r="F73" s="156">
        <f t="shared" si="1"/>
        <v>0</v>
      </c>
    </row>
    <row r="74" spans="1:6" ht="15.75" hidden="1" x14ac:dyDescent="0.25">
      <c r="A74" s="151"/>
      <c r="B74" s="152"/>
      <c r="C74" s="78"/>
      <c r="D74" s="155"/>
      <c r="E74" s="78"/>
      <c r="F74" s="156">
        <f t="shared" si="1"/>
        <v>0</v>
      </c>
    </row>
    <row r="75" spans="1:6" ht="15.75" hidden="1" x14ac:dyDescent="0.25">
      <c r="A75" s="151"/>
      <c r="B75" s="152"/>
      <c r="C75" s="78"/>
      <c r="D75" s="155"/>
      <c r="E75" s="78"/>
      <c r="F75" s="156">
        <f t="shared" si="1"/>
        <v>0</v>
      </c>
    </row>
    <row r="76" spans="1:6" ht="15.75" x14ac:dyDescent="0.25">
      <c r="A76" s="151"/>
      <c r="B76" s="152"/>
      <c r="C76" s="78"/>
      <c r="D76" s="155"/>
      <c r="E76" s="78"/>
      <c r="F76" s="156">
        <f t="shared" si="1"/>
        <v>0</v>
      </c>
    </row>
    <row r="77" spans="1:6" ht="16.5" thickBot="1" x14ac:dyDescent="0.3">
      <c r="A77" s="161"/>
      <c r="B77" s="162"/>
      <c r="C77" s="163">
        <v>0</v>
      </c>
      <c r="D77" s="164"/>
      <c r="E77" s="163"/>
      <c r="F77" s="156">
        <f t="shared" si="1"/>
        <v>0</v>
      </c>
    </row>
    <row r="78" spans="1:6" ht="19.5" thickTop="1" x14ac:dyDescent="0.3">
      <c r="B78" s="58"/>
      <c r="C78" s="4">
        <f>SUM(C3:C77)</f>
        <v>2720820.95</v>
      </c>
      <c r="D78" s="1"/>
      <c r="E78" s="4">
        <f>SUM(E3:E77)</f>
        <v>2720820.9499999997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N97"/>
  <sheetViews>
    <sheetView topLeftCell="G49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373" customWidth="1"/>
    <col min="11" max="11" width="14.42578125" customWidth="1"/>
    <col min="12" max="12" width="14.5703125" style="5" customWidth="1"/>
    <col min="13" max="13" width="18.140625" style="6" customWidth="1"/>
    <col min="14" max="14" width="16.140625" style="4" customWidth="1"/>
  </cols>
  <sheetData>
    <row r="1" spans="1:14" ht="23.25" x14ac:dyDescent="0.35">
      <c r="B1" s="366" t="s">
        <v>473</v>
      </c>
      <c r="C1" s="301" t="s">
        <v>548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14" ht="16.5" thickBot="1" x14ac:dyDescent="0.3">
      <c r="B2" s="367"/>
      <c r="C2" s="5"/>
      <c r="H2" s="7" t="s">
        <v>1</v>
      </c>
      <c r="I2" s="3"/>
      <c r="J2" s="372"/>
      <c r="L2" s="9"/>
      <c r="M2" s="3"/>
      <c r="N2" s="10"/>
    </row>
    <row r="3" spans="1:14" ht="21.75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</row>
    <row r="4" spans="1:14" ht="20.25" thickTop="1" thickBot="1" x14ac:dyDescent="0.35">
      <c r="A4" s="16" t="s">
        <v>6</v>
      </c>
      <c r="B4" s="17"/>
      <c r="C4" s="18">
        <v>308642.71999999997</v>
      </c>
      <c r="D4" s="19">
        <v>44377</v>
      </c>
      <c r="E4" s="305" t="s">
        <v>7</v>
      </c>
      <c r="F4" s="306"/>
      <c r="H4" s="374" t="s">
        <v>8</v>
      </c>
      <c r="I4" s="308"/>
      <c r="J4" s="20"/>
      <c r="K4" s="21"/>
      <c r="L4" s="22"/>
      <c r="M4" s="23" t="s">
        <v>549</v>
      </c>
      <c r="N4" s="24" t="s">
        <v>10</v>
      </c>
    </row>
    <row r="5" spans="1:14" ht="18" thickBot="1" x14ac:dyDescent="0.35">
      <c r="A5" s="25" t="s">
        <v>11</v>
      </c>
      <c r="B5" s="375">
        <v>44378</v>
      </c>
      <c r="C5" s="27">
        <v>4932.5</v>
      </c>
      <c r="D5" s="376" t="s">
        <v>134</v>
      </c>
      <c r="E5" s="377">
        <v>44378</v>
      </c>
      <c r="F5" s="30">
        <v>142964</v>
      </c>
      <c r="G5" s="378"/>
      <c r="H5" s="379">
        <v>44378</v>
      </c>
      <c r="I5" s="32">
        <v>550</v>
      </c>
      <c r="J5" s="372">
        <v>44378</v>
      </c>
      <c r="K5" s="380" t="s">
        <v>401</v>
      </c>
      <c r="L5" s="10">
        <v>549</v>
      </c>
      <c r="M5" s="381">
        <v>126476.5</v>
      </c>
      <c r="N5" s="382">
        <v>10456</v>
      </c>
    </row>
    <row r="6" spans="1:14" ht="18" thickBot="1" x14ac:dyDescent="0.35">
      <c r="A6" s="25"/>
      <c r="B6" s="375">
        <v>44379</v>
      </c>
      <c r="C6" s="27">
        <v>20774</v>
      </c>
      <c r="D6" s="383" t="s">
        <v>550</v>
      </c>
      <c r="E6" s="377">
        <v>44379</v>
      </c>
      <c r="F6" s="30">
        <v>115376</v>
      </c>
      <c r="G6" s="378"/>
      <c r="H6" s="384">
        <v>44379</v>
      </c>
      <c r="I6" s="38">
        <v>2950</v>
      </c>
      <c r="J6" s="48">
        <v>44379</v>
      </c>
      <c r="K6" s="385" t="s">
        <v>551</v>
      </c>
      <c r="L6" s="41">
        <v>10000</v>
      </c>
      <c r="M6" s="381">
        <v>121188</v>
      </c>
      <c r="N6" s="382">
        <v>43064</v>
      </c>
    </row>
    <row r="7" spans="1:14" ht="18" thickBot="1" x14ac:dyDescent="0.35">
      <c r="A7" s="25"/>
      <c r="B7" s="375">
        <v>44380</v>
      </c>
      <c r="C7" s="27">
        <v>2495</v>
      </c>
      <c r="D7" s="386" t="s">
        <v>390</v>
      </c>
      <c r="E7" s="377">
        <v>44380</v>
      </c>
      <c r="F7" s="30">
        <v>192558</v>
      </c>
      <c r="G7" s="378"/>
      <c r="H7" s="384">
        <v>44380</v>
      </c>
      <c r="I7" s="43">
        <v>754</v>
      </c>
      <c r="J7" s="48">
        <v>44380</v>
      </c>
      <c r="K7" s="387" t="s">
        <v>552</v>
      </c>
      <c r="L7" s="41">
        <f>16330.7+400+4000</f>
        <v>20730.7</v>
      </c>
      <c r="M7" s="381">
        <v>117804.68</v>
      </c>
      <c r="N7" s="382">
        <v>61735</v>
      </c>
    </row>
    <row r="8" spans="1:14" ht="18" thickBot="1" x14ac:dyDescent="0.35">
      <c r="A8" s="25"/>
      <c r="B8" s="375">
        <v>44381</v>
      </c>
      <c r="C8" s="27">
        <v>7764</v>
      </c>
      <c r="D8" s="388" t="s">
        <v>553</v>
      </c>
      <c r="E8" s="377">
        <v>44381</v>
      </c>
      <c r="F8" s="30">
        <v>140754</v>
      </c>
      <c r="G8" s="378"/>
      <c r="H8" s="384">
        <v>44381</v>
      </c>
      <c r="I8" s="43">
        <v>700</v>
      </c>
      <c r="J8" s="225"/>
      <c r="K8" s="389"/>
      <c r="L8" s="41"/>
      <c r="M8" s="381">
        <v>112352</v>
      </c>
      <c r="N8" s="390">
        <f>19938+722.5</f>
        <v>20660.5</v>
      </c>
    </row>
    <row r="9" spans="1:14" ht="18" thickBot="1" x14ac:dyDescent="0.35">
      <c r="A9" s="25"/>
      <c r="B9" s="375">
        <v>44382</v>
      </c>
      <c r="C9" s="27">
        <v>2850</v>
      </c>
      <c r="D9" s="388" t="s">
        <v>554</v>
      </c>
      <c r="E9" s="377">
        <v>44382</v>
      </c>
      <c r="F9" s="30">
        <v>125766</v>
      </c>
      <c r="G9" s="378"/>
      <c r="H9" s="384">
        <v>44382</v>
      </c>
      <c r="I9" s="43">
        <v>584</v>
      </c>
      <c r="J9" s="48"/>
      <c r="K9" s="391"/>
      <c r="L9" s="41"/>
      <c r="M9" s="381">
        <v>100005</v>
      </c>
      <c r="N9" s="382">
        <v>22327</v>
      </c>
    </row>
    <row r="10" spans="1:14" ht="18" thickBot="1" x14ac:dyDescent="0.35">
      <c r="A10" s="25"/>
      <c r="B10" s="375">
        <v>44383</v>
      </c>
      <c r="C10" s="27">
        <v>4901</v>
      </c>
      <c r="D10" s="386" t="s">
        <v>218</v>
      </c>
      <c r="E10" s="377">
        <v>44383</v>
      </c>
      <c r="F10" s="30">
        <v>129286</v>
      </c>
      <c r="G10" s="378"/>
      <c r="H10" s="384">
        <v>44383</v>
      </c>
      <c r="I10" s="43">
        <v>650</v>
      </c>
      <c r="J10" s="48"/>
      <c r="K10" s="392"/>
      <c r="L10" s="51"/>
      <c r="M10" s="381">
        <v>89170</v>
      </c>
      <c r="N10" s="382">
        <v>34565</v>
      </c>
    </row>
    <row r="11" spans="1:14" ht="18" thickBot="1" x14ac:dyDescent="0.35">
      <c r="A11" s="25"/>
      <c r="B11" s="375">
        <v>44384</v>
      </c>
      <c r="C11" s="27">
        <v>2612</v>
      </c>
      <c r="D11" s="383" t="s">
        <v>305</v>
      </c>
      <c r="E11" s="377">
        <v>44384</v>
      </c>
      <c r="F11" s="30">
        <v>126869</v>
      </c>
      <c r="G11" s="378"/>
      <c r="H11" s="384">
        <v>44384</v>
      </c>
      <c r="I11" s="43">
        <v>2584</v>
      </c>
      <c r="J11" s="226">
        <v>44384</v>
      </c>
      <c r="K11" s="393" t="s">
        <v>555</v>
      </c>
      <c r="L11" s="41">
        <v>7950</v>
      </c>
      <c r="M11" s="381">
        <v>60712</v>
      </c>
      <c r="N11" s="382">
        <v>53011</v>
      </c>
    </row>
    <row r="12" spans="1:14" ht="18" thickBot="1" x14ac:dyDescent="0.35">
      <c r="A12" s="25"/>
      <c r="B12" s="375">
        <v>44385</v>
      </c>
      <c r="C12" s="27">
        <v>12686</v>
      </c>
      <c r="D12" s="383" t="s">
        <v>556</v>
      </c>
      <c r="E12" s="377">
        <v>44385</v>
      </c>
      <c r="F12" s="30">
        <v>108652</v>
      </c>
      <c r="G12" s="378"/>
      <c r="H12" s="384">
        <v>44385</v>
      </c>
      <c r="I12" s="4">
        <v>3911</v>
      </c>
      <c r="J12" s="48"/>
      <c r="K12" s="394"/>
      <c r="L12" s="41"/>
      <c r="M12" s="381">
        <v>62018</v>
      </c>
      <c r="N12" s="390">
        <f>29872+165</f>
        <v>30037</v>
      </c>
    </row>
    <row r="13" spans="1:14" ht="18" thickBot="1" x14ac:dyDescent="0.35">
      <c r="A13" s="25"/>
      <c r="B13" s="375">
        <v>44386</v>
      </c>
      <c r="C13" s="27">
        <v>9887</v>
      </c>
      <c r="D13" s="388" t="s">
        <v>557</v>
      </c>
      <c r="E13" s="377">
        <v>44386</v>
      </c>
      <c r="F13" s="30">
        <v>161069</v>
      </c>
      <c r="G13" s="378"/>
      <c r="H13" s="384">
        <v>44386</v>
      </c>
      <c r="I13" s="43">
        <v>3761</v>
      </c>
      <c r="J13" s="48">
        <v>44386</v>
      </c>
      <c r="K13" s="387" t="s">
        <v>551</v>
      </c>
      <c r="L13" s="41">
        <v>10000</v>
      </c>
      <c r="M13" s="381">
        <v>105176</v>
      </c>
      <c r="N13" s="390">
        <f>28270+3975</f>
        <v>32245</v>
      </c>
    </row>
    <row r="14" spans="1:14" ht="18" thickBot="1" x14ac:dyDescent="0.35">
      <c r="A14" s="25"/>
      <c r="B14" s="375">
        <v>44387</v>
      </c>
      <c r="C14" s="27">
        <v>2815</v>
      </c>
      <c r="D14" s="386" t="s">
        <v>30</v>
      </c>
      <c r="E14" s="377">
        <v>44387</v>
      </c>
      <c r="F14" s="30">
        <v>220829</v>
      </c>
      <c r="G14" s="378"/>
      <c r="H14" s="384">
        <v>44387</v>
      </c>
      <c r="I14" s="43">
        <v>697</v>
      </c>
      <c r="J14" s="48">
        <v>44387</v>
      </c>
      <c r="K14" s="389" t="s">
        <v>558</v>
      </c>
      <c r="L14" s="41">
        <f>21785.63+400+1612.93</f>
        <v>23798.560000000001</v>
      </c>
      <c r="M14" s="381">
        <v>121085.38</v>
      </c>
      <c r="N14" s="382">
        <v>76989</v>
      </c>
    </row>
    <row r="15" spans="1:14" ht="18" thickBot="1" x14ac:dyDescent="0.35">
      <c r="A15" s="25"/>
      <c r="B15" s="375">
        <v>44388</v>
      </c>
      <c r="C15" s="27">
        <v>11165</v>
      </c>
      <c r="D15" s="383" t="s">
        <v>559</v>
      </c>
      <c r="E15" s="377">
        <v>44388</v>
      </c>
      <c r="F15" s="30">
        <v>146396</v>
      </c>
      <c r="G15" s="378"/>
      <c r="H15" s="384">
        <v>44388</v>
      </c>
      <c r="I15" s="43">
        <v>725</v>
      </c>
      <c r="J15" s="48"/>
      <c r="K15" s="389"/>
      <c r="L15" s="41"/>
      <c r="M15" s="381">
        <v>107856</v>
      </c>
      <c r="N15" s="382">
        <f>30266</f>
        <v>30266</v>
      </c>
    </row>
    <row r="16" spans="1:14" ht="18" thickBot="1" x14ac:dyDescent="0.35">
      <c r="A16" s="25"/>
      <c r="B16" s="375">
        <v>44389</v>
      </c>
      <c r="C16" s="27">
        <v>1605</v>
      </c>
      <c r="D16" s="383" t="s">
        <v>14</v>
      </c>
      <c r="E16" s="377">
        <v>44389</v>
      </c>
      <c r="F16" s="30">
        <v>128484</v>
      </c>
      <c r="G16" s="378"/>
      <c r="H16" s="384">
        <v>44389</v>
      </c>
      <c r="I16" s="43">
        <v>1120</v>
      </c>
      <c r="J16" s="48"/>
      <c r="K16" s="389"/>
      <c r="L16" s="10"/>
      <c r="M16" s="381">
        <v>102720</v>
      </c>
      <c r="N16" s="382">
        <v>23039</v>
      </c>
    </row>
    <row r="17" spans="1:14" ht="18" thickBot="1" x14ac:dyDescent="0.35">
      <c r="A17" s="25"/>
      <c r="B17" s="375">
        <v>44390</v>
      </c>
      <c r="C17" s="27">
        <v>9760</v>
      </c>
      <c r="D17" s="388" t="s">
        <v>560</v>
      </c>
      <c r="E17" s="377">
        <v>44390</v>
      </c>
      <c r="F17" s="30">
        <v>94323</v>
      </c>
      <c r="G17" s="378"/>
      <c r="H17" s="384">
        <v>44390</v>
      </c>
      <c r="I17" s="43">
        <v>1348</v>
      </c>
      <c r="J17" s="48"/>
      <c r="K17" s="389"/>
      <c r="L17" s="51"/>
      <c r="M17" s="381">
        <v>72351</v>
      </c>
      <c r="N17" s="382">
        <v>10864</v>
      </c>
    </row>
    <row r="18" spans="1:14" ht="18" thickBot="1" x14ac:dyDescent="0.35">
      <c r="A18" s="25"/>
      <c r="B18" s="375">
        <v>44391</v>
      </c>
      <c r="C18" s="27">
        <v>3434</v>
      </c>
      <c r="D18" s="383" t="s">
        <v>561</v>
      </c>
      <c r="E18" s="377">
        <v>44391</v>
      </c>
      <c r="F18" s="30">
        <v>89928</v>
      </c>
      <c r="G18" s="378"/>
      <c r="H18" s="384">
        <v>44391</v>
      </c>
      <c r="I18" s="43">
        <v>3095</v>
      </c>
      <c r="J18" s="48">
        <v>44391</v>
      </c>
      <c r="K18" s="395" t="s">
        <v>562</v>
      </c>
      <c r="L18" s="41">
        <v>5000</v>
      </c>
      <c r="M18" s="381">
        <v>59954</v>
      </c>
      <c r="N18" s="382">
        <v>18445</v>
      </c>
    </row>
    <row r="19" spans="1:14" ht="18" thickBot="1" x14ac:dyDescent="0.35">
      <c r="A19" s="25"/>
      <c r="B19" s="375">
        <v>44392</v>
      </c>
      <c r="C19" s="27">
        <v>15895</v>
      </c>
      <c r="D19" s="383" t="s">
        <v>563</v>
      </c>
      <c r="E19" s="377">
        <v>44392</v>
      </c>
      <c r="F19" s="30">
        <v>168792</v>
      </c>
      <c r="G19" s="378"/>
      <c r="H19" s="384">
        <v>44392</v>
      </c>
      <c r="I19" s="43">
        <v>1150</v>
      </c>
      <c r="J19" s="48"/>
      <c r="K19" s="396"/>
      <c r="L19" s="56"/>
      <c r="M19" s="381">
        <v>126617</v>
      </c>
      <c r="N19" s="390">
        <f>6334+120+18676</f>
        <v>25130</v>
      </c>
    </row>
    <row r="20" spans="1:14" ht="18" thickBot="1" x14ac:dyDescent="0.35">
      <c r="A20" s="25"/>
      <c r="B20" s="375">
        <v>44393</v>
      </c>
      <c r="C20" s="27">
        <v>1677</v>
      </c>
      <c r="D20" s="383" t="s">
        <v>14</v>
      </c>
      <c r="E20" s="377">
        <v>44393</v>
      </c>
      <c r="F20" s="30">
        <v>166269</v>
      </c>
      <c r="G20" s="378"/>
      <c r="H20" s="384">
        <v>44393</v>
      </c>
      <c r="I20" s="43">
        <v>755</v>
      </c>
      <c r="J20" s="48">
        <v>44393</v>
      </c>
      <c r="K20" s="397" t="s">
        <v>551</v>
      </c>
      <c r="L20" s="51">
        <v>10000</v>
      </c>
      <c r="M20" s="381">
        <v>143221</v>
      </c>
      <c r="N20" s="382">
        <v>10616</v>
      </c>
    </row>
    <row r="21" spans="1:14" ht="18" thickBot="1" x14ac:dyDescent="0.35">
      <c r="A21" s="25"/>
      <c r="B21" s="375">
        <v>44394</v>
      </c>
      <c r="C21" s="27">
        <v>5961</v>
      </c>
      <c r="D21" s="383" t="s">
        <v>22</v>
      </c>
      <c r="E21" s="377">
        <v>44394</v>
      </c>
      <c r="F21" s="30">
        <v>240837</v>
      </c>
      <c r="G21" s="378"/>
      <c r="H21" s="384">
        <v>44394</v>
      </c>
      <c r="I21" s="43">
        <v>585</v>
      </c>
      <c r="J21" s="48">
        <v>44394</v>
      </c>
      <c r="K21" s="398" t="s">
        <v>564</v>
      </c>
      <c r="L21" s="51">
        <f>19755.82+400</f>
        <v>20155.82</v>
      </c>
      <c r="M21" s="381">
        <v>196142</v>
      </c>
      <c r="N21" s="382">
        <v>21841</v>
      </c>
    </row>
    <row r="22" spans="1:14" ht="18" thickBot="1" x14ac:dyDescent="0.35">
      <c r="A22" s="25"/>
      <c r="B22" s="375">
        <v>44395</v>
      </c>
      <c r="C22" s="27">
        <v>13103</v>
      </c>
      <c r="D22" s="383" t="s">
        <v>565</v>
      </c>
      <c r="E22" s="377">
        <v>44395</v>
      </c>
      <c r="F22" s="30">
        <v>131830</v>
      </c>
      <c r="G22" s="378"/>
      <c r="H22" s="384">
        <v>44395</v>
      </c>
      <c r="I22" s="43">
        <v>780</v>
      </c>
      <c r="J22" s="48"/>
      <c r="K22" s="399"/>
      <c r="L22" s="59"/>
      <c r="M22" s="381">
        <v>107487</v>
      </c>
      <c r="N22" s="382">
        <v>10460</v>
      </c>
    </row>
    <row r="23" spans="1:14" ht="18" thickBot="1" x14ac:dyDescent="0.35">
      <c r="A23" s="25"/>
      <c r="B23" s="375">
        <v>44396</v>
      </c>
      <c r="C23" s="27">
        <v>12998</v>
      </c>
      <c r="D23" s="383" t="s">
        <v>566</v>
      </c>
      <c r="E23" s="377">
        <v>44396</v>
      </c>
      <c r="F23" s="30">
        <v>134816</v>
      </c>
      <c r="G23" s="378"/>
      <c r="H23" s="384">
        <v>44396</v>
      </c>
      <c r="I23" s="43">
        <v>520</v>
      </c>
      <c r="J23" s="227">
        <v>44396</v>
      </c>
      <c r="K23" s="400" t="s">
        <v>567</v>
      </c>
      <c r="L23" s="51">
        <v>7219.18</v>
      </c>
      <c r="M23" s="381">
        <v>106168.82</v>
      </c>
      <c r="N23" s="390">
        <f>1512+6398</f>
        <v>7910</v>
      </c>
    </row>
    <row r="24" spans="1:14" ht="18" thickBot="1" x14ac:dyDescent="0.35">
      <c r="A24" s="25"/>
      <c r="B24" s="375">
        <v>44397</v>
      </c>
      <c r="C24" s="27">
        <v>4367</v>
      </c>
      <c r="D24" s="383" t="s">
        <v>568</v>
      </c>
      <c r="E24" s="377">
        <v>44397</v>
      </c>
      <c r="F24" s="30">
        <v>110569</v>
      </c>
      <c r="G24" s="378"/>
      <c r="H24" s="384">
        <v>44397</v>
      </c>
      <c r="I24" s="43">
        <v>750</v>
      </c>
      <c r="J24" s="401"/>
      <c r="K24" s="402"/>
      <c r="L24" s="230"/>
      <c r="M24" s="381">
        <v>98612</v>
      </c>
      <c r="N24" s="382">
        <v>6840</v>
      </c>
    </row>
    <row r="25" spans="1:14" ht="18" thickBot="1" x14ac:dyDescent="0.35">
      <c r="A25" s="25"/>
      <c r="B25" s="375">
        <v>44398</v>
      </c>
      <c r="C25" s="27">
        <v>3514</v>
      </c>
      <c r="D25" s="383" t="s">
        <v>30</v>
      </c>
      <c r="E25" s="377">
        <v>44398</v>
      </c>
      <c r="F25" s="30">
        <v>141045</v>
      </c>
      <c r="G25" s="378"/>
      <c r="H25" s="384">
        <v>44398</v>
      </c>
      <c r="I25" s="43">
        <v>2440</v>
      </c>
      <c r="J25" s="231"/>
      <c r="K25" s="403"/>
      <c r="L25" s="89"/>
      <c r="M25" s="381">
        <v>132205</v>
      </c>
      <c r="N25" s="382">
        <v>4843</v>
      </c>
    </row>
    <row r="26" spans="1:14" ht="18" thickBot="1" x14ac:dyDescent="0.35">
      <c r="A26" s="25"/>
      <c r="B26" s="375">
        <v>44399</v>
      </c>
      <c r="C26" s="27">
        <v>12316</v>
      </c>
      <c r="D26" s="383" t="s">
        <v>569</v>
      </c>
      <c r="E26" s="377">
        <v>44399</v>
      </c>
      <c r="F26" s="30">
        <v>117571</v>
      </c>
      <c r="G26" s="378"/>
      <c r="H26" s="384">
        <v>44399</v>
      </c>
      <c r="I26" s="43">
        <v>5239</v>
      </c>
      <c r="J26" s="48"/>
      <c r="K26" s="402"/>
      <c r="L26" s="51"/>
      <c r="M26" s="381">
        <v>77581</v>
      </c>
      <c r="N26" s="390">
        <f>8000+14435</f>
        <v>22435</v>
      </c>
    </row>
    <row r="27" spans="1:14" ht="18" thickBot="1" x14ac:dyDescent="0.35">
      <c r="A27" s="25"/>
      <c r="B27" s="375">
        <v>44400</v>
      </c>
      <c r="C27" s="27">
        <v>4891</v>
      </c>
      <c r="D27" s="388" t="s">
        <v>570</v>
      </c>
      <c r="E27" s="377">
        <v>44400</v>
      </c>
      <c r="F27" s="30">
        <v>180617</v>
      </c>
      <c r="G27" s="378"/>
      <c r="H27" s="384">
        <v>44400</v>
      </c>
      <c r="I27" s="43">
        <v>920</v>
      </c>
      <c r="J27" s="232">
        <v>44400</v>
      </c>
      <c r="K27" s="404" t="s">
        <v>551</v>
      </c>
      <c r="L27" s="89">
        <v>10000</v>
      </c>
      <c r="M27" s="381">
        <v>158574</v>
      </c>
      <c r="N27" s="382">
        <v>6232</v>
      </c>
    </row>
    <row r="28" spans="1:14" ht="18" thickBot="1" x14ac:dyDescent="0.35">
      <c r="A28" s="25"/>
      <c r="B28" s="375">
        <v>44401</v>
      </c>
      <c r="C28" s="27">
        <v>5163</v>
      </c>
      <c r="D28" s="388" t="s">
        <v>571</v>
      </c>
      <c r="E28" s="377">
        <v>44401</v>
      </c>
      <c r="F28" s="30">
        <v>262580</v>
      </c>
      <c r="G28" s="378"/>
      <c r="H28" s="384">
        <v>44401</v>
      </c>
      <c r="I28" s="43">
        <v>615</v>
      </c>
      <c r="J28" s="233">
        <v>44401</v>
      </c>
      <c r="K28" s="385" t="s">
        <v>572</v>
      </c>
      <c r="L28" s="89">
        <f>23312.72+400</f>
        <v>23712.720000000001</v>
      </c>
      <c r="M28" s="381">
        <v>232014.24</v>
      </c>
      <c r="N28" s="382">
        <v>7988</v>
      </c>
    </row>
    <row r="29" spans="1:14" ht="18" thickBot="1" x14ac:dyDescent="0.35">
      <c r="A29" s="25"/>
      <c r="B29" s="375">
        <v>44402</v>
      </c>
      <c r="C29" s="27">
        <v>5021</v>
      </c>
      <c r="D29" s="405" t="s">
        <v>565</v>
      </c>
      <c r="E29" s="377">
        <v>44402</v>
      </c>
      <c r="F29" s="30">
        <v>178768</v>
      </c>
      <c r="G29" s="378"/>
      <c r="H29" s="384">
        <v>44402</v>
      </c>
      <c r="I29" s="43">
        <v>720</v>
      </c>
      <c r="J29" s="234"/>
      <c r="K29" s="406"/>
      <c r="L29" s="89"/>
      <c r="M29" s="381">
        <v>168806</v>
      </c>
      <c r="N29" s="382">
        <v>4221</v>
      </c>
    </row>
    <row r="30" spans="1:14" ht="18" thickBot="1" x14ac:dyDescent="0.35">
      <c r="A30" s="25"/>
      <c r="B30" s="375">
        <v>44403</v>
      </c>
      <c r="C30" s="27">
        <v>7198</v>
      </c>
      <c r="D30" s="405" t="s">
        <v>573</v>
      </c>
      <c r="E30" s="377">
        <v>44403</v>
      </c>
      <c r="F30" s="30">
        <v>98284</v>
      </c>
      <c r="G30" s="378"/>
      <c r="H30" s="384">
        <v>44403</v>
      </c>
      <c r="I30" s="74">
        <v>440</v>
      </c>
      <c r="J30" s="175"/>
      <c r="K30" s="407"/>
      <c r="L30" s="271"/>
      <c r="M30" s="381">
        <v>79889</v>
      </c>
      <c r="N30" s="390">
        <f>3700+3309+3748</f>
        <v>10757</v>
      </c>
    </row>
    <row r="31" spans="1:14" ht="18" thickBot="1" x14ac:dyDescent="0.35">
      <c r="A31" s="25"/>
      <c r="B31" s="375">
        <v>44404</v>
      </c>
      <c r="C31" s="78">
        <v>2905</v>
      </c>
      <c r="D31" s="408" t="s">
        <v>574</v>
      </c>
      <c r="E31" s="377">
        <v>44404</v>
      </c>
      <c r="F31" s="30">
        <v>77590</v>
      </c>
      <c r="G31" s="378"/>
      <c r="H31" s="384">
        <v>44404</v>
      </c>
      <c r="I31" s="74">
        <v>3424</v>
      </c>
      <c r="J31" s="175"/>
      <c r="K31" s="409"/>
      <c r="L31" s="68"/>
      <c r="M31" s="381">
        <v>67572</v>
      </c>
      <c r="N31" s="382">
        <v>3689</v>
      </c>
    </row>
    <row r="32" spans="1:14" ht="18" thickBot="1" x14ac:dyDescent="0.35">
      <c r="A32" s="25"/>
      <c r="B32" s="375">
        <v>44405</v>
      </c>
      <c r="C32" s="78">
        <v>10947</v>
      </c>
      <c r="D32" s="410" t="s">
        <v>575</v>
      </c>
      <c r="E32" s="377">
        <v>44405</v>
      </c>
      <c r="F32" s="76">
        <v>119460</v>
      </c>
      <c r="G32" s="378"/>
      <c r="H32" s="384">
        <v>44405</v>
      </c>
      <c r="I32" s="74">
        <v>1761.61</v>
      </c>
      <c r="J32" s="175"/>
      <c r="K32" s="407"/>
      <c r="L32" s="271"/>
      <c r="M32" s="381">
        <v>99506.39</v>
      </c>
      <c r="N32" s="382">
        <v>7245</v>
      </c>
    </row>
    <row r="33" spans="1:14" ht="18" thickBot="1" x14ac:dyDescent="0.35">
      <c r="A33" s="25"/>
      <c r="B33" s="375">
        <v>44406</v>
      </c>
      <c r="C33" s="78">
        <v>2024</v>
      </c>
      <c r="D33" s="411" t="s">
        <v>14</v>
      </c>
      <c r="E33" s="377">
        <v>44406</v>
      </c>
      <c r="F33" s="78">
        <v>109088</v>
      </c>
      <c r="G33" s="378"/>
      <c r="H33" s="384">
        <v>44406</v>
      </c>
      <c r="I33" s="74">
        <v>3787.29</v>
      </c>
      <c r="J33" s="175"/>
      <c r="K33" s="409"/>
      <c r="L33" s="276"/>
      <c r="M33" s="381">
        <v>98280.71</v>
      </c>
      <c r="N33" s="382">
        <v>4996</v>
      </c>
    </row>
    <row r="34" spans="1:14" ht="31.5" thickBot="1" x14ac:dyDescent="0.35">
      <c r="A34" s="25"/>
      <c r="B34" s="375">
        <v>44407</v>
      </c>
      <c r="C34" s="78">
        <v>17457</v>
      </c>
      <c r="D34" s="410" t="s">
        <v>576</v>
      </c>
      <c r="E34" s="377">
        <v>44407</v>
      </c>
      <c r="F34" s="78">
        <v>258851</v>
      </c>
      <c r="G34" s="378"/>
      <c r="H34" s="384">
        <v>44407</v>
      </c>
      <c r="I34" s="74">
        <v>2755</v>
      </c>
      <c r="J34" s="233">
        <v>44407</v>
      </c>
      <c r="K34" s="412" t="s">
        <v>577</v>
      </c>
      <c r="L34" s="10">
        <v>30000</v>
      </c>
      <c r="M34" s="381">
        <v>197380</v>
      </c>
      <c r="N34" s="382">
        <v>11259</v>
      </c>
    </row>
    <row r="35" spans="1:14" ht="18" thickBot="1" x14ac:dyDescent="0.35">
      <c r="A35" s="25"/>
      <c r="B35" s="375">
        <v>44408</v>
      </c>
      <c r="C35" s="78">
        <v>7664.5</v>
      </c>
      <c r="D35" s="413" t="s">
        <v>578</v>
      </c>
      <c r="E35" s="377">
        <v>44408</v>
      </c>
      <c r="F35" s="78">
        <v>206486</v>
      </c>
      <c r="G35" s="378"/>
      <c r="H35" s="384">
        <v>44408</v>
      </c>
      <c r="I35" s="74">
        <v>1874</v>
      </c>
      <c r="J35" s="233">
        <v>44408</v>
      </c>
      <c r="K35" s="403" t="s">
        <v>579</v>
      </c>
      <c r="L35" s="78">
        <f>23312.72+400</f>
        <v>23712.720000000001</v>
      </c>
      <c r="M35" s="381">
        <v>173618.5</v>
      </c>
      <c r="N35" s="382">
        <v>6530</v>
      </c>
    </row>
    <row r="36" spans="1:14" ht="16.5" thickBot="1" x14ac:dyDescent="0.3">
      <c r="A36" s="25"/>
      <c r="B36" s="375">
        <v>44409</v>
      </c>
      <c r="C36" s="78">
        <v>1054</v>
      </c>
      <c r="D36" s="408" t="s">
        <v>580</v>
      </c>
      <c r="E36" s="377">
        <v>44409</v>
      </c>
      <c r="F36" s="78">
        <v>148357</v>
      </c>
      <c r="G36" s="378"/>
      <c r="H36" s="384">
        <v>44409</v>
      </c>
      <c r="I36" s="74">
        <v>700</v>
      </c>
      <c r="J36" s="175"/>
      <c r="K36" s="414"/>
      <c r="L36" s="278"/>
      <c r="M36" s="415">
        <v>129489</v>
      </c>
      <c r="N36" s="382">
        <v>17114</v>
      </c>
    </row>
    <row r="37" spans="1:14" ht="18" thickBot="1" x14ac:dyDescent="0.35">
      <c r="A37" s="25"/>
      <c r="B37" s="375">
        <v>44410</v>
      </c>
      <c r="C37" s="78">
        <v>21609</v>
      </c>
      <c r="D37" s="410" t="s">
        <v>581</v>
      </c>
      <c r="E37" s="377">
        <v>44410</v>
      </c>
      <c r="F37" s="200">
        <v>80970</v>
      </c>
      <c r="G37" s="378"/>
      <c r="H37" s="384">
        <v>44410</v>
      </c>
      <c r="I37" s="74">
        <v>490</v>
      </c>
      <c r="J37" s="175"/>
      <c r="K37" s="409"/>
      <c r="L37" s="276"/>
      <c r="M37" s="416">
        <v>52350</v>
      </c>
      <c r="N37" s="390">
        <f>6476+45</f>
        <v>6521</v>
      </c>
    </row>
    <row r="38" spans="1:14" ht="18" thickBot="1" x14ac:dyDescent="0.35">
      <c r="A38" s="25"/>
      <c r="B38" s="375">
        <v>44411</v>
      </c>
      <c r="C38" s="78">
        <v>2035</v>
      </c>
      <c r="D38" s="411" t="s">
        <v>134</v>
      </c>
      <c r="E38" s="377">
        <v>44411</v>
      </c>
      <c r="F38" s="200">
        <v>212722</v>
      </c>
      <c r="G38" s="378"/>
      <c r="H38" s="384">
        <v>44411</v>
      </c>
      <c r="I38" s="74">
        <v>707</v>
      </c>
      <c r="J38" s="175"/>
      <c r="K38" s="409"/>
      <c r="L38" s="276"/>
      <c r="M38" s="417">
        <v>185490</v>
      </c>
      <c r="N38" s="418">
        <v>24490</v>
      </c>
    </row>
    <row r="39" spans="1:14" ht="18.75" thickTop="1" thickBot="1" x14ac:dyDescent="0.35">
      <c r="A39" s="25"/>
      <c r="B39" s="375"/>
      <c r="C39" s="78"/>
      <c r="D39" s="408"/>
      <c r="E39" s="377"/>
      <c r="F39" s="419"/>
      <c r="G39" s="378"/>
      <c r="H39" s="384"/>
      <c r="I39" s="74"/>
      <c r="J39" s="175"/>
      <c r="K39" s="420"/>
      <c r="L39" s="271"/>
      <c r="M39" s="421">
        <f>SUM(M5:M38)</f>
        <v>3989872.22</v>
      </c>
      <c r="N39" s="422">
        <f>SUM(N5:N38)</f>
        <v>688820.5</v>
      </c>
    </row>
    <row r="40" spans="1:14" ht="18" thickBot="1" x14ac:dyDescent="0.35">
      <c r="A40" s="25"/>
      <c r="B40" s="375"/>
      <c r="C40" s="78"/>
      <c r="D40" s="408"/>
      <c r="E40" s="377"/>
      <c r="F40" s="419"/>
      <c r="G40" s="378"/>
      <c r="H40" s="384"/>
      <c r="I40" s="74"/>
      <c r="J40" s="175" t="s">
        <v>582</v>
      </c>
      <c r="K40" s="409" t="s">
        <v>513</v>
      </c>
      <c r="L40" s="271">
        <f>1145.91+398.99+423.94+498.99+398.99</f>
        <v>2866.8199999999997</v>
      </c>
      <c r="M40" s="423"/>
      <c r="N40" s="424"/>
    </row>
    <row r="41" spans="1:14" ht="18" thickBot="1" x14ac:dyDescent="0.35">
      <c r="A41" s="25"/>
      <c r="B41" s="425">
        <v>44378</v>
      </c>
      <c r="C41" s="80">
        <v>25009.35</v>
      </c>
      <c r="D41" s="408" t="s">
        <v>236</v>
      </c>
      <c r="E41" s="377"/>
      <c r="F41" s="426"/>
      <c r="G41" s="378"/>
      <c r="H41" s="384"/>
      <c r="I41" s="74"/>
      <c r="J41" s="175" t="s">
        <v>582</v>
      </c>
      <c r="K41" s="409" t="s">
        <v>239</v>
      </c>
      <c r="L41" s="271">
        <v>549</v>
      </c>
      <c r="M41" s="141"/>
      <c r="N41" s="141"/>
    </row>
    <row r="42" spans="1:14" ht="18" thickBot="1" x14ac:dyDescent="0.35">
      <c r="A42" s="25"/>
      <c r="B42" s="425">
        <v>44380</v>
      </c>
      <c r="C42" s="80">
        <v>19576.650000000001</v>
      </c>
      <c r="D42" s="408" t="s">
        <v>236</v>
      </c>
      <c r="E42" s="377"/>
      <c r="F42" s="427"/>
      <c r="G42" s="378"/>
      <c r="H42" s="384"/>
      <c r="I42" s="74"/>
      <c r="J42" s="175" t="s">
        <v>583</v>
      </c>
      <c r="K42" s="409" t="s">
        <v>332</v>
      </c>
      <c r="L42" s="271">
        <v>798</v>
      </c>
      <c r="M42" s="141"/>
      <c r="N42" s="141"/>
    </row>
    <row r="43" spans="1:14" ht="18" thickBot="1" x14ac:dyDescent="0.35">
      <c r="A43" s="25"/>
      <c r="B43" s="425">
        <v>44384</v>
      </c>
      <c r="C43" s="80">
        <v>32031.17</v>
      </c>
      <c r="D43" s="408" t="s">
        <v>236</v>
      </c>
      <c r="E43" s="377"/>
      <c r="F43" s="427"/>
      <c r="G43" s="378"/>
      <c r="H43" s="384"/>
      <c r="I43" s="74"/>
      <c r="J43" s="175" t="s">
        <v>583</v>
      </c>
      <c r="K43" s="409" t="s">
        <v>144</v>
      </c>
      <c r="L43" s="271">
        <f>9180+9180+9345+9180</f>
        <v>36885</v>
      </c>
      <c r="M43" s="141"/>
      <c r="N43" s="141"/>
    </row>
    <row r="44" spans="1:14" ht="18" thickBot="1" x14ac:dyDescent="0.35">
      <c r="A44" s="25"/>
      <c r="B44" s="425">
        <v>44386</v>
      </c>
      <c r="C44" s="80">
        <v>17767.02</v>
      </c>
      <c r="D44" s="408" t="s">
        <v>236</v>
      </c>
      <c r="E44" s="377"/>
      <c r="F44" s="385"/>
      <c r="G44" s="378"/>
      <c r="H44" s="384"/>
      <c r="I44" s="74"/>
      <c r="J44" s="175" t="s">
        <v>582</v>
      </c>
      <c r="K44" s="428" t="s">
        <v>506</v>
      </c>
      <c r="L44" s="276">
        <v>73526</v>
      </c>
      <c r="M44" s="429" t="s">
        <v>477</v>
      </c>
      <c r="N44" s="429"/>
    </row>
    <row r="45" spans="1:14" ht="16.5" thickBot="1" x14ac:dyDescent="0.3">
      <c r="A45" s="25"/>
      <c r="B45" s="425">
        <v>44391</v>
      </c>
      <c r="C45" s="80">
        <v>22444</v>
      </c>
      <c r="D45" s="408" t="s">
        <v>236</v>
      </c>
      <c r="E45" s="377"/>
      <c r="F45" s="385"/>
      <c r="G45" s="378"/>
      <c r="H45" s="384"/>
      <c r="I45" s="74"/>
      <c r="J45" s="175" t="s">
        <v>583</v>
      </c>
      <c r="K45" s="428" t="s">
        <v>151</v>
      </c>
      <c r="L45" s="276">
        <v>10000</v>
      </c>
      <c r="M45" s="430">
        <v>341970</v>
      </c>
      <c r="N45" s="431">
        <v>44382</v>
      </c>
    </row>
    <row r="46" spans="1:14" ht="16.5" thickBot="1" x14ac:dyDescent="0.3">
      <c r="A46" s="25"/>
      <c r="B46" s="425">
        <v>44393</v>
      </c>
      <c r="C46" s="80">
        <v>11203.5</v>
      </c>
      <c r="D46" s="408" t="s">
        <v>236</v>
      </c>
      <c r="E46" s="377"/>
      <c r="F46" s="385"/>
      <c r="G46" s="378"/>
      <c r="H46" s="384"/>
      <c r="I46" s="74"/>
      <c r="J46" s="175" t="s">
        <v>583</v>
      </c>
      <c r="K46" s="432" t="s">
        <v>201</v>
      </c>
      <c r="L46" s="68">
        <v>18104.22</v>
      </c>
      <c r="M46" s="433">
        <v>203050</v>
      </c>
      <c r="N46" s="431">
        <v>44386</v>
      </c>
    </row>
    <row r="47" spans="1:14" ht="16.5" thickBot="1" x14ac:dyDescent="0.3">
      <c r="A47" s="25"/>
      <c r="B47" s="425">
        <v>44396</v>
      </c>
      <c r="C47" s="80">
        <v>15376.78</v>
      </c>
      <c r="D47" s="408" t="s">
        <v>236</v>
      </c>
      <c r="E47" s="377"/>
      <c r="F47" s="385"/>
      <c r="G47" s="378"/>
      <c r="H47" s="384"/>
      <c r="I47" s="74"/>
      <c r="J47" s="175" t="s">
        <v>583</v>
      </c>
      <c r="K47" s="409" t="s">
        <v>584</v>
      </c>
      <c r="L47" s="68">
        <v>580</v>
      </c>
      <c r="M47" s="433">
        <v>183700</v>
      </c>
      <c r="N47" s="431">
        <v>44386</v>
      </c>
    </row>
    <row r="48" spans="1:14" ht="16.5" thickBot="1" x14ac:dyDescent="0.3">
      <c r="A48" s="25"/>
      <c r="B48" s="425">
        <v>44399</v>
      </c>
      <c r="C48" s="78">
        <v>23529.78</v>
      </c>
      <c r="D48" s="408" t="s">
        <v>236</v>
      </c>
      <c r="E48" s="434"/>
      <c r="F48" s="86"/>
      <c r="G48" s="378"/>
      <c r="H48" s="384"/>
      <c r="I48" s="74"/>
      <c r="J48" s="175" t="s">
        <v>583</v>
      </c>
      <c r="K48" s="409" t="s">
        <v>585</v>
      </c>
      <c r="L48" s="68">
        <v>11880</v>
      </c>
      <c r="M48" s="435">
        <v>329090</v>
      </c>
      <c r="N48" s="436">
        <v>44389</v>
      </c>
    </row>
    <row r="49" spans="1:14" ht="16.5" thickBot="1" x14ac:dyDescent="0.3">
      <c r="A49" s="25"/>
      <c r="B49" s="425">
        <v>44404</v>
      </c>
      <c r="C49" s="78">
        <v>13087.5</v>
      </c>
      <c r="D49" s="408" t="s">
        <v>236</v>
      </c>
      <c r="E49" s="434"/>
      <c r="F49" s="86"/>
      <c r="G49" s="378"/>
      <c r="H49" s="384"/>
      <c r="I49" s="74"/>
      <c r="J49" s="175" t="s">
        <v>583</v>
      </c>
      <c r="K49" s="409" t="s">
        <v>586</v>
      </c>
      <c r="L49" s="68">
        <v>370</v>
      </c>
      <c r="M49" s="437">
        <v>174070</v>
      </c>
      <c r="N49" s="436">
        <v>44392</v>
      </c>
    </row>
    <row r="50" spans="1:14" ht="16.5" thickBot="1" x14ac:dyDescent="0.3">
      <c r="A50" s="25"/>
      <c r="B50" s="425">
        <v>44407</v>
      </c>
      <c r="C50" s="78">
        <v>29170.44</v>
      </c>
      <c r="D50" s="408" t="s">
        <v>236</v>
      </c>
      <c r="E50" s="438"/>
      <c r="F50" s="86"/>
      <c r="G50" s="378"/>
      <c r="H50" s="384"/>
      <c r="I50" s="74"/>
      <c r="J50" s="175" t="s">
        <v>583</v>
      </c>
      <c r="K50" s="409" t="s">
        <v>587</v>
      </c>
      <c r="L50" s="68">
        <v>9000</v>
      </c>
      <c r="M50" s="437">
        <v>339360</v>
      </c>
      <c r="N50" s="431">
        <v>44396</v>
      </c>
    </row>
    <row r="51" spans="1:14" ht="16.5" thickBot="1" x14ac:dyDescent="0.3">
      <c r="A51" s="25"/>
      <c r="B51" s="425" t="s">
        <v>583</v>
      </c>
      <c r="C51" s="78">
        <f>50556.69+25240.83+54215.65</f>
        <v>130013.17000000001</v>
      </c>
      <c r="D51" s="408" t="s">
        <v>588</v>
      </c>
      <c r="E51" s="438"/>
      <c r="F51" s="86"/>
      <c r="G51" s="378"/>
      <c r="H51" s="384"/>
      <c r="I51" s="74"/>
      <c r="J51" s="175" t="s">
        <v>583</v>
      </c>
      <c r="K51" s="409" t="s">
        <v>511</v>
      </c>
      <c r="L51" s="68">
        <f>399+399</f>
        <v>798</v>
      </c>
      <c r="M51" s="437">
        <v>260000</v>
      </c>
      <c r="N51" s="431">
        <v>44398</v>
      </c>
    </row>
    <row r="52" spans="1:14" ht="16.5" thickBot="1" x14ac:dyDescent="0.3">
      <c r="A52" s="25"/>
      <c r="B52" s="425" t="s">
        <v>583</v>
      </c>
      <c r="C52" s="78">
        <f>50000+399950</f>
        <v>449950</v>
      </c>
      <c r="D52" s="408" t="s">
        <v>589</v>
      </c>
      <c r="E52" s="377"/>
      <c r="F52" s="78"/>
      <c r="G52" s="378"/>
      <c r="H52" s="384"/>
      <c r="I52" s="74"/>
      <c r="J52" s="175" t="s">
        <v>583</v>
      </c>
      <c r="K52" s="409" t="s">
        <v>590</v>
      </c>
      <c r="L52" s="68">
        <v>5670</v>
      </c>
      <c r="M52" s="437">
        <v>313100</v>
      </c>
      <c r="N52" s="431">
        <v>44400</v>
      </c>
    </row>
    <row r="53" spans="1:14" ht="19.5" thickBot="1" x14ac:dyDescent="0.35">
      <c r="A53" s="25"/>
      <c r="B53" s="425"/>
      <c r="C53" s="78"/>
      <c r="D53" s="439"/>
      <c r="E53" s="377"/>
      <c r="F53" s="78"/>
      <c r="G53" s="378"/>
      <c r="H53" s="384"/>
      <c r="I53" s="74" t="s">
        <v>11</v>
      </c>
      <c r="J53" s="175" t="s">
        <v>583</v>
      </c>
      <c r="K53" s="432" t="s">
        <v>591</v>
      </c>
      <c r="L53" s="68">
        <f>13688+2320</f>
        <v>16008</v>
      </c>
      <c r="M53" s="437">
        <v>460570</v>
      </c>
      <c r="N53" s="431">
        <v>44403</v>
      </c>
    </row>
    <row r="54" spans="1:14" ht="19.5" thickBot="1" x14ac:dyDescent="0.35">
      <c r="A54" s="25"/>
      <c r="B54" s="425"/>
      <c r="C54" s="78"/>
      <c r="D54" s="439"/>
      <c r="E54" s="377"/>
      <c r="F54" s="78"/>
      <c r="G54" s="378"/>
      <c r="H54" s="384"/>
      <c r="I54" s="74"/>
      <c r="J54" s="175" t="s">
        <v>583</v>
      </c>
      <c r="K54" s="440" t="s">
        <v>42</v>
      </c>
      <c r="L54" s="68">
        <f>1394.81+986.84</f>
        <v>2381.65</v>
      </c>
      <c r="M54" s="441">
        <v>415730</v>
      </c>
      <c r="N54" s="442">
        <v>44407</v>
      </c>
    </row>
    <row r="55" spans="1:14" ht="19.5" thickBot="1" x14ac:dyDescent="0.35">
      <c r="A55" s="25"/>
      <c r="B55" s="425"/>
      <c r="C55" s="78"/>
      <c r="D55" s="439"/>
      <c r="E55" s="377"/>
      <c r="F55" s="78"/>
      <c r="G55" s="378"/>
      <c r="H55" s="384"/>
      <c r="I55" s="74"/>
      <c r="J55" s="175" t="s">
        <v>583</v>
      </c>
      <c r="K55" s="280" t="s">
        <v>592</v>
      </c>
      <c r="L55" s="68">
        <v>55555.55</v>
      </c>
      <c r="M55" s="441">
        <v>295640</v>
      </c>
      <c r="N55" s="431">
        <v>44410</v>
      </c>
    </row>
    <row r="56" spans="1:14" ht="19.5" thickBot="1" x14ac:dyDescent="0.35">
      <c r="A56" s="25"/>
      <c r="B56" s="425"/>
      <c r="C56" s="78"/>
      <c r="D56" s="439"/>
      <c r="E56" s="443"/>
      <c r="F56" s="99"/>
      <c r="G56" s="378"/>
      <c r="H56" s="444"/>
      <c r="I56" s="100"/>
      <c r="J56" s="175" t="s">
        <v>583</v>
      </c>
      <c r="K56" s="445" t="s">
        <v>593</v>
      </c>
      <c r="L56" s="446">
        <v>11485.41</v>
      </c>
      <c r="M56" s="447">
        <v>290470</v>
      </c>
      <c r="N56" s="431">
        <v>44414</v>
      </c>
    </row>
    <row r="57" spans="1:14" ht="15.75" thickBot="1" x14ac:dyDescent="0.3">
      <c r="A57" s="25"/>
      <c r="B57" s="425"/>
      <c r="C57" s="78"/>
      <c r="D57" s="448"/>
      <c r="E57" s="443"/>
      <c r="F57" s="99"/>
      <c r="G57" s="378"/>
      <c r="H57" s="444"/>
      <c r="I57" s="100"/>
      <c r="J57" s="237" t="s">
        <v>582</v>
      </c>
      <c r="K57" s="414" t="s">
        <v>594</v>
      </c>
      <c r="L57" s="446">
        <v>7482</v>
      </c>
      <c r="M57" s="449">
        <f>SUM(M45:M56)</f>
        <v>3606750</v>
      </c>
      <c r="N57" s="450"/>
    </row>
    <row r="58" spans="1:14" ht="15.75" thickBot="1" x14ac:dyDescent="0.3">
      <c r="A58" s="25"/>
      <c r="B58" s="425"/>
      <c r="C58" s="78"/>
      <c r="D58" s="448"/>
      <c r="E58" s="443"/>
      <c r="F58" s="99"/>
      <c r="G58" s="378"/>
      <c r="H58" s="444"/>
      <c r="I58" s="100"/>
      <c r="J58" s="237" t="s">
        <v>582</v>
      </c>
      <c r="K58" s="440" t="s">
        <v>46</v>
      </c>
      <c r="L58" s="446">
        <v>986</v>
      </c>
      <c r="M58" s="451"/>
      <c r="N58" s="450"/>
    </row>
    <row r="59" spans="1:14" ht="15.75" thickBot="1" x14ac:dyDescent="0.3">
      <c r="A59" s="25"/>
      <c r="B59" s="425"/>
      <c r="C59" s="78"/>
      <c r="D59" s="448"/>
      <c r="E59" s="443"/>
      <c r="F59" s="99"/>
      <c r="G59" s="378"/>
      <c r="H59" s="444"/>
      <c r="I59" s="100"/>
      <c r="J59" s="237" t="s">
        <v>582</v>
      </c>
      <c r="K59" s="277" t="s">
        <v>595</v>
      </c>
      <c r="L59" s="446">
        <v>5878.28</v>
      </c>
      <c r="M59" s="452"/>
      <c r="N59" s="36"/>
    </row>
    <row r="60" spans="1:14" ht="18" thickBot="1" x14ac:dyDescent="0.35">
      <c r="A60" s="25"/>
      <c r="B60" s="453"/>
      <c r="C60" s="78"/>
      <c r="D60" s="448"/>
      <c r="E60" s="443"/>
      <c r="F60" s="99"/>
      <c r="G60" s="378"/>
      <c r="H60" s="444"/>
      <c r="I60" s="100"/>
      <c r="J60" s="237" t="s">
        <v>582</v>
      </c>
      <c r="K60" s="454" t="s">
        <v>596</v>
      </c>
      <c r="L60" s="446">
        <f>1033.33+165.33</f>
        <v>1198.6599999999999</v>
      </c>
      <c r="M60" s="455" t="s">
        <v>597</v>
      </c>
      <c r="N60" s="456"/>
    </row>
    <row r="61" spans="1:14" ht="15.75" thickBot="1" x14ac:dyDescent="0.3">
      <c r="A61" s="25"/>
      <c r="B61" s="453"/>
      <c r="C61" s="78"/>
      <c r="D61" s="448"/>
      <c r="E61" s="443"/>
      <c r="F61" s="99"/>
      <c r="G61" s="378"/>
      <c r="H61" s="444"/>
      <c r="I61" s="100"/>
      <c r="J61" s="237" t="s">
        <v>582</v>
      </c>
      <c r="K61" s="457" t="s">
        <v>598</v>
      </c>
      <c r="L61" s="458">
        <v>24433.22</v>
      </c>
      <c r="M61" s="35"/>
      <c r="N61" s="36"/>
    </row>
    <row r="62" spans="1:14" ht="15.75" thickBot="1" x14ac:dyDescent="0.3">
      <c r="A62" s="25"/>
      <c r="B62" s="453"/>
      <c r="C62" s="78"/>
      <c r="D62" s="448"/>
      <c r="E62" s="443"/>
      <c r="F62" s="99"/>
      <c r="G62" s="378"/>
      <c r="H62" s="444"/>
      <c r="I62" s="100"/>
      <c r="J62" s="237" t="s">
        <v>582</v>
      </c>
      <c r="K62" s="277" t="s">
        <v>420</v>
      </c>
      <c r="L62" s="446">
        <v>22595.71</v>
      </c>
      <c r="M62" s="459">
        <f>M57-M39</f>
        <v>-383122.2200000002</v>
      </c>
      <c r="N62" s="460"/>
    </row>
    <row r="63" spans="1:14" ht="15.75" thickBot="1" x14ac:dyDescent="0.3">
      <c r="A63" s="25"/>
      <c r="B63" s="453"/>
      <c r="C63" s="78"/>
      <c r="D63" s="448"/>
      <c r="E63" s="443"/>
      <c r="F63" s="99"/>
      <c r="G63" s="378"/>
      <c r="H63" s="444"/>
      <c r="I63" s="100"/>
      <c r="J63" s="237" t="s">
        <v>582</v>
      </c>
      <c r="K63" s="277" t="s">
        <v>421</v>
      </c>
      <c r="L63" s="446">
        <v>1064</v>
      </c>
      <c r="M63" s="461"/>
      <c r="N63" s="462"/>
    </row>
    <row r="64" spans="1:14" ht="15.75" thickBot="1" x14ac:dyDescent="0.3">
      <c r="A64" s="25"/>
      <c r="B64" s="453"/>
      <c r="C64" s="78"/>
      <c r="D64" s="448"/>
      <c r="E64" s="443"/>
      <c r="F64" s="99"/>
      <c r="G64" s="378"/>
      <c r="H64" s="444"/>
      <c r="I64" s="100"/>
      <c r="J64" s="237" t="s">
        <v>582</v>
      </c>
      <c r="K64" s="277" t="s">
        <v>599</v>
      </c>
      <c r="L64" s="446">
        <v>10440</v>
      </c>
      <c r="M64" s="35"/>
      <c r="N64" s="36"/>
    </row>
    <row r="65" spans="1:14" ht="15.75" thickBot="1" x14ac:dyDescent="0.3">
      <c r="A65" s="25"/>
      <c r="B65" s="26"/>
      <c r="C65" s="78"/>
      <c r="D65" s="102"/>
      <c r="E65" s="98"/>
      <c r="F65" s="99"/>
      <c r="H65" s="91"/>
      <c r="I65" s="100"/>
      <c r="J65" s="237" t="s">
        <v>582</v>
      </c>
      <c r="K65" s="463"/>
      <c r="L65" s="446"/>
      <c r="M65" s="35"/>
      <c r="N65" s="36"/>
    </row>
    <row r="66" spans="1:14" ht="15.75" thickBot="1" x14ac:dyDescent="0.3">
      <c r="A66" s="25"/>
      <c r="B66" s="26"/>
      <c r="C66" s="27">
        <v>0</v>
      </c>
      <c r="D66" s="102"/>
      <c r="E66" s="98"/>
      <c r="F66" s="99"/>
      <c r="H66" s="91"/>
      <c r="I66" s="100"/>
      <c r="J66" s="237" t="s">
        <v>582</v>
      </c>
      <c r="K66" s="464"/>
      <c r="L66" s="10"/>
      <c r="M66" s="35"/>
      <c r="N66" s="36"/>
    </row>
    <row r="67" spans="1:14" ht="16.5" thickBot="1" x14ac:dyDescent="0.3">
      <c r="B67" s="104" t="s">
        <v>57</v>
      </c>
      <c r="C67" s="105">
        <f>SUM(C5:C66)</f>
        <v>1044639.36</v>
      </c>
      <c r="D67" s="106"/>
      <c r="E67" s="107" t="s">
        <v>57</v>
      </c>
      <c r="F67" s="108">
        <f>SUM(F5:F66)</f>
        <v>5068756</v>
      </c>
      <c r="G67" s="106"/>
      <c r="H67" s="109" t="s">
        <v>58</v>
      </c>
      <c r="I67" s="110">
        <f>SUM(I5:I66)</f>
        <v>53841.9</v>
      </c>
      <c r="J67" s="111"/>
      <c r="K67" s="112" t="s">
        <v>59</v>
      </c>
      <c r="L67" s="113">
        <f>SUM(L5:L66)</f>
        <v>533364.22</v>
      </c>
      <c r="M67" s="114"/>
      <c r="N67" s="114"/>
    </row>
    <row r="68" spans="1:14" ht="16.5" thickTop="1" thickBot="1" x14ac:dyDescent="0.3">
      <c r="C68" s="5" t="s">
        <v>11</v>
      </c>
    </row>
    <row r="69" spans="1:14" ht="19.5" thickBot="1" x14ac:dyDescent="0.3">
      <c r="A69" s="58"/>
      <c r="B69" s="115"/>
      <c r="C69" s="4"/>
      <c r="H69" s="325" t="s">
        <v>60</v>
      </c>
      <c r="I69" s="326"/>
      <c r="J69" s="116"/>
      <c r="K69" s="327">
        <f>I67+L67</f>
        <v>587206.12</v>
      </c>
      <c r="L69" s="328"/>
      <c r="M69" s="465"/>
      <c r="N69" s="466"/>
    </row>
    <row r="70" spans="1:14" ht="15.75" x14ac:dyDescent="0.25">
      <c r="D70" s="317" t="s">
        <v>61</v>
      </c>
      <c r="E70" s="317"/>
      <c r="F70" s="117">
        <f>F67-K69-C67</f>
        <v>3436910.52</v>
      </c>
      <c r="I70" s="118"/>
      <c r="J70" s="119"/>
    </row>
    <row r="71" spans="1:14" ht="18.75" x14ac:dyDescent="0.3">
      <c r="D71" s="318" t="s">
        <v>429</v>
      </c>
      <c r="E71" s="318"/>
      <c r="F71" s="114">
        <v>-3290264.27</v>
      </c>
      <c r="I71" s="319" t="s">
        <v>63</v>
      </c>
      <c r="J71" s="320"/>
      <c r="K71" s="321">
        <f>F73+F74+F75</f>
        <v>426565.1</v>
      </c>
      <c r="L71" s="322"/>
    </row>
    <row r="72" spans="1:14" ht="19.5" thickBot="1" x14ac:dyDescent="0.35">
      <c r="D72" s="120"/>
      <c r="E72" s="58"/>
      <c r="F72" s="121">
        <v>0</v>
      </c>
      <c r="I72" s="122"/>
      <c r="J72" s="123"/>
      <c r="K72" s="124"/>
      <c r="L72" s="125"/>
    </row>
    <row r="73" spans="1:14" ht="19.5" thickTop="1" x14ac:dyDescent="0.3">
      <c r="C73" s="6" t="s">
        <v>11</v>
      </c>
      <c r="E73" s="58" t="s">
        <v>64</v>
      </c>
      <c r="F73" s="114">
        <f>SUM(F70:F72)</f>
        <v>146646.25</v>
      </c>
      <c r="H73" s="25"/>
      <c r="I73" s="126" t="s">
        <v>65</v>
      </c>
      <c r="J73" s="127"/>
      <c r="K73" s="323">
        <f>-C4</f>
        <v>-308642.71999999997</v>
      </c>
      <c r="L73" s="467"/>
    </row>
    <row r="74" spans="1:14" ht="16.5" thickBot="1" x14ac:dyDescent="0.3">
      <c r="D74" s="87" t="s">
        <v>66</v>
      </c>
      <c r="E74" s="58" t="s">
        <v>67</v>
      </c>
      <c r="F74" s="129">
        <v>29778</v>
      </c>
    </row>
    <row r="75" spans="1:14" ht="20.25" thickTop="1" thickBot="1" x14ac:dyDescent="0.35">
      <c r="C75" s="130">
        <v>44410</v>
      </c>
      <c r="D75" s="309" t="s">
        <v>68</v>
      </c>
      <c r="E75" s="310"/>
      <c r="F75" s="131">
        <v>250140.85</v>
      </c>
      <c r="I75" s="311" t="s">
        <v>69</v>
      </c>
      <c r="J75" s="312"/>
      <c r="K75" s="313">
        <f>K71+K73</f>
        <v>117922.38</v>
      </c>
      <c r="L75" s="313"/>
    </row>
    <row r="76" spans="1:14" ht="18" thickBot="1" x14ac:dyDescent="0.35">
      <c r="C76" s="132"/>
      <c r="D76" s="133"/>
      <c r="E76" s="134"/>
      <c r="F76" s="135"/>
      <c r="J76" s="136"/>
    </row>
    <row r="77" spans="1:14" x14ac:dyDescent="0.25">
      <c r="I77" s="468" t="s">
        <v>547</v>
      </c>
      <c r="J77" s="469"/>
      <c r="K77" s="470">
        <v>-383122.22</v>
      </c>
      <c r="L77" s="471"/>
    </row>
    <row r="78" spans="1:14" ht="16.5" thickBot="1" x14ac:dyDescent="0.3">
      <c r="B78" s="138"/>
      <c r="C78" s="139"/>
      <c r="D78" s="140"/>
      <c r="E78" s="141"/>
      <c r="I78" s="472"/>
      <c r="J78" s="473"/>
      <c r="K78" s="474"/>
      <c r="L78" s="475"/>
      <c r="M78" s="2"/>
      <c r="N78" s="58"/>
    </row>
    <row r="79" spans="1:14" ht="15.75" x14ac:dyDescent="0.25">
      <c r="B79" s="138"/>
      <c r="C79" s="142"/>
      <c r="E79" s="141"/>
      <c r="M79" s="2"/>
      <c r="N79" s="58"/>
    </row>
    <row r="80" spans="1:14" ht="15.75" x14ac:dyDescent="0.25">
      <c r="B80" s="138"/>
      <c r="C80" s="142"/>
      <c r="E80" s="141"/>
      <c r="F80" s="143"/>
      <c r="L80" s="144"/>
      <c r="M80" s="4"/>
    </row>
    <row r="81" spans="2:13" ht="15.75" x14ac:dyDescent="0.25">
      <c r="B81" s="138"/>
      <c r="C81" s="142"/>
      <c r="E81" s="141"/>
      <c r="M81" s="4"/>
    </row>
    <row r="82" spans="2:13" ht="15.75" x14ac:dyDescent="0.25">
      <c r="B82" s="138"/>
      <c r="C82" s="142"/>
      <c r="D82" s="476"/>
      <c r="E82" s="141"/>
      <c r="F82" s="208"/>
      <c r="M82" s="4"/>
    </row>
    <row r="83" spans="2:13" x14ac:dyDescent="0.25">
      <c r="D83" s="476"/>
      <c r="E83" s="477"/>
      <c r="F83" s="141"/>
      <c r="M83" s="4"/>
    </row>
    <row r="84" spans="2:13" x14ac:dyDescent="0.25">
      <c r="D84" s="476"/>
      <c r="E84" s="477"/>
      <c r="F84" s="141"/>
      <c r="M84" s="4"/>
    </row>
    <row r="85" spans="2:13" x14ac:dyDescent="0.25">
      <c r="D85" s="476"/>
      <c r="E85" s="477"/>
      <c r="F85" s="141"/>
      <c r="M85" s="4"/>
    </row>
    <row r="86" spans="2:13" x14ac:dyDescent="0.25">
      <c r="D86" s="476"/>
      <c r="E86" s="477"/>
      <c r="F86" s="141"/>
      <c r="M86" s="4"/>
    </row>
    <row r="87" spans="2:13" x14ac:dyDescent="0.25">
      <c r="D87" s="476"/>
      <c r="E87" s="477"/>
      <c r="F87" s="141"/>
      <c r="M87" s="4"/>
    </row>
    <row r="88" spans="2:13" x14ac:dyDescent="0.25">
      <c r="D88" s="476"/>
      <c r="E88" s="477"/>
      <c r="F88" s="141"/>
      <c r="M88" s="4"/>
    </row>
    <row r="89" spans="2:13" x14ac:dyDescent="0.25">
      <c r="D89" s="476"/>
      <c r="E89" s="477"/>
      <c r="F89" s="141"/>
      <c r="M89" s="4"/>
    </row>
    <row r="90" spans="2:13" x14ac:dyDescent="0.25">
      <c r="D90" s="476"/>
      <c r="E90" s="477"/>
      <c r="F90" s="141"/>
      <c r="M90" s="4"/>
    </row>
    <row r="91" spans="2:13" x14ac:dyDescent="0.25">
      <c r="D91" s="476"/>
      <c r="E91" s="477"/>
      <c r="F91" s="141"/>
      <c r="M91" s="4"/>
    </row>
    <row r="92" spans="2:13" x14ac:dyDescent="0.25">
      <c r="D92" s="476"/>
      <c r="E92" s="477"/>
      <c r="F92" s="141"/>
      <c r="M92" s="4"/>
    </row>
    <row r="93" spans="2:13" x14ac:dyDescent="0.25">
      <c r="D93" s="476"/>
      <c r="E93" s="477"/>
      <c r="F93" s="141"/>
      <c r="M93" s="4"/>
    </row>
    <row r="94" spans="2:13" x14ac:dyDescent="0.25">
      <c r="D94" s="476"/>
      <c r="E94" s="477"/>
      <c r="F94" s="141"/>
    </row>
    <row r="95" spans="2:13" x14ac:dyDescent="0.25">
      <c r="D95" s="476"/>
      <c r="E95" s="476"/>
      <c r="F95" s="208"/>
    </row>
    <row r="96" spans="2:13" x14ac:dyDescent="0.25">
      <c r="D96" s="476"/>
      <c r="E96" s="476"/>
      <c r="F96" s="208"/>
    </row>
    <row r="97" spans="4:6" x14ac:dyDescent="0.25">
      <c r="D97" s="476"/>
      <c r="E97" s="476"/>
      <c r="F97" s="208"/>
    </row>
  </sheetData>
  <mergeCells count="24">
    <mergeCell ref="K73:L73"/>
    <mergeCell ref="D75:E75"/>
    <mergeCell ref="I75:J75"/>
    <mergeCell ref="K75:L75"/>
    <mergeCell ref="I77:J78"/>
    <mergeCell ref="K77:L78"/>
    <mergeCell ref="H69:I69"/>
    <mergeCell ref="K69:L69"/>
    <mergeCell ref="D70:E70"/>
    <mergeCell ref="D71:E71"/>
    <mergeCell ref="I71:J71"/>
    <mergeCell ref="K71:L71"/>
    <mergeCell ref="M39:M40"/>
    <mergeCell ref="N39:N40"/>
    <mergeCell ref="M44:N44"/>
    <mergeCell ref="M57:M58"/>
    <mergeCell ref="M60:N60"/>
    <mergeCell ref="M62:N63"/>
    <mergeCell ref="B1:B2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134"/>
  <sheetViews>
    <sheetView tabSelected="1" workbookViewId="0">
      <selection activeCell="H24" sqref="H24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thickBot="1" x14ac:dyDescent="0.4">
      <c r="A1" s="293" t="s">
        <v>473</v>
      </c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478">
        <v>44378</v>
      </c>
      <c r="B3" s="479" t="s">
        <v>600</v>
      </c>
      <c r="C3" s="78">
        <v>167572.29</v>
      </c>
      <c r="D3" s="480"/>
      <c r="E3" s="10"/>
      <c r="F3" s="154">
        <f>C3-E3</f>
        <v>167572.29</v>
      </c>
    </row>
    <row r="4" spans="1:7" ht="18.75" x14ac:dyDescent="0.3">
      <c r="A4" s="478">
        <v>44378</v>
      </c>
      <c r="B4" s="479" t="s">
        <v>601</v>
      </c>
      <c r="C4" s="78">
        <v>1570.2</v>
      </c>
      <c r="D4" s="481"/>
      <c r="E4" s="78"/>
      <c r="F4" s="156">
        <f>F3+C4-E4</f>
        <v>169142.49000000002</v>
      </c>
      <c r="G4" s="157"/>
    </row>
    <row r="5" spans="1:7" ht="15.75" x14ac:dyDescent="0.25">
      <c r="A5" s="481">
        <v>44378</v>
      </c>
      <c r="B5" s="479" t="s">
        <v>602</v>
      </c>
      <c r="C5" s="78">
        <v>50</v>
      </c>
      <c r="D5" s="481"/>
      <c r="E5" s="78"/>
      <c r="F5" s="156">
        <f t="shared" ref="F5:F68" si="0">F4+C5-E5</f>
        <v>169192.49000000002</v>
      </c>
    </row>
    <row r="6" spans="1:7" ht="15.75" x14ac:dyDescent="0.25">
      <c r="A6" s="481">
        <v>44378</v>
      </c>
      <c r="B6" s="479" t="s">
        <v>603</v>
      </c>
      <c r="C6" s="78">
        <v>1501.5</v>
      </c>
      <c r="D6" s="481"/>
      <c r="E6" s="78"/>
      <c r="F6" s="156">
        <f t="shared" si="0"/>
        <v>170693.99000000002</v>
      </c>
    </row>
    <row r="7" spans="1:7" ht="15.75" x14ac:dyDescent="0.25">
      <c r="A7" s="481">
        <v>44379</v>
      </c>
      <c r="B7" s="479" t="s">
        <v>604</v>
      </c>
      <c r="C7" s="78">
        <v>150631.70000000001</v>
      </c>
      <c r="D7" s="481"/>
      <c r="E7" s="78"/>
      <c r="F7" s="156">
        <f t="shared" si="0"/>
        <v>321325.69000000006</v>
      </c>
    </row>
    <row r="8" spans="1:7" ht="15.75" x14ac:dyDescent="0.25">
      <c r="A8" s="481">
        <v>44379</v>
      </c>
      <c r="B8" s="479" t="s">
        <v>605</v>
      </c>
      <c r="C8" s="78">
        <v>10630.6</v>
      </c>
      <c r="D8" s="481">
        <v>44380</v>
      </c>
      <c r="E8" s="78">
        <v>331956.28999999998</v>
      </c>
      <c r="F8" s="156">
        <f t="shared" si="0"/>
        <v>0</v>
      </c>
    </row>
    <row r="9" spans="1:7" ht="15.75" x14ac:dyDescent="0.25">
      <c r="A9" s="481">
        <v>44380</v>
      </c>
      <c r="B9" s="479" t="s">
        <v>606</v>
      </c>
      <c r="C9" s="78">
        <v>41478.800000000003</v>
      </c>
      <c r="D9" s="481"/>
      <c r="E9" s="78"/>
      <c r="F9" s="156">
        <f t="shared" si="0"/>
        <v>41478.800000000003</v>
      </c>
    </row>
    <row r="10" spans="1:7" ht="18.75" x14ac:dyDescent="0.3">
      <c r="A10" s="481">
        <v>44380</v>
      </c>
      <c r="B10" s="479" t="s">
        <v>607</v>
      </c>
      <c r="C10" s="78">
        <v>22978</v>
      </c>
      <c r="D10" s="481"/>
      <c r="E10" s="78"/>
      <c r="F10" s="156">
        <f t="shared" si="0"/>
        <v>64456.800000000003</v>
      </c>
      <c r="G10" s="157"/>
    </row>
    <row r="11" spans="1:7" ht="15.75" x14ac:dyDescent="0.25">
      <c r="A11" s="478">
        <v>44381</v>
      </c>
      <c r="B11" s="479" t="s">
        <v>608</v>
      </c>
      <c r="C11" s="78">
        <v>36367.800000000003</v>
      </c>
      <c r="D11" s="481"/>
      <c r="E11" s="78"/>
      <c r="F11" s="156">
        <f t="shared" si="0"/>
        <v>100824.6</v>
      </c>
    </row>
    <row r="12" spans="1:7" ht="15.75" x14ac:dyDescent="0.25">
      <c r="A12" s="481">
        <v>44382</v>
      </c>
      <c r="B12" s="479" t="s">
        <v>609</v>
      </c>
      <c r="C12" s="78">
        <v>86609.1</v>
      </c>
      <c r="D12" s="481"/>
      <c r="E12" s="78"/>
      <c r="F12" s="156">
        <f t="shared" si="0"/>
        <v>187433.7</v>
      </c>
    </row>
    <row r="13" spans="1:7" ht="15.75" x14ac:dyDescent="0.25">
      <c r="A13" s="481">
        <v>44383</v>
      </c>
      <c r="B13" s="479" t="s">
        <v>610</v>
      </c>
      <c r="C13" s="78">
        <v>143566.39999999999</v>
      </c>
      <c r="D13" s="481"/>
      <c r="E13" s="78"/>
      <c r="F13" s="156">
        <f t="shared" si="0"/>
        <v>331000.09999999998</v>
      </c>
    </row>
    <row r="14" spans="1:7" ht="15.75" x14ac:dyDescent="0.25">
      <c r="A14" s="481">
        <v>44383</v>
      </c>
      <c r="B14" s="479" t="s">
        <v>611</v>
      </c>
      <c r="C14" s="78">
        <v>13006.5</v>
      </c>
      <c r="D14" s="481"/>
      <c r="E14" s="78"/>
      <c r="F14" s="156">
        <f t="shared" si="0"/>
        <v>344006.6</v>
      </c>
    </row>
    <row r="15" spans="1:7" ht="15.75" x14ac:dyDescent="0.25">
      <c r="A15" s="481">
        <v>44384</v>
      </c>
      <c r="B15" s="479" t="s">
        <v>612</v>
      </c>
      <c r="C15" s="78">
        <v>4243.2</v>
      </c>
      <c r="D15" s="481"/>
      <c r="E15" s="78"/>
      <c r="F15" s="156">
        <f t="shared" si="0"/>
        <v>348249.8</v>
      </c>
    </row>
    <row r="16" spans="1:7" ht="15.75" x14ac:dyDescent="0.25">
      <c r="A16" s="481">
        <v>44385</v>
      </c>
      <c r="B16" s="479" t="s">
        <v>613</v>
      </c>
      <c r="C16" s="78">
        <v>162856.76</v>
      </c>
      <c r="D16" s="481"/>
      <c r="E16" s="78"/>
      <c r="F16" s="156">
        <f t="shared" si="0"/>
        <v>511106.56</v>
      </c>
    </row>
    <row r="17" spans="1:7" ht="15.75" x14ac:dyDescent="0.25">
      <c r="A17" s="481">
        <v>44385</v>
      </c>
      <c r="B17" s="479" t="s">
        <v>614</v>
      </c>
      <c r="C17" s="78">
        <v>18152.400000000001</v>
      </c>
      <c r="D17" s="481"/>
      <c r="E17" s="78"/>
      <c r="F17" s="156">
        <f t="shared" si="0"/>
        <v>529258.96</v>
      </c>
    </row>
    <row r="18" spans="1:7" ht="15.75" x14ac:dyDescent="0.25">
      <c r="A18" s="481">
        <v>44386</v>
      </c>
      <c r="B18" s="479" t="s">
        <v>615</v>
      </c>
      <c r="C18" s="78">
        <v>21899.7</v>
      </c>
      <c r="D18" s="481">
        <v>44387</v>
      </c>
      <c r="E18" s="78">
        <v>551158.66</v>
      </c>
      <c r="F18" s="156">
        <f t="shared" si="0"/>
        <v>0</v>
      </c>
    </row>
    <row r="19" spans="1:7" ht="15.75" x14ac:dyDescent="0.25">
      <c r="A19" s="481">
        <v>44386</v>
      </c>
      <c r="B19" s="479" t="s">
        <v>616</v>
      </c>
      <c r="C19" s="78">
        <v>214902.82</v>
      </c>
      <c r="D19" s="481"/>
      <c r="E19" s="78"/>
      <c r="F19" s="156">
        <f t="shared" si="0"/>
        <v>214902.82</v>
      </c>
    </row>
    <row r="20" spans="1:7" ht="15.75" x14ac:dyDescent="0.25">
      <c r="A20" s="481">
        <v>44386</v>
      </c>
      <c r="B20" s="479" t="s">
        <v>617</v>
      </c>
      <c r="C20" s="78">
        <v>11716.2</v>
      </c>
      <c r="D20" s="481"/>
      <c r="E20" s="78"/>
      <c r="F20" s="156">
        <f t="shared" si="0"/>
        <v>226619.02000000002</v>
      </c>
    </row>
    <row r="21" spans="1:7" ht="15.75" x14ac:dyDescent="0.25">
      <c r="A21" s="481">
        <v>44387</v>
      </c>
      <c r="B21" s="479" t="s">
        <v>618</v>
      </c>
      <c r="C21" s="78">
        <v>29018.5</v>
      </c>
      <c r="D21" s="481"/>
      <c r="E21" s="78"/>
      <c r="F21" s="156">
        <f t="shared" si="0"/>
        <v>255637.52000000002</v>
      </c>
    </row>
    <row r="22" spans="1:7" ht="18.75" x14ac:dyDescent="0.3">
      <c r="A22" s="481">
        <v>44387</v>
      </c>
      <c r="B22" s="479" t="s">
        <v>619</v>
      </c>
      <c r="C22" s="78">
        <v>41165.4</v>
      </c>
      <c r="D22" s="481"/>
      <c r="E22" s="78"/>
      <c r="F22" s="156">
        <f t="shared" si="0"/>
        <v>296802.92000000004</v>
      </c>
      <c r="G22" s="157"/>
    </row>
    <row r="23" spans="1:7" ht="15.75" x14ac:dyDescent="0.25">
      <c r="A23" s="481">
        <v>44389</v>
      </c>
      <c r="B23" s="479" t="s">
        <v>620</v>
      </c>
      <c r="C23" s="78">
        <v>61268.3</v>
      </c>
      <c r="D23" s="481"/>
      <c r="E23" s="78"/>
      <c r="F23" s="156">
        <f t="shared" si="0"/>
        <v>358071.22000000003</v>
      </c>
    </row>
    <row r="24" spans="1:7" ht="15.75" x14ac:dyDescent="0.25">
      <c r="A24" s="481">
        <v>44390</v>
      </c>
      <c r="B24" s="479" t="s">
        <v>621</v>
      </c>
      <c r="C24" s="78">
        <v>81737.7</v>
      </c>
      <c r="D24" s="481"/>
      <c r="E24" s="78"/>
      <c r="F24" s="156">
        <f t="shared" si="0"/>
        <v>439808.92000000004</v>
      </c>
    </row>
    <row r="25" spans="1:7" ht="15.75" x14ac:dyDescent="0.25">
      <c r="A25" s="481">
        <v>44390</v>
      </c>
      <c r="B25" s="479" t="s">
        <v>622</v>
      </c>
      <c r="C25" s="78">
        <v>45814.2</v>
      </c>
      <c r="D25" s="481"/>
      <c r="E25" s="78"/>
      <c r="F25" s="156">
        <f t="shared" si="0"/>
        <v>485623.12000000005</v>
      </c>
    </row>
    <row r="26" spans="1:7" ht="15.75" x14ac:dyDescent="0.25">
      <c r="A26" s="481">
        <v>44391</v>
      </c>
      <c r="B26" s="479" t="s">
        <v>623</v>
      </c>
      <c r="C26" s="78">
        <v>178032.02</v>
      </c>
      <c r="D26" s="481"/>
      <c r="E26" s="78"/>
      <c r="F26" s="156">
        <f t="shared" si="0"/>
        <v>663655.14</v>
      </c>
    </row>
    <row r="27" spans="1:7" ht="15.75" x14ac:dyDescent="0.25">
      <c r="A27" s="481">
        <v>44393</v>
      </c>
      <c r="B27" s="479" t="s">
        <v>624</v>
      </c>
      <c r="C27" s="78">
        <v>112728.06</v>
      </c>
      <c r="D27" s="481"/>
      <c r="E27" s="78"/>
      <c r="F27" s="156">
        <f t="shared" si="0"/>
        <v>776383.2</v>
      </c>
    </row>
    <row r="28" spans="1:7" ht="15.75" x14ac:dyDescent="0.25">
      <c r="A28" s="481">
        <v>44393</v>
      </c>
      <c r="B28" s="479" t="s">
        <v>625</v>
      </c>
      <c r="C28" s="78">
        <v>68124.100000000006</v>
      </c>
      <c r="D28" s="481">
        <v>44394</v>
      </c>
      <c r="E28" s="78">
        <v>844507.3</v>
      </c>
      <c r="F28" s="156">
        <f t="shared" si="0"/>
        <v>0</v>
      </c>
    </row>
    <row r="29" spans="1:7" ht="15.75" x14ac:dyDescent="0.25">
      <c r="A29" s="481">
        <v>44394</v>
      </c>
      <c r="B29" s="479" t="s">
        <v>626</v>
      </c>
      <c r="C29" s="78">
        <v>203141.25</v>
      </c>
      <c r="D29" s="481"/>
      <c r="E29" s="78"/>
      <c r="F29" s="156">
        <f t="shared" si="0"/>
        <v>203141.25</v>
      </c>
    </row>
    <row r="30" spans="1:7" ht="18.75" x14ac:dyDescent="0.3">
      <c r="A30" s="481">
        <v>44394</v>
      </c>
      <c r="B30" s="479" t="s">
        <v>627</v>
      </c>
      <c r="C30" s="78">
        <v>1863</v>
      </c>
      <c r="D30" s="481"/>
      <c r="E30" s="78"/>
      <c r="F30" s="156">
        <f t="shared" si="0"/>
        <v>205004.25</v>
      </c>
      <c r="G30" s="157"/>
    </row>
    <row r="31" spans="1:7" ht="15.75" x14ac:dyDescent="0.25">
      <c r="A31" s="481">
        <v>44394</v>
      </c>
      <c r="B31" s="479" t="s">
        <v>628</v>
      </c>
      <c r="C31" s="78">
        <v>49296.6</v>
      </c>
      <c r="D31" s="481"/>
      <c r="E31" s="78"/>
      <c r="F31" s="156">
        <f t="shared" si="0"/>
        <v>254300.85</v>
      </c>
    </row>
    <row r="32" spans="1:7" ht="15.75" x14ac:dyDescent="0.25">
      <c r="A32" s="481">
        <v>44394</v>
      </c>
      <c r="B32" s="479" t="s">
        <v>629</v>
      </c>
      <c r="C32" s="78">
        <v>3888</v>
      </c>
      <c r="D32" s="481"/>
      <c r="E32" s="78"/>
      <c r="F32" s="156">
        <f t="shared" si="0"/>
        <v>258188.85</v>
      </c>
    </row>
    <row r="33" spans="1:6" ht="15.75" x14ac:dyDescent="0.25">
      <c r="A33" s="481">
        <v>44394</v>
      </c>
      <c r="B33" s="479" t="s">
        <v>630</v>
      </c>
      <c r="C33" s="78">
        <v>2142</v>
      </c>
      <c r="D33" s="481"/>
      <c r="E33" s="78"/>
      <c r="F33" s="156">
        <f t="shared" si="0"/>
        <v>260330.85</v>
      </c>
    </row>
    <row r="34" spans="1:6" ht="15.75" x14ac:dyDescent="0.25">
      <c r="A34" s="481">
        <v>44396</v>
      </c>
      <c r="B34" s="479" t="s">
        <v>631</v>
      </c>
      <c r="C34" s="78">
        <v>23409.3</v>
      </c>
      <c r="D34" s="481"/>
      <c r="E34" s="78"/>
      <c r="F34" s="156">
        <f t="shared" si="0"/>
        <v>283740.15000000002</v>
      </c>
    </row>
    <row r="35" spans="1:6" ht="15.75" x14ac:dyDescent="0.25">
      <c r="A35" s="481">
        <v>44396</v>
      </c>
      <c r="B35" s="479" t="s">
        <v>632</v>
      </c>
      <c r="C35" s="78">
        <v>110387.4</v>
      </c>
      <c r="D35" s="481"/>
      <c r="E35" s="78"/>
      <c r="F35" s="156">
        <f t="shared" si="0"/>
        <v>394127.55000000005</v>
      </c>
    </row>
    <row r="36" spans="1:6" ht="15.75" x14ac:dyDescent="0.25">
      <c r="A36" s="481">
        <v>44397</v>
      </c>
      <c r="B36" s="479" t="s">
        <v>633</v>
      </c>
      <c r="C36" s="78">
        <v>25164.3</v>
      </c>
      <c r="D36" s="481"/>
      <c r="E36" s="78"/>
      <c r="F36" s="156">
        <f t="shared" si="0"/>
        <v>419291.85000000003</v>
      </c>
    </row>
    <row r="37" spans="1:6" ht="15.75" x14ac:dyDescent="0.25">
      <c r="A37" s="481">
        <v>44397</v>
      </c>
      <c r="B37" s="479" t="s">
        <v>634</v>
      </c>
      <c r="C37" s="78">
        <v>44415.9</v>
      </c>
      <c r="D37" s="481"/>
      <c r="E37" s="78"/>
      <c r="F37" s="156">
        <f t="shared" si="0"/>
        <v>463707.75000000006</v>
      </c>
    </row>
    <row r="38" spans="1:6" ht="15.75" x14ac:dyDescent="0.25">
      <c r="A38" s="481">
        <v>44397</v>
      </c>
      <c r="B38" s="479" t="s">
        <v>635</v>
      </c>
      <c r="C38" s="78">
        <v>105397.15</v>
      </c>
      <c r="D38" s="481"/>
      <c r="E38" s="78"/>
      <c r="F38" s="156">
        <f t="shared" si="0"/>
        <v>569104.9</v>
      </c>
    </row>
    <row r="39" spans="1:6" ht="15.75" x14ac:dyDescent="0.25">
      <c r="A39" s="481">
        <v>44399</v>
      </c>
      <c r="B39" s="479" t="s">
        <v>636</v>
      </c>
      <c r="C39" s="78">
        <v>46981.2</v>
      </c>
      <c r="D39" s="481"/>
      <c r="E39" s="78"/>
      <c r="F39" s="156">
        <f t="shared" si="0"/>
        <v>616086.1</v>
      </c>
    </row>
    <row r="40" spans="1:6" ht="15.75" x14ac:dyDescent="0.25">
      <c r="A40" s="481">
        <v>44399</v>
      </c>
      <c r="B40" s="479" t="s">
        <v>637</v>
      </c>
      <c r="C40" s="78">
        <v>149792.79999999999</v>
      </c>
      <c r="D40" s="481"/>
      <c r="E40" s="78"/>
      <c r="F40" s="156">
        <f t="shared" si="0"/>
        <v>765878.89999999991</v>
      </c>
    </row>
    <row r="41" spans="1:6" ht="15.75" x14ac:dyDescent="0.25">
      <c r="A41" s="481">
        <v>44400</v>
      </c>
      <c r="B41" s="479" t="s">
        <v>638</v>
      </c>
      <c r="C41" s="78">
        <v>1645.8</v>
      </c>
      <c r="D41" s="481"/>
      <c r="E41" s="78"/>
      <c r="F41" s="156">
        <f t="shared" si="0"/>
        <v>767524.7</v>
      </c>
    </row>
    <row r="42" spans="1:6" ht="15.75" x14ac:dyDescent="0.25">
      <c r="A42" s="481">
        <v>44400</v>
      </c>
      <c r="B42" s="479" t="s">
        <v>639</v>
      </c>
      <c r="C42" s="78">
        <v>48310.9</v>
      </c>
      <c r="D42" s="481">
        <v>44400</v>
      </c>
      <c r="E42" s="78">
        <v>815835.6</v>
      </c>
      <c r="F42" s="156">
        <f t="shared" si="0"/>
        <v>0</v>
      </c>
    </row>
    <row r="43" spans="1:6" ht="15.75" x14ac:dyDescent="0.25">
      <c r="A43" s="481">
        <v>44400</v>
      </c>
      <c r="B43" s="479" t="s">
        <v>640</v>
      </c>
      <c r="C43" s="78">
        <v>111997.3</v>
      </c>
      <c r="D43" s="481"/>
      <c r="E43" s="78"/>
      <c r="F43" s="156">
        <f t="shared" si="0"/>
        <v>111997.3</v>
      </c>
    </row>
    <row r="44" spans="1:6" ht="15.75" x14ac:dyDescent="0.25">
      <c r="A44" s="481">
        <v>44400</v>
      </c>
      <c r="B44" s="479" t="s">
        <v>641</v>
      </c>
      <c r="C44" s="78">
        <v>7960</v>
      </c>
      <c r="D44" s="481"/>
      <c r="E44" s="78"/>
      <c r="F44" s="156">
        <f t="shared" si="0"/>
        <v>119957.3</v>
      </c>
    </row>
    <row r="45" spans="1:6" ht="15.75" x14ac:dyDescent="0.25">
      <c r="A45" s="481">
        <v>44401</v>
      </c>
      <c r="B45" s="479" t="s">
        <v>642</v>
      </c>
      <c r="C45" s="78">
        <v>75307.06</v>
      </c>
      <c r="D45" s="481"/>
      <c r="E45" s="78"/>
      <c r="F45" s="156">
        <f t="shared" si="0"/>
        <v>195264.36</v>
      </c>
    </row>
    <row r="46" spans="1:6" ht="15.75" x14ac:dyDescent="0.25">
      <c r="A46" s="481">
        <v>44401</v>
      </c>
      <c r="B46" s="479" t="s">
        <v>643</v>
      </c>
      <c r="C46" s="78">
        <v>76017.600000000006</v>
      </c>
      <c r="D46" s="481"/>
      <c r="E46" s="78"/>
      <c r="F46" s="156">
        <f t="shared" si="0"/>
        <v>271281.95999999996</v>
      </c>
    </row>
    <row r="47" spans="1:6" ht="15.75" x14ac:dyDescent="0.25">
      <c r="A47" s="481">
        <v>44401</v>
      </c>
      <c r="B47" s="479" t="s">
        <v>644</v>
      </c>
      <c r="C47" s="78">
        <v>110127.1</v>
      </c>
      <c r="D47" s="481"/>
      <c r="E47" s="78"/>
      <c r="F47" s="156">
        <f t="shared" si="0"/>
        <v>381409.05999999994</v>
      </c>
    </row>
    <row r="48" spans="1:6" ht="15.75" x14ac:dyDescent="0.25">
      <c r="A48" s="481">
        <v>44403</v>
      </c>
      <c r="B48" s="479" t="s">
        <v>645</v>
      </c>
      <c r="C48" s="78">
        <v>87378.06</v>
      </c>
      <c r="D48" s="481"/>
      <c r="E48" s="78"/>
      <c r="F48" s="156">
        <f t="shared" si="0"/>
        <v>468787.11999999994</v>
      </c>
    </row>
    <row r="49" spans="1:6" ht="15.75" x14ac:dyDescent="0.25">
      <c r="A49" s="481">
        <v>44404</v>
      </c>
      <c r="B49" s="479" t="s">
        <v>646</v>
      </c>
      <c r="C49" s="78">
        <v>103638.6</v>
      </c>
      <c r="D49" s="481"/>
      <c r="E49" s="78"/>
      <c r="F49" s="156">
        <f t="shared" si="0"/>
        <v>572425.72</v>
      </c>
    </row>
    <row r="50" spans="1:6" ht="15.75" x14ac:dyDescent="0.25">
      <c r="A50" s="481">
        <v>44405</v>
      </c>
      <c r="B50" s="479" t="s">
        <v>647</v>
      </c>
      <c r="C50" s="78">
        <v>150387.1</v>
      </c>
      <c r="D50" s="481"/>
      <c r="E50" s="78"/>
      <c r="F50" s="156">
        <f t="shared" si="0"/>
        <v>722812.82</v>
      </c>
    </row>
    <row r="51" spans="1:6" ht="15.75" x14ac:dyDescent="0.25">
      <c r="A51" s="481">
        <v>44406</v>
      </c>
      <c r="B51" s="479" t="s">
        <v>648</v>
      </c>
      <c r="C51" s="78">
        <v>23993.599999999999</v>
      </c>
      <c r="D51" s="481">
        <v>44408</v>
      </c>
      <c r="E51" s="78">
        <v>746806.42</v>
      </c>
      <c r="F51" s="156">
        <f t="shared" si="0"/>
        <v>0</v>
      </c>
    </row>
    <row r="52" spans="1:6" ht="15.75" x14ac:dyDescent="0.25">
      <c r="A52" s="481"/>
      <c r="B52" s="479"/>
      <c r="C52" s="78"/>
      <c r="D52" s="481"/>
      <c r="E52" s="78"/>
      <c r="F52" s="156">
        <f t="shared" si="0"/>
        <v>0</v>
      </c>
    </row>
    <row r="53" spans="1:6" ht="15.75" x14ac:dyDescent="0.25">
      <c r="A53" s="481"/>
      <c r="B53" s="479"/>
      <c r="C53" s="78"/>
      <c r="D53" s="481"/>
      <c r="E53" s="78"/>
      <c r="F53" s="156">
        <f t="shared" si="0"/>
        <v>0</v>
      </c>
    </row>
    <row r="54" spans="1:6" ht="15.75" hidden="1" x14ac:dyDescent="0.25">
      <c r="A54" s="478"/>
      <c r="B54" s="479"/>
      <c r="C54" s="78"/>
      <c r="D54" s="481"/>
      <c r="E54" s="78"/>
      <c r="F54" s="156">
        <f t="shared" si="0"/>
        <v>0</v>
      </c>
    </row>
    <row r="55" spans="1:6" ht="15.75" hidden="1" x14ac:dyDescent="0.25">
      <c r="A55" s="478"/>
      <c r="B55" s="479"/>
      <c r="C55" s="78"/>
      <c r="D55" s="481"/>
      <c r="E55" s="78"/>
      <c r="F55" s="156">
        <f t="shared" si="0"/>
        <v>0</v>
      </c>
    </row>
    <row r="56" spans="1:6" ht="15.75" hidden="1" x14ac:dyDescent="0.25">
      <c r="A56" s="478"/>
      <c r="B56" s="479"/>
      <c r="C56" s="78"/>
      <c r="D56" s="481"/>
      <c r="E56" s="78"/>
      <c r="F56" s="156">
        <f t="shared" si="0"/>
        <v>0</v>
      </c>
    </row>
    <row r="57" spans="1:6" ht="15.75" hidden="1" x14ac:dyDescent="0.25">
      <c r="A57" s="481"/>
      <c r="B57" s="479"/>
      <c r="C57" s="78"/>
      <c r="D57" s="481"/>
      <c r="E57" s="78"/>
      <c r="F57" s="156">
        <f t="shared" si="0"/>
        <v>0</v>
      </c>
    </row>
    <row r="58" spans="1:6" ht="15.75" hidden="1" x14ac:dyDescent="0.25">
      <c r="A58" s="481"/>
      <c r="B58" s="479"/>
      <c r="C58" s="78"/>
      <c r="D58" s="481"/>
      <c r="E58" s="78"/>
      <c r="F58" s="156">
        <f t="shared" si="0"/>
        <v>0</v>
      </c>
    </row>
    <row r="59" spans="1:6" ht="15.75" hidden="1" x14ac:dyDescent="0.25">
      <c r="A59" s="481"/>
      <c r="B59" s="479"/>
      <c r="C59" s="78"/>
      <c r="D59" s="481"/>
      <c r="E59" s="78"/>
      <c r="F59" s="156">
        <f t="shared" si="0"/>
        <v>0</v>
      </c>
    </row>
    <row r="60" spans="1:6" ht="15.75" hidden="1" x14ac:dyDescent="0.25">
      <c r="A60" s="478"/>
      <c r="B60" s="479"/>
      <c r="C60" s="78"/>
      <c r="D60" s="481"/>
      <c r="E60" s="78"/>
      <c r="F60" s="156">
        <f t="shared" si="0"/>
        <v>0</v>
      </c>
    </row>
    <row r="61" spans="1:6" ht="15.75" hidden="1" x14ac:dyDescent="0.25">
      <c r="A61" s="478"/>
      <c r="B61" s="479"/>
      <c r="C61" s="78"/>
      <c r="D61" s="481"/>
      <c r="E61" s="78"/>
      <c r="F61" s="156">
        <f t="shared" si="0"/>
        <v>0</v>
      </c>
    </row>
    <row r="62" spans="1:6" ht="15.75" hidden="1" x14ac:dyDescent="0.25">
      <c r="A62" s="478"/>
      <c r="B62" s="479"/>
      <c r="C62" s="78"/>
      <c r="D62" s="481"/>
      <c r="E62" s="78"/>
      <c r="F62" s="156">
        <f t="shared" si="0"/>
        <v>0</v>
      </c>
    </row>
    <row r="63" spans="1:6" ht="15.75" hidden="1" x14ac:dyDescent="0.25">
      <c r="A63" s="478"/>
      <c r="B63" s="479"/>
      <c r="C63" s="78"/>
      <c r="D63" s="481"/>
      <c r="E63" s="78"/>
      <c r="F63" s="156">
        <f t="shared" si="0"/>
        <v>0</v>
      </c>
    </row>
    <row r="64" spans="1:6" ht="15.75" hidden="1" x14ac:dyDescent="0.25">
      <c r="A64" s="478"/>
      <c r="B64" s="479"/>
      <c r="C64" s="78"/>
      <c r="D64" s="481"/>
      <c r="E64" s="78"/>
      <c r="F64" s="156">
        <f t="shared" si="0"/>
        <v>0</v>
      </c>
    </row>
    <row r="65" spans="1:6" ht="15.75" hidden="1" x14ac:dyDescent="0.25">
      <c r="A65" s="478"/>
      <c r="B65" s="479"/>
      <c r="C65" s="78"/>
      <c r="D65" s="481"/>
      <c r="E65" s="78"/>
      <c r="F65" s="156">
        <f t="shared" si="0"/>
        <v>0</v>
      </c>
    </row>
    <row r="66" spans="1:6" ht="15.75" hidden="1" x14ac:dyDescent="0.25">
      <c r="A66" s="478"/>
      <c r="B66" s="479"/>
      <c r="C66" s="78"/>
      <c r="D66" s="481"/>
      <c r="E66" s="78"/>
      <c r="F66" s="156">
        <f t="shared" si="0"/>
        <v>0</v>
      </c>
    </row>
    <row r="67" spans="1:6" ht="15.75" hidden="1" x14ac:dyDescent="0.25">
      <c r="A67" s="478"/>
      <c r="B67" s="479"/>
      <c r="C67" s="78"/>
      <c r="D67" s="481"/>
      <c r="E67" s="78"/>
      <c r="F67" s="156">
        <f t="shared" si="0"/>
        <v>0</v>
      </c>
    </row>
    <row r="68" spans="1:6" ht="15.75" hidden="1" x14ac:dyDescent="0.25">
      <c r="A68" s="478"/>
      <c r="B68" s="479"/>
      <c r="C68" s="78"/>
      <c r="D68" s="481"/>
      <c r="E68" s="78"/>
      <c r="F68" s="156">
        <f t="shared" si="0"/>
        <v>0</v>
      </c>
    </row>
    <row r="69" spans="1:6" ht="15.75" hidden="1" x14ac:dyDescent="0.25">
      <c r="A69" s="478"/>
      <c r="B69" s="479"/>
      <c r="C69" s="78"/>
      <c r="D69" s="481"/>
      <c r="E69" s="78"/>
      <c r="F69" s="156">
        <f t="shared" ref="F69:F97" si="1">F68+C69-E69</f>
        <v>0</v>
      </c>
    </row>
    <row r="70" spans="1:6" ht="15.75" hidden="1" x14ac:dyDescent="0.25">
      <c r="A70" s="478"/>
      <c r="B70" s="479"/>
      <c r="C70" s="78"/>
      <c r="D70" s="481"/>
      <c r="E70" s="78"/>
      <c r="F70" s="156">
        <f t="shared" si="1"/>
        <v>0</v>
      </c>
    </row>
    <row r="71" spans="1:6" ht="15.75" hidden="1" x14ac:dyDescent="0.25">
      <c r="A71" s="478"/>
      <c r="B71" s="479"/>
      <c r="C71" s="78"/>
      <c r="D71" s="481"/>
      <c r="E71" s="78"/>
      <c r="F71" s="156">
        <f t="shared" si="1"/>
        <v>0</v>
      </c>
    </row>
    <row r="72" spans="1:6" ht="15.75" hidden="1" x14ac:dyDescent="0.25">
      <c r="A72" s="478"/>
      <c r="B72" s="479"/>
      <c r="C72" s="78"/>
      <c r="D72" s="481"/>
      <c r="E72" s="78"/>
      <c r="F72" s="156">
        <f t="shared" si="1"/>
        <v>0</v>
      </c>
    </row>
    <row r="73" spans="1:6" ht="15.75" hidden="1" x14ac:dyDescent="0.25">
      <c r="A73" s="478"/>
      <c r="B73" s="479"/>
      <c r="C73" s="78"/>
      <c r="D73" s="481"/>
      <c r="E73" s="78"/>
      <c r="F73" s="156">
        <f t="shared" si="1"/>
        <v>0</v>
      </c>
    </row>
    <row r="74" spans="1:6" ht="15.75" hidden="1" x14ac:dyDescent="0.25">
      <c r="A74" s="478"/>
      <c r="B74" s="479"/>
      <c r="C74" s="78"/>
      <c r="D74" s="481"/>
      <c r="E74" s="78"/>
      <c r="F74" s="156">
        <f t="shared" si="1"/>
        <v>0</v>
      </c>
    </row>
    <row r="75" spans="1:6" ht="15.75" hidden="1" x14ac:dyDescent="0.25">
      <c r="A75" s="478"/>
      <c r="B75" s="479"/>
      <c r="C75" s="78"/>
      <c r="D75" s="481"/>
      <c r="E75" s="78"/>
      <c r="F75" s="156">
        <f t="shared" si="1"/>
        <v>0</v>
      </c>
    </row>
    <row r="76" spans="1:6" ht="15.75" hidden="1" x14ac:dyDescent="0.25">
      <c r="A76" s="478"/>
      <c r="B76" s="479"/>
      <c r="C76" s="78"/>
      <c r="D76" s="481"/>
      <c r="E76" s="78"/>
      <c r="F76" s="156">
        <f t="shared" si="1"/>
        <v>0</v>
      </c>
    </row>
    <row r="77" spans="1:6" ht="15.75" hidden="1" x14ac:dyDescent="0.25">
      <c r="A77" s="478"/>
      <c r="B77" s="479"/>
      <c r="C77" s="78"/>
      <c r="D77" s="481"/>
      <c r="E77" s="78"/>
      <c r="F77" s="156">
        <f t="shared" si="1"/>
        <v>0</v>
      </c>
    </row>
    <row r="78" spans="1:6" ht="15.75" hidden="1" x14ac:dyDescent="0.25">
      <c r="A78" s="478"/>
      <c r="B78" s="479"/>
      <c r="C78" s="78"/>
      <c r="D78" s="481"/>
      <c r="E78" s="78"/>
      <c r="F78" s="156">
        <f t="shared" si="1"/>
        <v>0</v>
      </c>
    </row>
    <row r="79" spans="1:6" ht="15.75" hidden="1" x14ac:dyDescent="0.25">
      <c r="A79" s="478"/>
      <c r="B79" s="479"/>
      <c r="C79" s="78"/>
      <c r="D79" s="481"/>
      <c r="E79" s="78"/>
      <c r="F79" s="156">
        <f t="shared" si="1"/>
        <v>0</v>
      </c>
    </row>
    <row r="80" spans="1:6" ht="15.75" hidden="1" x14ac:dyDescent="0.25">
      <c r="A80" s="478"/>
      <c r="B80" s="479"/>
      <c r="C80" s="78"/>
      <c r="D80" s="481"/>
      <c r="E80" s="78"/>
      <c r="F80" s="156">
        <f t="shared" si="1"/>
        <v>0</v>
      </c>
    </row>
    <row r="81" spans="1:6" ht="15.75" hidden="1" x14ac:dyDescent="0.25">
      <c r="A81" s="159"/>
      <c r="B81" s="160"/>
      <c r="C81" s="141"/>
      <c r="D81" s="153"/>
      <c r="E81" s="141"/>
      <c r="F81" s="156">
        <f t="shared" si="1"/>
        <v>0</v>
      </c>
    </row>
    <row r="82" spans="1:6" ht="15.75" hidden="1" x14ac:dyDescent="0.25">
      <c r="A82" s="159"/>
      <c r="B82" s="160"/>
      <c r="C82" s="141"/>
      <c r="D82" s="153"/>
      <c r="E82" s="141"/>
      <c r="F82" s="156">
        <f t="shared" si="1"/>
        <v>0</v>
      </c>
    </row>
    <row r="83" spans="1:6" ht="15.75" hidden="1" x14ac:dyDescent="0.25">
      <c r="A83" s="159"/>
      <c r="B83" s="160"/>
      <c r="C83" s="141"/>
      <c r="D83" s="153"/>
      <c r="E83" s="141"/>
      <c r="F83" s="156">
        <f t="shared" si="1"/>
        <v>0</v>
      </c>
    </row>
    <row r="84" spans="1:6" ht="15.75" hidden="1" x14ac:dyDescent="0.25">
      <c r="A84" s="159"/>
      <c r="B84" s="160"/>
      <c r="C84" s="141"/>
      <c r="D84" s="153"/>
      <c r="E84" s="141"/>
      <c r="F84" s="156">
        <f t="shared" si="1"/>
        <v>0</v>
      </c>
    </row>
    <row r="85" spans="1:6" ht="15.75" hidden="1" x14ac:dyDescent="0.25">
      <c r="A85" s="159"/>
      <c r="B85" s="160"/>
      <c r="C85" s="141"/>
      <c r="D85" s="153"/>
      <c r="E85" s="141"/>
      <c r="F85" s="156">
        <f t="shared" si="1"/>
        <v>0</v>
      </c>
    </row>
    <row r="86" spans="1:6" ht="15.75" hidden="1" x14ac:dyDescent="0.25">
      <c r="A86" s="159"/>
      <c r="B86" s="160"/>
      <c r="C86" s="141"/>
      <c r="D86" s="153"/>
      <c r="E86" s="141"/>
      <c r="F86" s="156">
        <f t="shared" si="1"/>
        <v>0</v>
      </c>
    </row>
    <row r="87" spans="1:6" ht="15.75" hidden="1" x14ac:dyDescent="0.25">
      <c r="A87" s="151"/>
      <c r="B87" s="152"/>
      <c r="C87" s="78"/>
      <c r="D87" s="155"/>
      <c r="E87" s="78"/>
      <c r="F87" s="156">
        <f t="shared" si="1"/>
        <v>0</v>
      </c>
    </row>
    <row r="88" spans="1:6" ht="15.75" hidden="1" x14ac:dyDescent="0.25">
      <c r="A88" s="151"/>
      <c r="B88" s="152"/>
      <c r="C88" s="78"/>
      <c r="D88" s="155"/>
      <c r="E88" s="78"/>
      <c r="F88" s="156">
        <f t="shared" si="1"/>
        <v>0</v>
      </c>
    </row>
    <row r="89" spans="1:6" ht="15.75" hidden="1" x14ac:dyDescent="0.25">
      <c r="A89" s="151"/>
      <c r="B89" s="152"/>
      <c r="C89" s="78"/>
      <c r="D89" s="155"/>
      <c r="E89" s="78"/>
      <c r="F89" s="156">
        <f t="shared" si="1"/>
        <v>0</v>
      </c>
    </row>
    <row r="90" spans="1:6" ht="15.75" hidden="1" x14ac:dyDescent="0.25">
      <c r="A90" s="151"/>
      <c r="B90" s="152"/>
      <c r="C90" s="78"/>
      <c r="D90" s="155"/>
      <c r="E90" s="78"/>
      <c r="F90" s="156">
        <f t="shared" si="1"/>
        <v>0</v>
      </c>
    </row>
    <row r="91" spans="1:6" ht="15.75" hidden="1" x14ac:dyDescent="0.25">
      <c r="A91" s="151"/>
      <c r="B91" s="152"/>
      <c r="C91" s="78"/>
      <c r="D91" s="155"/>
      <c r="E91" s="78"/>
      <c r="F91" s="156">
        <f t="shared" si="1"/>
        <v>0</v>
      </c>
    </row>
    <row r="92" spans="1:6" ht="15.75" hidden="1" x14ac:dyDescent="0.25">
      <c r="A92" s="151"/>
      <c r="B92" s="152"/>
      <c r="C92" s="78"/>
      <c r="D92" s="155"/>
      <c r="E92" s="78"/>
      <c r="F92" s="156">
        <f t="shared" si="1"/>
        <v>0</v>
      </c>
    </row>
    <row r="93" spans="1:6" ht="15.75" hidden="1" x14ac:dyDescent="0.25">
      <c r="A93" s="151"/>
      <c r="B93" s="152"/>
      <c r="C93" s="78"/>
      <c r="D93" s="155"/>
      <c r="E93" s="78"/>
      <c r="F93" s="156">
        <f t="shared" si="1"/>
        <v>0</v>
      </c>
    </row>
    <row r="94" spans="1:6" ht="15.75" hidden="1" x14ac:dyDescent="0.25">
      <c r="A94" s="151"/>
      <c r="B94" s="152"/>
      <c r="C94" s="78"/>
      <c r="D94" s="155"/>
      <c r="E94" s="78"/>
      <c r="F94" s="156">
        <f t="shared" si="1"/>
        <v>0</v>
      </c>
    </row>
    <row r="95" spans="1:6" ht="15.75" hidden="1" x14ac:dyDescent="0.25">
      <c r="A95" s="151"/>
      <c r="B95" s="152"/>
      <c r="C95" s="78"/>
      <c r="D95" s="155"/>
      <c r="E95" s="78"/>
      <c r="F95" s="156">
        <f t="shared" si="1"/>
        <v>0</v>
      </c>
    </row>
    <row r="96" spans="1:6" ht="15.75" x14ac:dyDescent="0.25">
      <c r="A96" s="151"/>
      <c r="B96" s="152"/>
      <c r="C96" s="78"/>
      <c r="D96" s="155"/>
      <c r="E96" s="78"/>
      <c r="F96" s="156">
        <f t="shared" si="1"/>
        <v>0</v>
      </c>
    </row>
    <row r="97" spans="1:6" ht="16.5" thickBot="1" x14ac:dyDescent="0.3">
      <c r="A97" s="161"/>
      <c r="B97" s="162"/>
      <c r="C97" s="163">
        <v>0</v>
      </c>
      <c r="D97" s="164"/>
      <c r="E97" s="163"/>
      <c r="F97" s="156">
        <f t="shared" si="1"/>
        <v>0</v>
      </c>
    </row>
    <row r="98" spans="1:6" ht="19.5" thickTop="1" x14ac:dyDescent="0.3">
      <c r="B98" s="58"/>
      <c r="C98" s="4">
        <f>SUM(C3:C97)</f>
        <v>3290264.27</v>
      </c>
      <c r="D98" s="1"/>
      <c r="E98" s="4">
        <f>SUM(E3:E97)</f>
        <v>3290264.27</v>
      </c>
      <c r="F98" s="165">
        <f>F97</f>
        <v>0</v>
      </c>
    </row>
    <row r="99" spans="1:6" x14ac:dyDescent="0.25">
      <c r="B99" s="58"/>
      <c r="C99" s="4"/>
      <c r="D99" s="1"/>
      <c r="E99" s="5"/>
      <c r="F99" s="4"/>
    </row>
    <row r="100" spans="1:6" x14ac:dyDescent="0.25">
      <c r="B100" s="58"/>
      <c r="C100" s="4"/>
      <c r="D100" s="1"/>
      <c r="E100" s="5"/>
      <c r="F100" s="4"/>
    </row>
    <row r="101" spans="1:6" x14ac:dyDescent="0.25">
      <c r="A101"/>
      <c r="B101" s="25"/>
      <c r="D101" s="25"/>
    </row>
    <row r="102" spans="1:6" x14ac:dyDescent="0.25">
      <c r="A102"/>
      <c r="B102" s="25"/>
      <c r="D102" s="25"/>
    </row>
    <row r="103" spans="1:6" x14ac:dyDescent="0.25">
      <c r="A103"/>
      <c r="B103" s="25"/>
      <c r="D103" s="25"/>
    </row>
    <row r="104" spans="1:6" x14ac:dyDescent="0.25">
      <c r="A104"/>
      <c r="B104" s="25"/>
      <c r="D104" s="25"/>
      <c r="F104"/>
    </row>
    <row r="105" spans="1:6" x14ac:dyDescent="0.25">
      <c r="A105"/>
      <c r="B105" s="25"/>
      <c r="D105" s="25"/>
      <c r="F105"/>
    </row>
    <row r="106" spans="1:6" x14ac:dyDescent="0.25">
      <c r="A106"/>
      <c r="B106" s="25"/>
      <c r="D106" s="25"/>
      <c r="F106"/>
    </row>
    <row r="107" spans="1:6" x14ac:dyDescent="0.25">
      <c r="A107"/>
      <c r="B107" s="25"/>
      <c r="D107" s="25"/>
      <c r="F107"/>
    </row>
    <row r="108" spans="1:6" x14ac:dyDescent="0.25">
      <c r="A108"/>
      <c r="B108" s="25"/>
      <c r="D108" s="25"/>
      <c r="F108"/>
    </row>
    <row r="109" spans="1:6" x14ac:dyDescent="0.25">
      <c r="A109"/>
      <c r="B109" s="25"/>
      <c r="D109" s="25"/>
      <c r="F109"/>
    </row>
    <row r="110" spans="1:6" x14ac:dyDescent="0.25">
      <c r="A110"/>
      <c r="B110" s="25"/>
      <c r="D110" s="25"/>
      <c r="F110"/>
    </row>
    <row r="111" spans="1:6" x14ac:dyDescent="0.25">
      <c r="A111"/>
      <c r="B111" s="25"/>
      <c r="D111" s="25"/>
      <c r="F111"/>
    </row>
    <row r="112" spans="1:6" x14ac:dyDescent="0.25">
      <c r="A112"/>
      <c r="B112" s="25"/>
      <c r="D112" s="25"/>
      <c r="F112"/>
    </row>
    <row r="113" spans="1:6" x14ac:dyDescent="0.25">
      <c r="A113"/>
      <c r="B113" s="25"/>
      <c r="D113" s="25"/>
      <c r="E113"/>
      <c r="F113"/>
    </row>
    <row r="114" spans="1:6" x14ac:dyDescent="0.25">
      <c r="A114"/>
      <c r="B114" s="25"/>
      <c r="D114" s="25"/>
      <c r="E114"/>
      <c r="F114"/>
    </row>
    <row r="115" spans="1:6" x14ac:dyDescent="0.25">
      <c r="A115"/>
      <c r="B115" s="25"/>
      <c r="D115" s="25"/>
      <c r="E115"/>
      <c r="F115"/>
    </row>
    <row r="116" spans="1:6" x14ac:dyDescent="0.25">
      <c r="A116"/>
      <c r="B116" s="25"/>
      <c r="D116" s="25"/>
      <c r="E116"/>
      <c r="F116"/>
    </row>
    <row r="117" spans="1:6" x14ac:dyDescent="0.25">
      <c r="A117"/>
      <c r="B117" s="25"/>
      <c r="D117" s="25"/>
      <c r="E117"/>
      <c r="F117"/>
    </row>
    <row r="118" spans="1:6" x14ac:dyDescent="0.25">
      <c r="A118"/>
      <c r="B118" s="25"/>
      <c r="D118" s="25"/>
      <c r="E118"/>
      <c r="F118"/>
    </row>
    <row r="119" spans="1:6" x14ac:dyDescent="0.25">
      <c r="B119" s="25"/>
      <c r="D119" s="25"/>
      <c r="E119"/>
    </row>
    <row r="120" spans="1:6" x14ac:dyDescent="0.25">
      <c r="B120" s="25"/>
      <c r="D120" s="25"/>
      <c r="E120"/>
    </row>
    <row r="121" spans="1:6" x14ac:dyDescent="0.25">
      <c r="B121" s="25"/>
      <c r="D121" s="25"/>
      <c r="E121"/>
    </row>
    <row r="122" spans="1:6" x14ac:dyDescent="0.25">
      <c r="B122" s="25"/>
      <c r="D122" s="25"/>
      <c r="E122"/>
    </row>
    <row r="123" spans="1:6" x14ac:dyDescent="0.25">
      <c r="B123" s="25"/>
      <c r="D123" s="25"/>
      <c r="E123"/>
    </row>
    <row r="124" spans="1:6" x14ac:dyDescent="0.25">
      <c r="B124" s="25"/>
      <c r="D124" s="25"/>
      <c r="E124"/>
    </row>
    <row r="125" spans="1:6" x14ac:dyDescent="0.25">
      <c r="B125" s="25"/>
      <c r="D125" s="25"/>
      <c r="E125"/>
    </row>
    <row r="126" spans="1:6" x14ac:dyDescent="0.25">
      <c r="B126" s="25"/>
      <c r="D126" s="25"/>
      <c r="E126"/>
    </row>
    <row r="127" spans="1:6" x14ac:dyDescent="0.25">
      <c r="B127" s="25"/>
      <c r="D127" s="25"/>
      <c r="E127"/>
    </row>
    <row r="128" spans="1:6" x14ac:dyDescent="0.25">
      <c r="B128" s="25"/>
    </row>
    <row r="129" spans="2:4" x14ac:dyDescent="0.25">
      <c r="B129" s="25"/>
    </row>
    <row r="130" spans="2:4" x14ac:dyDescent="0.25">
      <c r="B130" s="25"/>
      <c r="D130" s="25"/>
    </row>
    <row r="131" spans="2:4" x14ac:dyDescent="0.25">
      <c r="B131" s="25"/>
    </row>
    <row r="132" spans="2:4" x14ac:dyDescent="0.25">
      <c r="B132" s="25"/>
    </row>
    <row r="133" spans="2:4" x14ac:dyDescent="0.25">
      <c r="B133" s="25"/>
    </row>
    <row r="134" spans="2:4" ht="18.75" x14ac:dyDescent="0.3">
      <c r="C134" s="1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workbookViewId="0">
      <selection activeCell="C22" sqref="C22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44202</v>
      </c>
      <c r="B3" s="152" t="s">
        <v>76</v>
      </c>
      <c r="C3" s="78">
        <v>88648.82</v>
      </c>
      <c r="D3" s="153"/>
      <c r="E3" s="10"/>
      <c r="F3" s="154">
        <f>C3-E3</f>
        <v>88648.82</v>
      </c>
    </row>
    <row r="4" spans="1:7" ht="18.75" x14ac:dyDescent="0.3">
      <c r="A4" s="151">
        <v>44203</v>
      </c>
      <c r="B4" s="152" t="s">
        <v>77</v>
      </c>
      <c r="C4" s="78">
        <v>77380.66</v>
      </c>
      <c r="D4" s="155"/>
      <c r="E4" s="78"/>
      <c r="F4" s="156">
        <f>F3+C4-E4</f>
        <v>166029.48000000001</v>
      </c>
      <c r="G4" s="157"/>
    </row>
    <row r="5" spans="1:7" x14ac:dyDescent="0.25">
      <c r="A5" s="155">
        <v>44203</v>
      </c>
      <c r="B5" s="152" t="s">
        <v>78</v>
      </c>
      <c r="C5" s="78">
        <v>6257.6</v>
      </c>
      <c r="D5" s="155"/>
      <c r="E5" s="78"/>
      <c r="F5" s="158">
        <f t="shared" ref="F5:F46" si="0">F4+C5-E5</f>
        <v>172287.08000000002</v>
      </c>
    </row>
    <row r="6" spans="1:7" x14ac:dyDescent="0.25">
      <c r="A6" s="155">
        <v>44204</v>
      </c>
      <c r="B6" s="152" t="s">
        <v>79</v>
      </c>
      <c r="C6" s="78">
        <v>29824.799999999999</v>
      </c>
      <c r="D6" s="155"/>
      <c r="E6" s="78"/>
      <c r="F6" s="158">
        <f t="shared" si="0"/>
        <v>202111.88</v>
      </c>
    </row>
    <row r="7" spans="1:7" x14ac:dyDescent="0.25">
      <c r="A7" s="155">
        <v>44204</v>
      </c>
      <c r="B7" s="152" t="s">
        <v>80</v>
      </c>
      <c r="C7" s="78">
        <v>29719.4</v>
      </c>
      <c r="D7" s="155">
        <v>44204</v>
      </c>
      <c r="E7" s="78">
        <v>229882.62</v>
      </c>
      <c r="F7" s="158">
        <f t="shared" si="0"/>
        <v>1948.6600000000035</v>
      </c>
    </row>
    <row r="8" spans="1:7" x14ac:dyDescent="0.25">
      <c r="A8" s="155">
        <v>44204</v>
      </c>
      <c r="B8" s="152" t="s">
        <v>81</v>
      </c>
      <c r="C8" s="78">
        <v>17441.2</v>
      </c>
      <c r="D8" s="155"/>
      <c r="E8" s="78"/>
      <c r="F8" s="158">
        <f t="shared" si="0"/>
        <v>19389.860000000004</v>
      </c>
    </row>
    <row r="9" spans="1:7" x14ac:dyDescent="0.25">
      <c r="A9" s="155">
        <v>44205</v>
      </c>
      <c r="B9" s="152" t="s">
        <v>82</v>
      </c>
      <c r="C9" s="78">
        <v>31258.5</v>
      </c>
      <c r="D9" s="155"/>
      <c r="E9" s="78"/>
      <c r="F9" s="158">
        <f t="shared" si="0"/>
        <v>50648.36</v>
      </c>
    </row>
    <row r="10" spans="1:7" ht="18.75" x14ac:dyDescent="0.3">
      <c r="A10" s="155">
        <v>44205</v>
      </c>
      <c r="B10" s="152" t="s">
        <v>83</v>
      </c>
      <c r="C10" s="78">
        <v>174025</v>
      </c>
      <c r="D10" s="155"/>
      <c r="E10" s="78"/>
      <c r="F10" s="158">
        <f t="shared" si="0"/>
        <v>224673.36</v>
      </c>
      <c r="G10" s="157"/>
    </row>
    <row r="11" spans="1:7" x14ac:dyDescent="0.25">
      <c r="A11" s="151">
        <v>44206</v>
      </c>
      <c r="B11" s="152" t="s">
        <v>84</v>
      </c>
      <c r="C11" s="78">
        <v>4122</v>
      </c>
      <c r="D11" s="155"/>
      <c r="E11" s="78"/>
      <c r="F11" s="158">
        <f t="shared" si="0"/>
        <v>228795.36</v>
      </c>
    </row>
    <row r="12" spans="1:7" x14ac:dyDescent="0.25">
      <c r="A12" s="155">
        <v>44207</v>
      </c>
      <c r="B12" s="152" t="s">
        <v>85</v>
      </c>
      <c r="C12" s="78">
        <v>82463.100000000006</v>
      </c>
      <c r="D12" s="155"/>
      <c r="E12" s="78"/>
      <c r="F12" s="158">
        <f t="shared" si="0"/>
        <v>311258.45999999996</v>
      </c>
    </row>
    <row r="13" spans="1:7" x14ac:dyDescent="0.25">
      <c r="A13" s="155">
        <v>44208</v>
      </c>
      <c r="B13" s="152" t="s">
        <v>86</v>
      </c>
      <c r="C13" s="78">
        <v>13282.5</v>
      </c>
      <c r="D13" s="155"/>
      <c r="E13" s="78"/>
      <c r="F13" s="158">
        <f t="shared" si="0"/>
        <v>324540.95999999996</v>
      </c>
    </row>
    <row r="14" spans="1:7" x14ac:dyDescent="0.25">
      <c r="A14" s="155">
        <v>44208</v>
      </c>
      <c r="B14" s="152" t="s">
        <v>87</v>
      </c>
      <c r="C14" s="78">
        <v>64206</v>
      </c>
      <c r="D14" s="155"/>
      <c r="E14" s="78"/>
      <c r="F14" s="158">
        <f t="shared" si="0"/>
        <v>388746.95999999996</v>
      </c>
    </row>
    <row r="15" spans="1:7" x14ac:dyDescent="0.25">
      <c r="A15" s="155">
        <v>44209</v>
      </c>
      <c r="B15" s="152" t="s">
        <v>88</v>
      </c>
      <c r="C15" s="78">
        <v>104493.72</v>
      </c>
      <c r="D15" s="155">
        <v>44209</v>
      </c>
      <c r="E15" s="78">
        <v>493240.68</v>
      </c>
      <c r="F15" s="158">
        <f t="shared" si="0"/>
        <v>0</v>
      </c>
    </row>
    <row r="16" spans="1:7" x14ac:dyDescent="0.25">
      <c r="A16" s="155">
        <v>44210</v>
      </c>
      <c r="B16" s="152" t="s">
        <v>89</v>
      </c>
      <c r="C16" s="78">
        <v>105726.88</v>
      </c>
      <c r="D16" s="155"/>
      <c r="E16" s="78"/>
      <c r="F16" s="158">
        <f t="shared" si="0"/>
        <v>105726.88</v>
      </c>
    </row>
    <row r="17" spans="1:7" x14ac:dyDescent="0.25">
      <c r="A17" s="155">
        <v>44211</v>
      </c>
      <c r="B17" s="152" t="s">
        <v>90</v>
      </c>
      <c r="C17" s="78">
        <v>872</v>
      </c>
      <c r="D17" s="155">
        <v>44218</v>
      </c>
      <c r="E17" s="78">
        <v>106598.88</v>
      </c>
      <c r="F17" s="158">
        <f t="shared" si="0"/>
        <v>0</v>
      </c>
    </row>
    <row r="18" spans="1:7" x14ac:dyDescent="0.25">
      <c r="A18" s="155">
        <v>44212</v>
      </c>
      <c r="B18" s="152" t="s">
        <v>91</v>
      </c>
      <c r="C18" s="78">
        <v>145792.42000000001</v>
      </c>
      <c r="D18" s="155"/>
      <c r="E18" s="78"/>
      <c r="F18" s="158">
        <f t="shared" si="0"/>
        <v>145792.42000000001</v>
      </c>
    </row>
    <row r="19" spans="1:7" x14ac:dyDescent="0.25">
      <c r="A19" s="155">
        <v>44213</v>
      </c>
      <c r="B19" s="152" t="s">
        <v>92</v>
      </c>
      <c r="C19" s="78">
        <v>1707.5</v>
      </c>
      <c r="D19" s="155"/>
      <c r="E19" s="78"/>
      <c r="F19" s="158">
        <f t="shared" si="0"/>
        <v>147499.92000000001</v>
      </c>
    </row>
    <row r="20" spans="1:7" x14ac:dyDescent="0.25">
      <c r="A20" s="155">
        <v>44214</v>
      </c>
      <c r="B20" s="152" t="s">
        <v>93</v>
      </c>
      <c r="C20" s="78">
        <v>119630.1</v>
      </c>
      <c r="D20" s="155"/>
      <c r="E20" s="78"/>
      <c r="F20" s="158">
        <f t="shared" si="0"/>
        <v>267130.02</v>
      </c>
    </row>
    <row r="21" spans="1:7" x14ac:dyDescent="0.25">
      <c r="A21" s="155">
        <v>44214</v>
      </c>
      <c r="B21" s="152" t="s">
        <v>94</v>
      </c>
      <c r="C21" s="78">
        <v>3724</v>
      </c>
      <c r="D21" s="155"/>
      <c r="E21" s="78"/>
      <c r="F21" s="158">
        <f t="shared" si="0"/>
        <v>270854.02</v>
      </c>
    </row>
    <row r="22" spans="1:7" ht="18.75" x14ac:dyDescent="0.3">
      <c r="A22" s="155">
        <v>44215</v>
      </c>
      <c r="B22" s="152" t="s">
        <v>95</v>
      </c>
      <c r="C22" s="78">
        <v>15785.2</v>
      </c>
      <c r="D22" s="155"/>
      <c r="E22" s="78"/>
      <c r="F22" s="158">
        <f t="shared" si="0"/>
        <v>286639.22000000003</v>
      </c>
      <c r="G22" s="157"/>
    </row>
    <row r="23" spans="1:7" x14ac:dyDescent="0.25">
      <c r="A23" s="155">
        <v>44215</v>
      </c>
      <c r="B23" s="152" t="s">
        <v>96</v>
      </c>
      <c r="C23" s="78">
        <v>68555.88</v>
      </c>
      <c r="D23" s="155"/>
      <c r="E23" s="78"/>
      <c r="F23" s="158">
        <f t="shared" si="0"/>
        <v>355195.10000000003</v>
      </c>
    </row>
    <row r="24" spans="1:7" x14ac:dyDescent="0.25">
      <c r="A24" s="155">
        <v>44216</v>
      </c>
      <c r="B24" s="152" t="s">
        <v>97</v>
      </c>
      <c r="C24" s="78">
        <v>36836</v>
      </c>
      <c r="D24" s="155"/>
      <c r="E24" s="78"/>
      <c r="F24" s="158">
        <f t="shared" si="0"/>
        <v>392031.10000000003</v>
      </c>
    </row>
    <row r="25" spans="1:7" x14ac:dyDescent="0.25">
      <c r="A25" s="155">
        <v>44217</v>
      </c>
      <c r="B25" s="152" t="s">
        <v>98</v>
      </c>
      <c r="C25" s="78">
        <v>2530.7600000000002</v>
      </c>
      <c r="D25" s="155"/>
      <c r="E25" s="78"/>
      <c r="F25" s="158">
        <f t="shared" si="0"/>
        <v>394561.86000000004</v>
      </c>
    </row>
    <row r="26" spans="1:7" x14ac:dyDescent="0.25">
      <c r="A26" s="155">
        <v>44217</v>
      </c>
      <c r="B26" s="152" t="s">
        <v>99</v>
      </c>
      <c r="C26" s="78">
        <v>121062.1</v>
      </c>
      <c r="D26" s="155"/>
      <c r="E26" s="78"/>
      <c r="F26" s="158">
        <f t="shared" si="0"/>
        <v>515623.96000000008</v>
      </c>
    </row>
    <row r="27" spans="1:7" x14ac:dyDescent="0.25">
      <c r="A27" s="155">
        <v>44217</v>
      </c>
      <c r="B27" s="152" t="s">
        <v>100</v>
      </c>
      <c r="C27" s="78">
        <v>41870.199999999997</v>
      </c>
      <c r="D27" s="155">
        <v>44219</v>
      </c>
      <c r="E27" s="78">
        <v>557494.16</v>
      </c>
      <c r="F27" s="158">
        <f t="shared" si="0"/>
        <v>0</v>
      </c>
    </row>
    <row r="28" spans="1:7" x14ac:dyDescent="0.25">
      <c r="A28" s="155">
        <v>44219</v>
      </c>
      <c r="B28" s="152" t="s">
        <v>101</v>
      </c>
      <c r="C28" s="78">
        <v>124057.12</v>
      </c>
      <c r="D28" s="155"/>
      <c r="E28" s="78"/>
      <c r="F28" s="158">
        <f t="shared" si="0"/>
        <v>124057.12</v>
      </c>
    </row>
    <row r="29" spans="1:7" x14ac:dyDescent="0.25">
      <c r="A29" s="155">
        <v>44219</v>
      </c>
      <c r="B29" s="152" t="s">
        <v>102</v>
      </c>
      <c r="C29" s="78">
        <v>18004.099999999999</v>
      </c>
      <c r="D29" s="155"/>
      <c r="E29" s="78"/>
      <c r="F29" s="158">
        <f t="shared" si="0"/>
        <v>142061.22</v>
      </c>
    </row>
    <row r="30" spans="1:7" ht="18.75" x14ac:dyDescent="0.3">
      <c r="A30" s="155">
        <v>44221</v>
      </c>
      <c r="B30" s="152" t="s">
        <v>103</v>
      </c>
      <c r="C30" s="78">
        <v>93602.4</v>
      </c>
      <c r="D30" s="155"/>
      <c r="E30" s="78"/>
      <c r="F30" s="156">
        <f t="shared" si="0"/>
        <v>235663.62</v>
      </c>
      <c r="G30" s="157"/>
    </row>
    <row r="31" spans="1:7" x14ac:dyDescent="0.25">
      <c r="A31" s="155">
        <v>44222</v>
      </c>
      <c r="B31" s="152" t="s">
        <v>104</v>
      </c>
      <c r="C31" s="78">
        <v>88637.8</v>
      </c>
      <c r="D31" s="155"/>
      <c r="E31" s="78"/>
      <c r="F31" s="158">
        <f t="shared" si="0"/>
        <v>324301.42</v>
      </c>
    </row>
    <row r="32" spans="1:7" x14ac:dyDescent="0.25">
      <c r="A32" s="151">
        <v>44224</v>
      </c>
      <c r="B32" s="152" t="s">
        <v>105</v>
      </c>
      <c r="C32" s="78">
        <v>86367.3</v>
      </c>
      <c r="D32" s="155">
        <v>44225</v>
      </c>
      <c r="E32" s="78">
        <v>410668.72</v>
      </c>
      <c r="F32" s="158">
        <f t="shared" si="0"/>
        <v>0</v>
      </c>
    </row>
    <row r="33" spans="1:6" x14ac:dyDescent="0.25">
      <c r="A33" s="151">
        <v>44225</v>
      </c>
      <c r="B33" s="152" t="s">
        <v>106</v>
      </c>
      <c r="C33" s="78">
        <v>9978.84</v>
      </c>
      <c r="D33" s="155"/>
      <c r="E33" s="78"/>
      <c r="F33" s="158">
        <f t="shared" si="0"/>
        <v>9978.84</v>
      </c>
    </row>
    <row r="34" spans="1:6" x14ac:dyDescent="0.25">
      <c r="A34" s="151">
        <v>44226</v>
      </c>
      <c r="B34" s="152" t="s">
        <v>107</v>
      </c>
      <c r="C34" s="78">
        <v>134645.07999999999</v>
      </c>
      <c r="D34" s="155"/>
      <c r="E34" s="78"/>
      <c r="F34" s="158">
        <f t="shared" si="0"/>
        <v>144623.91999999998</v>
      </c>
    </row>
    <row r="35" spans="1:6" x14ac:dyDescent="0.25">
      <c r="A35" s="151">
        <v>44226</v>
      </c>
      <c r="B35" s="152" t="s">
        <v>108</v>
      </c>
      <c r="C35" s="78">
        <v>87578</v>
      </c>
      <c r="D35" s="155"/>
      <c r="E35" s="78"/>
      <c r="F35" s="158">
        <f t="shared" si="0"/>
        <v>232201.91999999998</v>
      </c>
    </row>
    <row r="36" spans="1:6" x14ac:dyDescent="0.25">
      <c r="A36" s="151">
        <v>44227</v>
      </c>
      <c r="B36" s="152" t="s">
        <v>109</v>
      </c>
      <c r="C36" s="78">
        <v>36685.1</v>
      </c>
      <c r="D36" s="155"/>
      <c r="E36" s="78"/>
      <c r="F36" s="158">
        <f t="shared" si="0"/>
        <v>268887.01999999996</v>
      </c>
    </row>
    <row r="37" spans="1:6" x14ac:dyDescent="0.25">
      <c r="A37" s="155">
        <v>44228</v>
      </c>
      <c r="B37" s="152" t="s">
        <v>110</v>
      </c>
      <c r="C37" s="78">
        <v>83542.2</v>
      </c>
      <c r="D37" s="155"/>
      <c r="E37" s="78"/>
      <c r="F37" s="158">
        <f t="shared" si="0"/>
        <v>352429.22</v>
      </c>
    </row>
    <row r="38" spans="1:6" x14ac:dyDescent="0.25">
      <c r="A38" s="155">
        <v>44228</v>
      </c>
      <c r="B38" s="152" t="s">
        <v>111</v>
      </c>
      <c r="C38" s="78">
        <v>1905.7</v>
      </c>
      <c r="D38" s="155"/>
      <c r="E38" s="78"/>
      <c r="F38" s="158">
        <f t="shared" si="0"/>
        <v>354334.92</v>
      </c>
    </row>
    <row r="39" spans="1:6" x14ac:dyDescent="0.25">
      <c r="A39" s="155">
        <v>44229</v>
      </c>
      <c r="B39" s="152" t="s">
        <v>112</v>
      </c>
      <c r="C39" s="78">
        <v>124476.7</v>
      </c>
      <c r="D39" s="155">
        <v>44232</v>
      </c>
      <c r="E39" s="78">
        <v>478811.62</v>
      </c>
      <c r="F39" s="158">
        <f t="shared" si="0"/>
        <v>0</v>
      </c>
    </row>
    <row r="40" spans="1:6" x14ac:dyDescent="0.25">
      <c r="A40" s="151"/>
      <c r="B40" s="152"/>
      <c r="C40" s="78"/>
      <c r="D40" s="155"/>
      <c r="E40" s="78"/>
      <c r="F40" s="158">
        <f t="shared" si="0"/>
        <v>0</v>
      </c>
    </row>
    <row r="41" spans="1:6" x14ac:dyDescent="0.25">
      <c r="A41" s="159"/>
      <c r="B41" s="160"/>
      <c r="C41" s="141"/>
      <c r="D41" s="153"/>
      <c r="E41" s="141"/>
      <c r="F41" s="158">
        <f t="shared" si="0"/>
        <v>0</v>
      </c>
    </row>
    <row r="42" spans="1:6" x14ac:dyDescent="0.25">
      <c r="A42" s="159"/>
      <c r="B42" s="160"/>
      <c r="C42" s="141"/>
      <c r="D42" s="153"/>
      <c r="E42" s="141"/>
      <c r="F42" s="158">
        <f t="shared" si="0"/>
        <v>0</v>
      </c>
    </row>
    <row r="43" spans="1:6" x14ac:dyDescent="0.25">
      <c r="A43" s="159"/>
      <c r="B43" s="160"/>
      <c r="C43" s="141"/>
      <c r="D43" s="153"/>
      <c r="E43" s="141"/>
      <c r="F43" s="158">
        <f t="shared" si="0"/>
        <v>0</v>
      </c>
    </row>
    <row r="44" spans="1:6" x14ac:dyDescent="0.25">
      <c r="A44" s="159"/>
      <c r="B44" s="160"/>
      <c r="C44" s="141"/>
      <c r="D44" s="153"/>
      <c r="E44" s="141"/>
      <c r="F44" s="158">
        <f t="shared" si="0"/>
        <v>0</v>
      </c>
    </row>
    <row r="45" spans="1:6" x14ac:dyDescent="0.25">
      <c r="A45" s="159"/>
      <c r="B45" s="160"/>
      <c r="C45" s="141"/>
      <c r="D45" s="153"/>
      <c r="E45" s="141"/>
      <c r="F45" s="158">
        <f t="shared" si="0"/>
        <v>0</v>
      </c>
    </row>
    <row r="46" spans="1:6" ht="15.75" thickBot="1" x14ac:dyDescent="0.3">
      <c r="A46" s="161"/>
      <c r="B46" s="162"/>
      <c r="C46" s="163">
        <v>0</v>
      </c>
      <c r="D46" s="164"/>
      <c r="E46" s="163"/>
      <c r="F46" s="158">
        <f t="shared" si="0"/>
        <v>0</v>
      </c>
    </row>
    <row r="47" spans="1:6" ht="19.5" thickTop="1" x14ac:dyDescent="0.3">
      <c r="B47" s="58"/>
      <c r="C47" s="4">
        <f>SUM(C3:C46)</f>
        <v>2276696.6800000006</v>
      </c>
      <c r="D47" s="1"/>
      <c r="E47" s="4">
        <f>SUM(E3:E46)</f>
        <v>2276696.6800000002</v>
      </c>
      <c r="F47" s="165">
        <f>F46</f>
        <v>0</v>
      </c>
    </row>
    <row r="48" spans="1:6" x14ac:dyDescent="0.25">
      <c r="B48" s="58"/>
      <c r="C48" s="4"/>
      <c r="D48" s="1"/>
      <c r="E48" s="5"/>
      <c r="F48" s="4"/>
    </row>
    <row r="49" spans="1:6" x14ac:dyDescent="0.25">
      <c r="B49" s="58"/>
      <c r="C49" s="4"/>
      <c r="D49" s="1"/>
      <c r="E49" s="5"/>
      <c r="F49" s="4"/>
    </row>
    <row r="50" spans="1:6" x14ac:dyDescent="0.25">
      <c r="A50"/>
      <c r="B50" s="25"/>
      <c r="D50" s="25"/>
    </row>
    <row r="51" spans="1:6" x14ac:dyDescent="0.25">
      <c r="A51"/>
      <c r="B51" s="25"/>
      <c r="D51" s="25"/>
    </row>
    <row r="52" spans="1:6" x14ac:dyDescent="0.25">
      <c r="A52"/>
      <c r="B52" s="25"/>
      <c r="D52" s="25"/>
    </row>
    <row r="53" spans="1:6" x14ac:dyDescent="0.25">
      <c r="A53"/>
      <c r="B53" s="25"/>
      <c r="D53" s="25"/>
      <c r="F53"/>
    </row>
    <row r="54" spans="1:6" x14ac:dyDescent="0.25">
      <c r="A54"/>
      <c r="B54" s="25"/>
      <c r="D54" s="25"/>
      <c r="F54"/>
    </row>
    <row r="55" spans="1:6" x14ac:dyDescent="0.25">
      <c r="A55"/>
      <c r="B55" s="25"/>
      <c r="D55" s="25"/>
      <c r="F55"/>
    </row>
    <row r="56" spans="1:6" x14ac:dyDescent="0.25">
      <c r="A56"/>
      <c r="B56" s="25"/>
      <c r="D56" s="25"/>
      <c r="F56"/>
    </row>
    <row r="57" spans="1:6" x14ac:dyDescent="0.25">
      <c r="A57"/>
      <c r="B57" s="25"/>
      <c r="D57" s="25"/>
      <c r="F57"/>
    </row>
    <row r="58" spans="1:6" x14ac:dyDescent="0.25">
      <c r="A58"/>
      <c r="B58" s="25"/>
      <c r="D58" s="25"/>
      <c r="F58"/>
    </row>
    <row r="59" spans="1:6" x14ac:dyDescent="0.25">
      <c r="A59"/>
      <c r="B59" s="25"/>
      <c r="D59" s="25"/>
      <c r="F59"/>
    </row>
    <row r="60" spans="1:6" x14ac:dyDescent="0.25">
      <c r="A60"/>
      <c r="B60" s="25"/>
      <c r="D60" s="25"/>
      <c r="F60"/>
    </row>
    <row r="61" spans="1:6" x14ac:dyDescent="0.25">
      <c r="A61"/>
      <c r="B61" s="25"/>
      <c r="D61" s="25"/>
      <c r="F61"/>
    </row>
    <row r="62" spans="1:6" x14ac:dyDescent="0.25">
      <c r="A62"/>
      <c r="B62" s="25"/>
      <c r="D62" s="25"/>
      <c r="E62"/>
      <c r="F62"/>
    </row>
    <row r="63" spans="1:6" x14ac:dyDescent="0.25">
      <c r="A63"/>
      <c r="B63" s="25"/>
      <c r="D63" s="25"/>
      <c r="E63"/>
      <c r="F63"/>
    </row>
    <row r="64" spans="1:6" x14ac:dyDescent="0.25">
      <c r="A64"/>
      <c r="B64" s="25"/>
      <c r="D64" s="25"/>
      <c r="E64"/>
      <c r="F64"/>
    </row>
    <row r="65" spans="1:6" x14ac:dyDescent="0.25">
      <c r="A65"/>
      <c r="B65" s="25"/>
      <c r="D65" s="25"/>
      <c r="E65"/>
      <c r="F65"/>
    </row>
    <row r="66" spans="1:6" x14ac:dyDescent="0.25">
      <c r="A66"/>
      <c r="B66" s="25"/>
      <c r="D66" s="25"/>
      <c r="E66"/>
      <c r="F66"/>
    </row>
    <row r="67" spans="1:6" x14ac:dyDescent="0.25">
      <c r="A67"/>
      <c r="B67" s="25"/>
      <c r="D67" s="25"/>
      <c r="E67"/>
      <c r="F67"/>
    </row>
    <row r="68" spans="1:6" x14ac:dyDescent="0.25">
      <c r="B68" s="25"/>
      <c r="D68" s="25"/>
      <c r="E68"/>
    </row>
    <row r="69" spans="1:6" x14ac:dyDescent="0.25">
      <c r="B69" s="25"/>
      <c r="D69" s="25"/>
      <c r="E69"/>
    </row>
    <row r="70" spans="1:6" x14ac:dyDescent="0.25">
      <c r="B70" s="25"/>
      <c r="D70" s="25"/>
      <c r="E70"/>
    </row>
    <row r="71" spans="1:6" x14ac:dyDescent="0.25">
      <c r="B71" s="25"/>
      <c r="D71" s="25"/>
      <c r="E71"/>
    </row>
    <row r="72" spans="1:6" x14ac:dyDescent="0.25">
      <c r="B72" s="25"/>
      <c r="D72" s="25"/>
      <c r="E72"/>
    </row>
    <row r="73" spans="1:6" x14ac:dyDescent="0.25">
      <c r="B73" s="25"/>
      <c r="D73" s="25"/>
      <c r="E73"/>
    </row>
    <row r="74" spans="1:6" x14ac:dyDescent="0.25">
      <c r="B74" s="25"/>
      <c r="D74" s="25"/>
      <c r="E74"/>
    </row>
    <row r="75" spans="1:6" x14ac:dyDescent="0.25">
      <c r="B75" s="25"/>
      <c r="D75" s="25"/>
      <c r="E75"/>
    </row>
    <row r="76" spans="1:6" x14ac:dyDescent="0.25">
      <c r="B76" s="25"/>
      <c r="D76" s="25"/>
      <c r="E76"/>
    </row>
    <row r="77" spans="1:6" x14ac:dyDescent="0.25">
      <c r="B77" s="25"/>
    </row>
    <row r="78" spans="1:6" x14ac:dyDescent="0.25">
      <c r="B78" s="25"/>
    </row>
    <row r="79" spans="1:6" x14ac:dyDescent="0.25">
      <c r="B79" s="25"/>
      <c r="D79" s="25"/>
    </row>
    <row r="80" spans="1:6" x14ac:dyDescent="0.25">
      <c r="B80" s="25"/>
    </row>
    <row r="81" spans="2:3" x14ac:dyDescent="0.25">
      <c r="B81" s="25"/>
    </row>
    <row r="82" spans="2:3" x14ac:dyDescent="0.25">
      <c r="B82" s="25"/>
    </row>
    <row r="83" spans="2:3" ht="18.75" x14ac:dyDescent="0.3">
      <c r="C83" s="137"/>
    </row>
  </sheetData>
  <pageMargins left="0.7" right="0.7" top="0.42" bottom="0.33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O71"/>
  <sheetViews>
    <sheetView topLeftCell="E1" workbookViewId="0">
      <selection activeCell="Q37" sqref="Q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0.25" customHeight="1" x14ac:dyDescent="0.35">
      <c r="C1" s="301" t="s">
        <v>113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15" ht="15" customHeight="1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18" customHeight="1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209541.1</v>
      </c>
      <c r="D4" s="19">
        <v>44230</v>
      </c>
      <c r="E4" s="305" t="s">
        <v>7</v>
      </c>
      <c r="F4" s="306"/>
      <c r="H4" s="307" t="s">
        <v>8</v>
      </c>
      <c r="I4" s="308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44231</v>
      </c>
      <c r="C5" s="27">
        <v>6708</v>
      </c>
      <c r="D5" s="28" t="s">
        <v>114</v>
      </c>
      <c r="E5" s="29">
        <v>44231</v>
      </c>
      <c r="F5" s="30">
        <v>124309</v>
      </c>
      <c r="H5" s="31">
        <v>44231</v>
      </c>
      <c r="I5" s="32">
        <v>495</v>
      </c>
      <c r="J5" s="33"/>
      <c r="K5" s="34"/>
      <c r="L5" s="10"/>
      <c r="M5" s="35">
        <v>118045</v>
      </c>
      <c r="N5" s="36">
        <v>3793</v>
      </c>
      <c r="O5" s="168"/>
    </row>
    <row r="6" spans="1:15" ht="16.5" thickBot="1" x14ac:dyDescent="0.3">
      <c r="A6" s="25"/>
      <c r="B6" s="26">
        <v>44232</v>
      </c>
      <c r="C6" s="27">
        <v>1561</v>
      </c>
      <c r="D6" s="37" t="s">
        <v>14</v>
      </c>
      <c r="E6" s="29">
        <v>44232</v>
      </c>
      <c r="F6" s="30">
        <v>151459</v>
      </c>
      <c r="H6" s="31">
        <v>44232</v>
      </c>
      <c r="I6" s="38">
        <v>11684</v>
      </c>
      <c r="J6" s="39">
        <v>44232</v>
      </c>
      <c r="K6" s="169" t="s">
        <v>115</v>
      </c>
      <c r="L6" s="41">
        <v>1797</v>
      </c>
      <c r="M6" s="35">
        <v>133494</v>
      </c>
      <c r="N6" s="36">
        <v>6884</v>
      </c>
      <c r="O6" s="170"/>
    </row>
    <row r="7" spans="1:15" ht="15.75" thickBot="1" x14ac:dyDescent="0.3">
      <c r="A7" s="25"/>
      <c r="B7" s="26">
        <v>44233</v>
      </c>
      <c r="C7" s="27">
        <v>8941</v>
      </c>
      <c r="D7" s="42" t="s">
        <v>116</v>
      </c>
      <c r="E7" s="29">
        <v>44233</v>
      </c>
      <c r="F7" s="30">
        <v>122315</v>
      </c>
      <c r="H7" s="31">
        <v>44233</v>
      </c>
      <c r="I7" s="43">
        <v>912</v>
      </c>
      <c r="J7" s="39">
        <v>44233</v>
      </c>
      <c r="K7" s="44" t="s">
        <v>117</v>
      </c>
      <c r="L7" s="41">
        <f>15237.95+400+4000</f>
        <v>19637.95</v>
      </c>
      <c r="M7" s="35">
        <v>89306</v>
      </c>
      <c r="N7" s="36">
        <v>12220</v>
      </c>
      <c r="O7" s="168"/>
    </row>
    <row r="8" spans="1:15" ht="15.75" thickBot="1" x14ac:dyDescent="0.3">
      <c r="A8" s="25"/>
      <c r="B8" s="26">
        <v>44234</v>
      </c>
      <c r="C8" s="27">
        <v>12367</v>
      </c>
      <c r="D8" s="45" t="s">
        <v>118</v>
      </c>
      <c r="E8" s="29">
        <v>44234</v>
      </c>
      <c r="F8" s="30">
        <v>112150</v>
      </c>
      <c r="H8" s="31">
        <v>44234</v>
      </c>
      <c r="I8" s="43">
        <v>550</v>
      </c>
      <c r="J8" s="46"/>
      <c r="K8" s="44" t="s">
        <v>11</v>
      </c>
      <c r="L8" s="41"/>
      <c r="M8" s="35">
        <f>30573+89177</f>
        <v>119750</v>
      </c>
      <c r="N8" s="36">
        <v>9127</v>
      </c>
      <c r="O8" s="171" t="s">
        <v>119</v>
      </c>
    </row>
    <row r="9" spans="1:15" ht="15.75" thickBot="1" x14ac:dyDescent="0.3">
      <c r="A9" s="25"/>
      <c r="B9" s="26">
        <v>44235</v>
      </c>
      <c r="C9" s="27">
        <v>6704</v>
      </c>
      <c r="D9" s="47" t="s">
        <v>120</v>
      </c>
      <c r="E9" s="29">
        <v>44235</v>
      </c>
      <c r="F9" s="30">
        <v>110682</v>
      </c>
      <c r="H9" s="31">
        <v>44235</v>
      </c>
      <c r="I9" s="43">
        <v>495</v>
      </c>
      <c r="J9" s="48"/>
      <c r="K9" s="49"/>
      <c r="L9" s="41"/>
      <c r="M9" s="35">
        <v>99591</v>
      </c>
      <c r="N9" s="36">
        <v>3892</v>
      </c>
      <c r="O9" s="170"/>
    </row>
    <row r="10" spans="1:15" ht="15.75" thickBot="1" x14ac:dyDescent="0.3">
      <c r="A10" s="25"/>
      <c r="B10" s="26">
        <v>44236</v>
      </c>
      <c r="C10" s="27">
        <v>4676</v>
      </c>
      <c r="D10" s="42" t="s">
        <v>22</v>
      </c>
      <c r="E10" s="29">
        <v>44236</v>
      </c>
      <c r="F10" s="30">
        <v>66711</v>
      </c>
      <c r="H10" s="31">
        <v>44236</v>
      </c>
      <c r="I10" s="43">
        <v>653</v>
      </c>
      <c r="J10" s="48"/>
      <c r="K10" s="50"/>
      <c r="L10" s="51"/>
      <c r="M10" s="35">
        <f>51000+7650</f>
        <v>58650</v>
      </c>
      <c r="N10" s="36">
        <v>2732</v>
      </c>
      <c r="O10" s="170"/>
    </row>
    <row r="11" spans="1:15" ht="15.75" thickBot="1" x14ac:dyDescent="0.3">
      <c r="A11" s="25"/>
      <c r="B11" s="26">
        <v>44237</v>
      </c>
      <c r="C11" s="27">
        <v>3184</v>
      </c>
      <c r="D11" s="37" t="s">
        <v>121</v>
      </c>
      <c r="E11" s="29">
        <v>44237</v>
      </c>
      <c r="F11" s="30">
        <v>72062</v>
      </c>
      <c r="H11" s="31">
        <v>44237</v>
      </c>
      <c r="I11" s="43">
        <v>553</v>
      </c>
      <c r="J11" s="52">
        <v>44237</v>
      </c>
      <c r="K11" s="172" t="s">
        <v>122</v>
      </c>
      <c r="L11" s="173">
        <v>5000</v>
      </c>
      <c r="M11" s="35">
        <v>60687</v>
      </c>
      <c r="N11" s="36">
        <v>2638</v>
      </c>
      <c r="O11" s="170"/>
    </row>
    <row r="12" spans="1:15" ht="15.75" thickBot="1" x14ac:dyDescent="0.3">
      <c r="A12" s="25"/>
      <c r="B12" s="26">
        <v>44238</v>
      </c>
      <c r="C12" s="27">
        <v>7511</v>
      </c>
      <c r="D12" s="37" t="s">
        <v>22</v>
      </c>
      <c r="E12" s="29">
        <v>44238</v>
      </c>
      <c r="F12" s="30">
        <v>104114</v>
      </c>
      <c r="H12" s="31">
        <v>44238</v>
      </c>
      <c r="I12" s="43">
        <v>547</v>
      </c>
      <c r="J12" s="39"/>
      <c r="K12" s="44"/>
      <c r="L12" s="41"/>
      <c r="M12" s="35">
        <v>88008</v>
      </c>
      <c r="N12" s="36">
        <v>8048</v>
      </c>
      <c r="O12" s="170"/>
    </row>
    <row r="13" spans="1:15" ht="15.75" thickBot="1" x14ac:dyDescent="0.3">
      <c r="A13" s="25"/>
      <c r="B13" s="26">
        <v>44239</v>
      </c>
      <c r="C13" s="27">
        <v>9204</v>
      </c>
      <c r="D13" s="45" t="s">
        <v>123</v>
      </c>
      <c r="E13" s="29">
        <v>44239</v>
      </c>
      <c r="F13" s="30">
        <v>95582</v>
      </c>
      <c r="H13" s="31">
        <v>44239</v>
      </c>
      <c r="I13" s="43">
        <v>13333</v>
      </c>
      <c r="J13" s="39"/>
      <c r="K13" s="44"/>
      <c r="L13" s="41"/>
      <c r="M13" s="35">
        <v>69815</v>
      </c>
      <c r="N13" s="36">
        <v>3231</v>
      </c>
      <c r="O13" s="170"/>
    </row>
    <row r="14" spans="1:15" ht="15.75" thickBot="1" x14ac:dyDescent="0.3">
      <c r="A14" s="25"/>
      <c r="B14" s="26">
        <v>44240</v>
      </c>
      <c r="C14" s="27">
        <v>2357</v>
      </c>
      <c r="D14" s="42" t="s">
        <v>124</v>
      </c>
      <c r="E14" s="29">
        <v>44240</v>
      </c>
      <c r="F14" s="30">
        <v>111360</v>
      </c>
      <c r="H14" s="31">
        <v>44240</v>
      </c>
      <c r="I14" s="43">
        <v>614</v>
      </c>
      <c r="J14" s="39">
        <v>44240</v>
      </c>
      <c r="K14" s="44" t="s">
        <v>125</v>
      </c>
      <c r="L14" s="41">
        <f>12161.75+4000</f>
        <v>16161.75</v>
      </c>
      <c r="M14" s="35">
        <v>93915</v>
      </c>
      <c r="N14" s="36">
        <v>6687</v>
      </c>
      <c r="O14" s="170"/>
    </row>
    <row r="15" spans="1:15" ht="15.75" thickBot="1" x14ac:dyDescent="0.3">
      <c r="A15" s="25"/>
      <c r="B15" s="26">
        <v>44241</v>
      </c>
      <c r="C15" s="27">
        <v>13323</v>
      </c>
      <c r="D15" s="37" t="s">
        <v>126</v>
      </c>
      <c r="E15" s="29">
        <v>44241</v>
      </c>
      <c r="F15" s="30">
        <v>125193</v>
      </c>
      <c r="H15" s="31">
        <v>44241</v>
      </c>
      <c r="I15" s="43">
        <v>895</v>
      </c>
      <c r="J15" s="39">
        <v>44241</v>
      </c>
      <c r="K15" s="44" t="s">
        <v>127</v>
      </c>
      <c r="L15" s="41">
        <v>400</v>
      </c>
      <c r="M15" s="35">
        <v>96992</v>
      </c>
      <c r="N15" s="36">
        <v>13583</v>
      </c>
      <c r="O15" s="170"/>
    </row>
    <row r="16" spans="1:15" ht="15.75" thickBot="1" x14ac:dyDescent="0.3">
      <c r="A16" s="25"/>
      <c r="B16" s="26">
        <v>44242</v>
      </c>
      <c r="C16" s="27">
        <v>5223</v>
      </c>
      <c r="D16" s="37" t="s">
        <v>128</v>
      </c>
      <c r="E16" s="29">
        <v>44242</v>
      </c>
      <c r="F16" s="30">
        <v>93184</v>
      </c>
      <c r="H16" s="31">
        <v>44242</v>
      </c>
      <c r="I16" s="43">
        <v>1918.85</v>
      </c>
      <c r="J16" s="39">
        <v>44242</v>
      </c>
      <c r="K16" s="174" t="s">
        <v>129</v>
      </c>
      <c r="L16" s="10">
        <v>1428.57</v>
      </c>
      <c r="M16" s="35">
        <f>80636+3991</f>
        <v>84627</v>
      </c>
      <c r="N16" s="36">
        <v>3977</v>
      </c>
      <c r="O16" s="170"/>
    </row>
    <row r="17" spans="1:15" ht="15.75" thickBot="1" x14ac:dyDescent="0.3">
      <c r="A17" s="25"/>
      <c r="B17" s="26">
        <v>44243</v>
      </c>
      <c r="C17" s="27">
        <v>1477</v>
      </c>
      <c r="D17" s="45" t="s">
        <v>14</v>
      </c>
      <c r="E17" s="29">
        <v>44243</v>
      </c>
      <c r="F17" s="30">
        <v>71649</v>
      </c>
      <c r="H17" s="31">
        <v>44243</v>
      </c>
      <c r="I17" s="43">
        <v>697</v>
      </c>
      <c r="J17" s="39"/>
      <c r="K17" s="44"/>
      <c r="L17" s="51"/>
      <c r="M17" s="35">
        <v>60923</v>
      </c>
      <c r="N17" s="36">
        <v>8552</v>
      </c>
      <c r="O17" s="170"/>
    </row>
    <row r="18" spans="1:15" ht="15.75" thickBot="1" x14ac:dyDescent="0.3">
      <c r="A18" s="25"/>
      <c r="B18" s="26">
        <v>44244</v>
      </c>
      <c r="C18" s="27">
        <v>2987</v>
      </c>
      <c r="D18" s="37" t="s">
        <v>30</v>
      </c>
      <c r="E18" s="29">
        <v>44244</v>
      </c>
      <c r="F18" s="30">
        <v>111822</v>
      </c>
      <c r="H18" s="31">
        <v>44244</v>
      </c>
      <c r="I18" s="43">
        <v>385</v>
      </c>
      <c r="J18" s="39"/>
      <c r="K18" s="54"/>
      <c r="L18" s="41"/>
      <c r="M18" s="35">
        <f>106310+296</f>
        <v>106606</v>
      </c>
      <c r="N18" s="36">
        <v>2140</v>
      </c>
      <c r="O18" s="170"/>
    </row>
    <row r="19" spans="1:15" ht="15.75" thickBot="1" x14ac:dyDescent="0.3">
      <c r="A19" s="25"/>
      <c r="B19" s="26">
        <v>44245</v>
      </c>
      <c r="C19" s="27">
        <v>6074</v>
      </c>
      <c r="D19" s="37" t="s">
        <v>130</v>
      </c>
      <c r="E19" s="29">
        <v>44245</v>
      </c>
      <c r="F19" s="30">
        <v>83993</v>
      </c>
      <c r="H19" s="31">
        <v>44245</v>
      </c>
      <c r="I19" s="43">
        <v>630</v>
      </c>
      <c r="J19" s="39"/>
      <c r="K19" s="55"/>
      <c r="L19" s="56"/>
      <c r="M19" s="35">
        <v>74713</v>
      </c>
      <c r="N19" s="36">
        <v>2576</v>
      </c>
      <c r="O19" s="170"/>
    </row>
    <row r="20" spans="1:15" ht="15.75" thickBot="1" x14ac:dyDescent="0.3">
      <c r="A20" s="25"/>
      <c r="B20" s="26">
        <v>44246</v>
      </c>
      <c r="C20" s="27">
        <v>9694.7999999999993</v>
      </c>
      <c r="D20" s="37" t="s">
        <v>131</v>
      </c>
      <c r="E20" s="29">
        <v>44246</v>
      </c>
      <c r="F20" s="30">
        <v>108669</v>
      </c>
      <c r="H20" s="31">
        <v>44246</v>
      </c>
      <c r="I20" s="43">
        <v>10570</v>
      </c>
      <c r="J20" s="39"/>
      <c r="K20" s="57"/>
      <c r="L20" s="51"/>
      <c r="M20" s="35">
        <v>82163</v>
      </c>
      <c r="N20" s="36">
        <v>6241</v>
      </c>
      <c r="O20" s="170"/>
    </row>
    <row r="21" spans="1:15" ht="15.75" thickBot="1" x14ac:dyDescent="0.3">
      <c r="A21" s="25"/>
      <c r="B21" s="26">
        <v>44247</v>
      </c>
      <c r="C21" s="27">
        <v>0</v>
      </c>
      <c r="D21" s="37"/>
      <c r="E21" s="29">
        <v>44247</v>
      </c>
      <c r="F21" s="30">
        <v>157395</v>
      </c>
      <c r="H21" s="31">
        <v>44247</v>
      </c>
      <c r="I21" s="43">
        <v>550</v>
      </c>
      <c r="J21" s="39">
        <v>44247</v>
      </c>
      <c r="K21" s="54" t="s">
        <v>132</v>
      </c>
      <c r="L21" s="51">
        <f>16411.32+4000+400</f>
        <v>20811.32</v>
      </c>
      <c r="M21" s="35">
        <v>134965</v>
      </c>
      <c r="N21" s="36">
        <v>9923</v>
      </c>
      <c r="O21" s="170"/>
    </row>
    <row r="22" spans="1:15" ht="15.75" thickBot="1" x14ac:dyDescent="0.3">
      <c r="A22" s="25"/>
      <c r="B22" s="26">
        <v>44248</v>
      </c>
      <c r="C22" s="27">
        <v>17622</v>
      </c>
      <c r="D22" s="37" t="s">
        <v>133</v>
      </c>
      <c r="E22" s="29">
        <v>44248</v>
      </c>
      <c r="F22" s="30">
        <v>105314</v>
      </c>
      <c r="H22" s="31">
        <v>44248</v>
      </c>
      <c r="I22" s="43">
        <v>550</v>
      </c>
      <c r="J22" s="48"/>
      <c r="K22" s="58"/>
      <c r="L22" s="59"/>
      <c r="M22" s="35">
        <f>73510+2481+1187</f>
        <v>77178</v>
      </c>
      <c r="N22" s="36">
        <v>9964</v>
      </c>
      <c r="O22" s="170"/>
    </row>
    <row r="23" spans="1:15" ht="15.75" thickBot="1" x14ac:dyDescent="0.3">
      <c r="A23" s="25"/>
      <c r="B23" s="26">
        <v>44249</v>
      </c>
      <c r="C23" s="27">
        <v>4083</v>
      </c>
      <c r="D23" s="37" t="s">
        <v>134</v>
      </c>
      <c r="E23" s="29">
        <v>44249</v>
      </c>
      <c r="F23" s="30">
        <v>122387</v>
      </c>
      <c r="H23" s="31">
        <v>44249</v>
      </c>
      <c r="I23" s="43">
        <v>554</v>
      </c>
      <c r="J23" s="60"/>
      <c r="K23" s="61"/>
      <c r="L23" s="62"/>
      <c r="M23" s="35">
        <v>111887</v>
      </c>
      <c r="N23" s="36">
        <v>5863</v>
      </c>
      <c r="O23" s="170"/>
    </row>
    <row r="24" spans="1:15" ht="15.75" thickBot="1" x14ac:dyDescent="0.3">
      <c r="A24" s="25"/>
      <c r="B24" s="26">
        <v>44250</v>
      </c>
      <c r="C24" s="27">
        <v>14146</v>
      </c>
      <c r="D24" s="37" t="s">
        <v>135</v>
      </c>
      <c r="E24" s="29">
        <v>44250</v>
      </c>
      <c r="F24" s="30">
        <v>111503</v>
      </c>
      <c r="H24" s="31">
        <v>44250</v>
      </c>
      <c r="I24" s="43">
        <v>586</v>
      </c>
      <c r="J24" s="63"/>
      <c r="K24" s="64"/>
      <c r="L24" s="65"/>
      <c r="M24" s="35">
        <v>94934</v>
      </c>
      <c r="N24" s="36">
        <v>1837</v>
      </c>
      <c r="O24" s="170"/>
    </row>
    <row r="25" spans="1:15" ht="15.75" thickBot="1" x14ac:dyDescent="0.3">
      <c r="A25" s="25"/>
      <c r="B25" s="26">
        <v>44251</v>
      </c>
      <c r="C25" s="27">
        <v>960</v>
      </c>
      <c r="D25" s="37" t="s">
        <v>136</v>
      </c>
      <c r="E25" s="29">
        <v>44251</v>
      </c>
      <c r="F25" s="30">
        <v>113897</v>
      </c>
      <c r="H25" s="31">
        <v>44251</v>
      </c>
      <c r="I25" s="43">
        <v>553</v>
      </c>
      <c r="J25" s="66"/>
      <c r="K25" s="67"/>
      <c r="L25" s="68"/>
      <c r="M25" s="35">
        <v>106656</v>
      </c>
      <c r="N25" s="36">
        <v>5728</v>
      </c>
      <c r="O25" s="170"/>
    </row>
    <row r="26" spans="1:15" ht="15.75" thickBot="1" x14ac:dyDescent="0.3">
      <c r="A26" s="25"/>
      <c r="B26" s="26">
        <v>44252</v>
      </c>
      <c r="C26" s="27">
        <v>3084</v>
      </c>
      <c r="D26" s="37" t="s">
        <v>137</v>
      </c>
      <c r="E26" s="29">
        <v>44252</v>
      </c>
      <c r="F26" s="30">
        <v>107831</v>
      </c>
      <c r="H26" s="31">
        <v>44252</v>
      </c>
      <c r="I26" s="43">
        <v>440</v>
      </c>
      <c r="J26" s="39"/>
      <c r="K26" s="64"/>
      <c r="L26" s="62"/>
      <c r="M26" s="35">
        <v>99723</v>
      </c>
      <c r="N26" s="36">
        <v>4584</v>
      </c>
      <c r="O26" s="170"/>
    </row>
    <row r="27" spans="1:15" ht="15" customHeight="1" thickBot="1" x14ac:dyDescent="0.3">
      <c r="A27" s="25"/>
      <c r="B27" s="26">
        <v>44253</v>
      </c>
      <c r="C27" s="27">
        <v>4863</v>
      </c>
      <c r="D27" s="45" t="s">
        <v>22</v>
      </c>
      <c r="E27" s="29">
        <v>44253</v>
      </c>
      <c r="F27" s="30">
        <v>104397</v>
      </c>
      <c r="H27" s="31">
        <v>44253</v>
      </c>
      <c r="I27" s="43">
        <v>14554</v>
      </c>
      <c r="J27" s="69"/>
      <c r="K27" s="70"/>
      <c r="L27" s="68"/>
      <c r="M27" s="35">
        <f>68411+8500</f>
        <v>76911</v>
      </c>
      <c r="N27" s="36">
        <v>8069</v>
      </c>
      <c r="O27" s="170"/>
    </row>
    <row r="28" spans="1:15" ht="15.75" thickBot="1" x14ac:dyDescent="0.3">
      <c r="A28" s="25"/>
      <c r="B28" s="26">
        <v>44254</v>
      </c>
      <c r="C28" s="27">
        <v>5395</v>
      </c>
      <c r="D28" s="45" t="s">
        <v>138</v>
      </c>
      <c r="E28" s="29">
        <v>44254</v>
      </c>
      <c r="F28" s="30">
        <v>132668</v>
      </c>
      <c r="H28" s="31">
        <v>44254</v>
      </c>
      <c r="I28" s="43">
        <v>495</v>
      </c>
      <c r="J28" s="175">
        <v>44254</v>
      </c>
      <c r="K28" s="176" t="s">
        <v>139</v>
      </c>
      <c r="L28" s="68">
        <f>20000+13402.01+4000+400</f>
        <v>37802.01</v>
      </c>
      <c r="M28" s="35">
        <v>91220</v>
      </c>
      <c r="N28" s="36">
        <v>5305</v>
      </c>
      <c r="O28" s="170"/>
    </row>
    <row r="29" spans="1:15" ht="15.75" thickBot="1" x14ac:dyDescent="0.3">
      <c r="A29" s="25"/>
      <c r="B29" s="26">
        <v>44255</v>
      </c>
      <c r="C29" s="27">
        <v>15296</v>
      </c>
      <c r="D29" s="72" t="s">
        <v>140</v>
      </c>
      <c r="E29" s="29">
        <v>44255</v>
      </c>
      <c r="F29" s="30">
        <v>154211</v>
      </c>
      <c r="H29" s="31">
        <v>44255</v>
      </c>
      <c r="I29" s="43">
        <v>495</v>
      </c>
      <c r="J29" s="69"/>
      <c r="K29" s="73"/>
      <c r="L29" s="68"/>
      <c r="M29" s="35">
        <f>100486+19422+10150</f>
        <v>130058</v>
      </c>
      <c r="N29" s="36">
        <v>8162</v>
      </c>
      <c r="O29" s="170" t="s">
        <v>141</v>
      </c>
    </row>
    <row r="30" spans="1:15" ht="15.75" thickBot="1" x14ac:dyDescent="0.3">
      <c r="A30" s="25"/>
      <c r="B30" s="26">
        <v>44256</v>
      </c>
      <c r="C30" s="27">
        <v>9266</v>
      </c>
      <c r="D30" s="72" t="s">
        <v>22</v>
      </c>
      <c r="E30" s="29">
        <v>44256</v>
      </c>
      <c r="F30" s="30">
        <v>134030</v>
      </c>
      <c r="H30" s="31">
        <v>44256</v>
      </c>
      <c r="I30" s="74">
        <v>495</v>
      </c>
      <c r="J30" s="69"/>
      <c r="K30" s="44"/>
      <c r="L30" s="41"/>
      <c r="M30" s="35">
        <v>119197</v>
      </c>
      <c r="N30" s="36">
        <v>5072</v>
      </c>
      <c r="O30" s="170"/>
    </row>
    <row r="31" spans="1:15" ht="15.75" thickBot="1" x14ac:dyDescent="0.3">
      <c r="A31" s="25"/>
      <c r="B31" s="26">
        <v>44257</v>
      </c>
      <c r="C31" s="27">
        <v>1185</v>
      </c>
      <c r="D31" s="72" t="s">
        <v>14</v>
      </c>
      <c r="E31" s="29">
        <v>44257</v>
      </c>
      <c r="F31" s="30">
        <v>100158</v>
      </c>
      <c r="H31" s="31">
        <v>44257</v>
      </c>
      <c r="I31" s="74">
        <v>495</v>
      </c>
      <c r="J31" s="69"/>
      <c r="K31" s="67"/>
      <c r="L31" s="68">
        <v>0</v>
      </c>
      <c r="M31" s="35">
        <v>94341</v>
      </c>
      <c r="N31" s="36">
        <v>4137</v>
      </c>
      <c r="O31" s="170"/>
    </row>
    <row r="32" spans="1:15" ht="15.75" thickBot="1" x14ac:dyDescent="0.3">
      <c r="A32" s="25"/>
      <c r="B32" s="26"/>
      <c r="C32" s="27"/>
      <c r="D32" s="72"/>
      <c r="E32" s="29"/>
      <c r="F32" s="76"/>
      <c r="H32" s="31"/>
      <c r="I32" s="74"/>
      <c r="J32" s="69"/>
      <c r="K32" s="44"/>
      <c r="L32" s="41"/>
      <c r="M32" s="35">
        <v>0</v>
      </c>
      <c r="N32" s="36">
        <v>0</v>
      </c>
      <c r="O32" s="170"/>
    </row>
    <row r="33" spans="1:15" ht="16.5" thickBot="1" x14ac:dyDescent="0.3">
      <c r="A33" s="25"/>
      <c r="B33" s="177">
        <v>44231</v>
      </c>
      <c r="C33" s="80">
        <v>10917.98</v>
      </c>
      <c r="D33" s="178" t="s">
        <v>142</v>
      </c>
      <c r="E33" s="29"/>
      <c r="F33" s="78"/>
      <c r="H33" s="31"/>
      <c r="I33" s="74"/>
      <c r="J33" s="175" t="s">
        <v>143</v>
      </c>
      <c r="K33" s="90" t="s">
        <v>144</v>
      </c>
      <c r="L33" s="78">
        <f>10260+9885+7560</f>
        <v>27705</v>
      </c>
      <c r="M33" s="35">
        <v>0</v>
      </c>
      <c r="N33" s="36">
        <v>0</v>
      </c>
      <c r="O33" s="170"/>
    </row>
    <row r="34" spans="1:15" ht="16.5" thickBot="1" x14ac:dyDescent="0.3">
      <c r="A34" s="25"/>
      <c r="B34" s="177">
        <v>44233</v>
      </c>
      <c r="C34" s="80">
        <v>11040.9</v>
      </c>
      <c r="D34" s="178" t="s">
        <v>145</v>
      </c>
      <c r="E34" s="29"/>
      <c r="F34" s="78"/>
      <c r="H34" s="31"/>
      <c r="I34" s="74"/>
      <c r="J34" s="69">
        <v>44242</v>
      </c>
      <c r="K34" s="101" t="s">
        <v>146</v>
      </c>
      <c r="L34" s="10">
        <v>986</v>
      </c>
      <c r="M34" s="35">
        <v>0</v>
      </c>
      <c r="N34" s="36">
        <v>0</v>
      </c>
      <c r="O34" s="170"/>
    </row>
    <row r="35" spans="1:15" ht="16.5" thickBot="1" x14ac:dyDescent="0.3">
      <c r="A35" s="25"/>
      <c r="B35" s="177">
        <v>44235</v>
      </c>
      <c r="C35" s="80">
        <v>22458.1</v>
      </c>
      <c r="D35" s="178" t="s">
        <v>147</v>
      </c>
      <c r="E35" s="29"/>
      <c r="F35" s="78"/>
      <c r="H35" s="31"/>
      <c r="I35" s="74"/>
      <c r="J35" s="69">
        <v>44242</v>
      </c>
      <c r="K35" s="90" t="s">
        <v>148</v>
      </c>
      <c r="L35" s="78">
        <f>13688+4408+6960</f>
        <v>25056</v>
      </c>
      <c r="M35" s="35">
        <v>0</v>
      </c>
      <c r="N35" s="36">
        <v>0</v>
      </c>
      <c r="O35" s="170"/>
    </row>
    <row r="36" spans="1:15" ht="15" customHeight="1" thickBot="1" x14ac:dyDescent="0.3">
      <c r="A36" s="25"/>
      <c r="B36" s="179">
        <v>44238</v>
      </c>
      <c r="C36" s="80">
        <v>29327.32</v>
      </c>
      <c r="D36" s="178" t="s">
        <v>149</v>
      </c>
      <c r="E36" s="29"/>
      <c r="F36" s="78"/>
      <c r="H36" s="31"/>
      <c r="I36" s="74"/>
      <c r="J36" s="69">
        <v>44244</v>
      </c>
      <c r="K36" s="101" t="s">
        <v>42</v>
      </c>
      <c r="L36" s="10">
        <f>986.84+1394.81+1723.52+1395.89</f>
        <v>5501.06</v>
      </c>
      <c r="M36" s="35">
        <v>0</v>
      </c>
      <c r="N36" s="36">
        <v>0</v>
      </c>
      <c r="O36" s="170"/>
    </row>
    <row r="37" spans="1:15" ht="19.5" customHeight="1" thickBot="1" x14ac:dyDescent="0.35">
      <c r="A37" s="25"/>
      <c r="B37" s="79">
        <v>44242</v>
      </c>
      <c r="C37" s="80">
        <v>13416.16</v>
      </c>
      <c r="D37" s="178" t="s">
        <v>150</v>
      </c>
      <c r="E37" s="29"/>
      <c r="F37" s="180"/>
      <c r="H37" s="31"/>
      <c r="I37" s="74"/>
      <c r="J37" s="69">
        <v>44251</v>
      </c>
      <c r="K37" s="181" t="s">
        <v>151</v>
      </c>
      <c r="L37" s="78">
        <v>10000</v>
      </c>
      <c r="M37" s="35">
        <v>0</v>
      </c>
      <c r="N37" s="36">
        <v>0</v>
      </c>
      <c r="O37" s="170"/>
    </row>
    <row r="38" spans="1:15" ht="15" customHeight="1" thickBot="1" x14ac:dyDescent="0.35">
      <c r="A38" s="25"/>
      <c r="B38" s="79">
        <v>44245</v>
      </c>
      <c r="C38" s="80">
        <v>14548.36</v>
      </c>
      <c r="D38" s="178" t="s">
        <v>152</v>
      </c>
      <c r="E38" s="29"/>
      <c r="F38" s="180"/>
      <c r="H38" s="31"/>
      <c r="I38" s="74"/>
      <c r="J38" s="69" t="s">
        <v>143</v>
      </c>
      <c r="K38" s="90" t="s">
        <v>153</v>
      </c>
      <c r="L38" s="78">
        <f>198.99+398.99+407.02+498.99+398.99</f>
        <v>1902.98</v>
      </c>
      <c r="M38" s="35">
        <v>0</v>
      </c>
      <c r="N38" s="36">
        <v>0</v>
      </c>
      <c r="O38" s="170"/>
    </row>
    <row r="39" spans="1:15" ht="15" customHeight="1" thickBot="1" x14ac:dyDescent="0.35">
      <c r="A39" s="25"/>
      <c r="B39" s="79">
        <v>44246</v>
      </c>
      <c r="C39" s="80">
        <v>18201.509999999998</v>
      </c>
      <c r="D39" s="178" t="s">
        <v>154</v>
      </c>
      <c r="E39" s="29"/>
      <c r="F39" s="180"/>
      <c r="H39" s="31"/>
      <c r="I39" s="74"/>
      <c r="J39" s="69" t="s">
        <v>143</v>
      </c>
      <c r="K39" s="101" t="s">
        <v>155</v>
      </c>
      <c r="L39" s="78">
        <v>3997.12</v>
      </c>
      <c r="M39" s="35">
        <v>0</v>
      </c>
      <c r="N39" s="36">
        <v>0</v>
      </c>
      <c r="O39" s="170"/>
    </row>
    <row r="40" spans="1:15" ht="15" customHeight="1" thickBot="1" x14ac:dyDescent="0.35">
      <c r="A40" s="25"/>
      <c r="B40" s="79">
        <v>44250</v>
      </c>
      <c r="C40" s="80">
        <v>31000.46</v>
      </c>
      <c r="D40" s="178" t="s">
        <v>156</v>
      </c>
      <c r="E40" s="29"/>
      <c r="F40" s="180"/>
      <c r="H40" s="31"/>
      <c r="I40" s="74"/>
      <c r="J40" s="69" t="s">
        <v>143</v>
      </c>
      <c r="K40" s="82" t="s">
        <v>203</v>
      </c>
      <c r="L40" s="78">
        <v>9631.76</v>
      </c>
      <c r="M40" s="35">
        <v>0</v>
      </c>
      <c r="N40" s="36">
        <v>0</v>
      </c>
      <c r="O40" s="170"/>
    </row>
    <row r="41" spans="1:15" ht="15" customHeight="1" thickBot="1" x14ac:dyDescent="0.35">
      <c r="A41" s="25"/>
      <c r="B41" s="79">
        <v>44251</v>
      </c>
      <c r="C41" s="80">
        <v>12293.99</v>
      </c>
      <c r="D41" s="178" t="s">
        <v>157</v>
      </c>
      <c r="E41" s="29"/>
      <c r="F41" s="182"/>
      <c r="H41" s="31"/>
      <c r="I41" s="74"/>
      <c r="J41" s="69" t="s">
        <v>143</v>
      </c>
      <c r="K41" s="82" t="s">
        <v>204</v>
      </c>
      <c r="L41" s="78">
        <v>1125.7</v>
      </c>
      <c r="M41" s="35">
        <v>0</v>
      </c>
      <c r="N41" s="36">
        <v>0</v>
      </c>
      <c r="O41" s="170"/>
    </row>
    <row r="42" spans="1:15" ht="15" customHeight="1" thickBot="1" x14ac:dyDescent="0.35">
      <c r="A42" s="25"/>
      <c r="B42" s="79">
        <v>44254</v>
      </c>
      <c r="C42" s="80">
        <v>12926.36</v>
      </c>
      <c r="D42" s="178" t="s">
        <v>158</v>
      </c>
      <c r="E42" s="29"/>
      <c r="F42" s="183"/>
      <c r="H42" s="31"/>
      <c r="I42" s="74"/>
      <c r="J42" s="69" t="s">
        <v>143</v>
      </c>
      <c r="K42" s="184" t="s">
        <v>159</v>
      </c>
      <c r="L42" s="78">
        <v>4386.93</v>
      </c>
      <c r="M42" s="35">
        <v>0</v>
      </c>
      <c r="N42" s="36">
        <v>0</v>
      </c>
      <c r="O42" s="170"/>
    </row>
    <row r="43" spans="1:15" ht="16.149999999999999" customHeight="1" thickBot="1" x14ac:dyDescent="0.35">
      <c r="A43" s="25"/>
      <c r="B43" s="79">
        <v>44256</v>
      </c>
      <c r="C43" s="80">
        <v>20260.8</v>
      </c>
      <c r="D43" s="178" t="s">
        <v>160</v>
      </c>
      <c r="E43" s="29"/>
      <c r="F43" s="183"/>
      <c r="H43" s="31"/>
      <c r="I43" s="74"/>
      <c r="J43" s="69" t="s">
        <v>161</v>
      </c>
      <c r="K43" s="194" t="s">
        <v>205</v>
      </c>
      <c r="L43" s="78">
        <f>3357+3357</f>
        <v>6714</v>
      </c>
      <c r="M43" s="35">
        <v>0</v>
      </c>
      <c r="N43" s="36">
        <v>0</v>
      </c>
      <c r="O43" s="170"/>
    </row>
    <row r="44" spans="1:15" ht="16.149999999999999" customHeight="1" thickBot="1" x14ac:dyDescent="0.3">
      <c r="A44" s="25"/>
      <c r="B44" s="96"/>
      <c r="C44" s="78"/>
      <c r="D44" s="185"/>
      <c r="E44" s="29"/>
      <c r="F44" s="40"/>
      <c r="H44" s="31"/>
      <c r="I44" s="74"/>
      <c r="J44" s="69">
        <v>44257</v>
      </c>
      <c r="K44" s="34" t="s">
        <v>153</v>
      </c>
      <c r="L44" s="78">
        <v>203</v>
      </c>
      <c r="M44" s="35">
        <v>0</v>
      </c>
      <c r="N44" s="36">
        <v>0</v>
      </c>
      <c r="O44" s="170"/>
    </row>
    <row r="45" spans="1:15" ht="16.149999999999999" hidden="1" customHeight="1" thickBot="1" x14ac:dyDescent="0.3">
      <c r="A45" s="25"/>
      <c r="B45" s="96"/>
      <c r="C45" s="78"/>
      <c r="D45" s="185"/>
      <c r="E45" s="29"/>
      <c r="F45" s="40"/>
      <c r="H45" s="31"/>
      <c r="I45" s="74"/>
      <c r="J45" s="69"/>
      <c r="K45" s="94" t="s">
        <v>51</v>
      </c>
      <c r="L45" s="78"/>
      <c r="M45" s="35">
        <v>0</v>
      </c>
      <c r="N45" s="36">
        <v>0</v>
      </c>
      <c r="O45" s="170"/>
    </row>
    <row r="46" spans="1:15" ht="16.149999999999999" hidden="1" customHeight="1" thickBot="1" x14ac:dyDescent="0.3">
      <c r="A46" s="25"/>
      <c r="B46" s="96"/>
      <c r="C46" s="78"/>
      <c r="D46" s="185"/>
      <c r="E46" s="29"/>
      <c r="F46" s="40"/>
      <c r="H46" s="31"/>
      <c r="I46" s="74"/>
      <c r="J46" s="69"/>
      <c r="K46" s="94" t="s">
        <v>51</v>
      </c>
      <c r="L46" s="89"/>
      <c r="M46" s="35">
        <v>0</v>
      </c>
      <c r="N46" s="36">
        <v>0</v>
      </c>
      <c r="O46" s="170"/>
    </row>
    <row r="47" spans="1:15" ht="16.149999999999999" hidden="1" customHeight="1" thickBot="1" x14ac:dyDescent="0.3">
      <c r="A47" s="25"/>
      <c r="B47" s="96"/>
      <c r="C47" s="78"/>
      <c r="D47" s="185"/>
      <c r="E47" s="29"/>
      <c r="F47" s="40"/>
      <c r="H47" s="31"/>
      <c r="I47" s="74"/>
      <c r="J47" s="69"/>
      <c r="K47" s="94" t="s">
        <v>51</v>
      </c>
      <c r="L47" s="89"/>
      <c r="M47" s="35">
        <v>0</v>
      </c>
      <c r="N47" s="36">
        <v>0</v>
      </c>
      <c r="O47" s="170"/>
    </row>
    <row r="48" spans="1:15" ht="16.149999999999999" hidden="1" customHeight="1" thickBot="1" x14ac:dyDescent="0.3">
      <c r="A48" s="25"/>
      <c r="B48" s="96"/>
      <c r="C48" s="78"/>
      <c r="D48" s="40"/>
      <c r="E48" s="88"/>
      <c r="F48" s="86"/>
      <c r="H48" s="31"/>
      <c r="I48" s="74"/>
      <c r="J48" s="69"/>
      <c r="K48" s="94" t="s">
        <v>51</v>
      </c>
      <c r="L48" s="92"/>
      <c r="M48" s="93"/>
      <c r="N48" s="36"/>
      <c r="O48" s="170"/>
    </row>
    <row r="49" spans="1:15" ht="16.5" hidden="1" customHeight="1" thickBot="1" x14ac:dyDescent="0.3">
      <c r="A49" s="25"/>
      <c r="B49" s="96"/>
      <c r="C49" s="78"/>
      <c r="D49" s="40"/>
      <c r="E49" s="88"/>
      <c r="F49" s="86"/>
      <c r="H49" s="31"/>
      <c r="I49" s="74"/>
      <c r="J49" s="69"/>
      <c r="K49" s="94" t="s">
        <v>51</v>
      </c>
      <c r="L49" s="92"/>
      <c r="M49" s="93"/>
      <c r="N49" s="36"/>
      <c r="O49" s="170"/>
    </row>
    <row r="50" spans="1:15" ht="16.5" hidden="1" customHeight="1" thickBot="1" x14ac:dyDescent="0.3">
      <c r="A50" s="25"/>
      <c r="B50" s="96"/>
      <c r="C50" s="78"/>
      <c r="D50" s="95"/>
      <c r="E50" s="85"/>
      <c r="F50" s="86"/>
      <c r="H50" s="31"/>
      <c r="I50" s="74"/>
      <c r="J50" s="69"/>
      <c r="K50" s="94" t="s">
        <v>51</v>
      </c>
      <c r="L50" s="89"/>
      <c r="M50" s="93"/>
      <c r="N50" s="36"/>
      <c r="O50" s="170"/>
    </row>
    <row r="51" spans="1:15" ht="16.5" hidden="1" customHeight="1" thickBot="1" x14ac:dyDescent="0.3">
      <c r="A51" s="25"/>
      <c r="B51" s="96"/>
      <c r="C51" s="78"/>
      <c r="D51" s="40"/>
      <c r="E51" s="85"/>
      <c r="F51" s="86"/>
      <c r="H51" s="31"/>
      <c r="I51" s="74"/>
      <c r="J51" s="69"/>
      <c r="K51" s="94" t="s">
        <v>51</v>
      </c>
      <c r="L51" s="89"/>
      <c r="M51" s="93"/>
      <c r="N51" s="36"/>
      <c r="O51" s="170"/>
    </row>
    <row r="52" spans="1:15" ht="16.5" hidden="1" customHeight="1" thickBot="1" x14ac:dyDescent="0.35">
      <c r="A52" s="25"/>
      <c r="B52" s="96"/>
      <c r="C52" s="78"/>
      <c r="D52" s="97"/>
      <c r="E52" s="29"/>
      <c r="F52" s="78"/>
      <c r="H52" s="31"/>
      <c r="I52" s="74"/>
      <c r="J52" s="69"/>
      <c r="K52" s="94" t="s">
        <v>51</v>
      </c>
      <c r="L52" s="89"/>
      <c r="M52" s="93"/>
      <c r="N52" s="36"/>
      <c r="O52" s="170"/>
    </row>
    <row r="53" spans="1:15" ht="15.75" hidden="1" customHeight="1" thickBot="1" x14ac:dyDescent="0.35">
      <c r="A53" s="25"/>
      <c r="B53" s="96"/>
      <c r="C53" s="78"/>
      <c r="D53" s="97"/>
      <c r="E53" s="29"/>
      <c r="F53" s="78"/>
      <c r="H53" s="31"/>
      <c r="I53" s="74"/>
      <c r="J53" s="69"/>
      <c r="K53" s="94" t="s">
        <v>51</v>
      </c>
      <c r="L53" s="89"/>
      <c r="M53" s="93"/>
      <c r="N53" s="36"/>
      <c r="O53" s="170"/>
    </row>
    <row r="54" spans="1:15" ht="15.75" hidden="1" customHeight="1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94" t="s">
        <v>51</v>
      </c>
      <c r="L54" s="89"/>
      <c r="M54" s="35"/>
      <c r="N54" s="36"/>
      <c r="O54" s="170"/>
    </row>
    <row r="55" spans="1:15" ht="15.75" hidden="1" customHeight="1" thickBot="1" x14ac:dyDescent="0.35">
      <c r="A55" s="25"/>
      <c r="B55" s="96"/>
      <c r="C55" s="78"/>
      <c r="D55" s="97"/>
      <c r="E55" s="29"/>
      <c r="F55" s="78"/>
      <c r="H55" s="31"/>
      <c r="I55" s="74"/>
      <c r="J55" s="69"/>
      <c r="K55" s="94" t="s">
        <v>51</v>
      </c>
      <c r="L55" s="89"/>
      <c r="M55" s="35">
        <v>0</v>
      </c>
      <c r="N55" s="36">
        <v>0</v>
      </c>
      <c r="O55" s="170"/>
    </row>
    <row r="56" spans="1:15" ht="15.75" hidden="1" customHeight="1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94" t="s">
        <v>51</v>
      </c>
      <c r="L56" s="92"/>
      <c r="M56" s="35"/>
      <c r="N56" s="36"/>
      <c r="O56" s="170"/>
    </row>
    <row r="57" spans="1:15" ht="15.75" hidden="1" customHeight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94" t="s">
        <v>51</v>
      </c>
      <c r="L57" s="92"/>
      <c r="M57" s="35"/>
      <c r="N57" s="36"/>
      <c r="O57" s="170"/>
    </row>
    <row r="58" spans="1:15" ht="15.75" hidden="1" customHeight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94" t="s">
        <v>51</v>
      </c>
      <c r="L58" s="92"/>
      <c r="M58" s="35"/>
      <c r="N58" s="36"/>
      <c r="O58" s="170"/>
    </row>
    <row r="59" spans="1:15" ht="15.75" hidden="1" customHeight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94" t="s">
        <v>51</v>
      </c>
      <c r="L59" s="92"/>
      <c r="M59" s="35"/>
      <c r="N59" s="36"/>
      <c r="O59" s="170"/>
    </row>
    <row r="60" spans="1:15" ht="15.75" hidden="1" customHeight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94" t="s">
        <v>51</v>
      </c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94" t="s">
        <v>51</v>
      </c>
      <c r="L61" s="10">
        <v>0</v>
      </c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374283.74</v>
      </c>
      <c r="D62" s="106"/>
      <c r="E62" s="107" t="s">
        <v>57</v>
      </c>
      <c r="F62" s="108">
        <f>SUM(F5:F61)</f>
        <v>3009045</v>
      </c>
      <c r="G62" s="106"/>
      <c r="H62" s="109" t="s">
        <v>58</v>
      </c>
      <c r="I62" s="110">
        <f>SUM(I5:I61)</f>
        <v>64698.85</v>
      </c>
      <c r="J62" s="111"/>
      <c r="K62" s="112" t="s">
        <v>59</v>
      </c>
      <c r="L62" s="113">
        <f>SUM(L5:L61)</f>
        <v>200248.15000000002</v>
      </c>
      <c r="M62" s="114">
        <f>SUM(M5:M61)</f>
        <v>2574355</v>
      </c>
      <c r="N62" s="114">
        <f>SUM(N5:N61)</f>
        <v>164965</v>
      </c>
      <c r="O62" s="186"/>
    </row>
    <row r="63" spans="1:15" ht="16.5" thickTop="1" thickBot="1" x14ac:dyDescent="0.3">
      <c r="C63" s="5" t="s">
        <v>11</v>
      </c>
      <c r="O63" s="186"/>
    </row>
    <row r="64" spans="1:15" ht="17.25" customHeight="1" thickBot="1" x14ac:dyDescent="0.3">
      <c r="A64" s="58"/>
      <c r="B64" s="115"/>
      <c r="C64" s="4"/>
      <c r="H64" s="325" t="s">
        <v>60</v>
      </c>
      <c r="I64" s="326"/>
      <c r="J64" s="116"/>
      <c r="K64" s="327">
        <f>I62+L62</f>
        <v>264947</v>
      </c>
      <c r="L64" s="328"/>
      <c r="M64" s="315">
        <f>M62+N62</f>
        <v>2739320</v>
      </c>
      <c r="N64" s="316"/>
      <c r="O64" s="187"/>
    </row>
    <row r="65" spans="3:15" ht="19.5" customHeight="1" x14ac:dyDescent="0.25">
      <c r="D65" s="317" t="s">
        <v>61</v>
      </c>
      <c r="E65" s="317"/>
      <c r="F65" s="117">
        <f>F62-K64-C62</f>
        <v>2369814.2599999998</v>
      </c>
      <c r="I65" s="118"/>
      <c r="J65" s="119"/>
    </row>
    <row r="66" spans="3:15" ht="15.75" customHeight="1" x14ac:dyDescent="0.3">
      <c r="D66" s="318" t="s">
        <v>62</v>
      </c>
      <c r="E66" s="318"/>
      <c r="F66" s="114">
        <v>-2261593.1</v>
      </c>
      <c r="I66" s="319" t="s">
        <v>63</v>
      </c>
      <c r="J66" s="320"/>
      <c r="K66" s="321">
        <f>F68+F69+F70</f>
        <v>350407.6199999997</v>
      </c>
      <c r="L66" s="322"/>
    </row>
    <row r="67" spans="3:15" ht="19.5" thickBot="1" x14ac:dyDescent="0.35">
      <c r="D67" s="120"/>
      <c r="E67" s="58"/>
      <c r="F67" s="121">
        <v>0</v>
      </c>
      <c r="I67" s="122"/>
      <c r="J67" s="123"/>
      <c r="K67" s="124"/>
      <c r="L67" s="125"/>
      <c r="O67" s="166" t="s">
        <v>11</v>
      </c>
    </row>
    <row r="68" spans="3:15" ht="18.75" customHeight="1" thickTop="1" x14ac:dyDescent="0.3">
      <c r="C68" s="6" t="s">
        <v>11</v>
      </c>
      <c r="E68" s="58" t="s">
        <v>64</v>
      </c>
      <c r="F68" s="114">
        <f>SUM(F65:F67)</f>
        <v>108221.15999999968</v>
      </c>
      <c r="H68" s="25"/>
      <c r="I68" s="126" t="s">
        <v>65</v>
      </c>
      <c r="J68" s="127"/>
      <c r="K68" s="323">
        <f>-C4</f>
        <v>-209541.1</v>
      </c>
      <c r="L68" s="324"/>
      <c r="M68" s="128"/>
    </row>
    <row r="69" spans="3:15" ht="16.5" thickBot="1" x14ac:dyDescent="0.3">
      <c r="D69" s="87" t="s">
        <v>66</v>
      </c>
      <c r="E69" s="58" t="s">
        <v>67</v>
      </c>
      <c r="F69" s="129">
        <v>19172.2</v>
      </c>
    </row>
    <row r="70" spans="3:15" ht="20.25" thickTop="1" thickBot="1" x14ac:dyDescent="0.35">
      <c r="C70" s="130">
        <v>44257</v>
      </c>
      <c r="D70" s="309" t="s">
        <v>68</v>
      </c>
      <c r="E70" s="310"/>
      <c r="F70" s="131">
        <v>223014.26</v>
      </c>
      <c r="I70" s="311" t="s">
        <v>69</v>
      </c>
      <c r="J70" s="312"/>
      <c r="K70" s="313">
        <f>K66+K68</f>
        <v>140866.5199999997</v>
      </c>
      <c r="L70" s="314"/>
    </row>
    <row r="71" spans="3:15" ht="18.75" x14ac:dyDescent="0.3">
      <c r="C71" s="132"/>
      <c r="D71" s="133"/>
      <c r="E71" s="134"/>
      <c r="F71" s="135"/>
      <c r="J71" s="136"/>
      <c r="M71" s="137"/>
    </row>
  </sheetData>
  <mergeCells count="16">
    <mergeCell ref="K68:L68"/>
    <mergeCell ref="D70:E70"/>
    <mergeCell ref="I70:J70"/>
    <mergeCell ref="K70:L70"/>
    <mergeCell ref="M64:N64"/>
    <mergeCell ref="D65:E65"/>
    <mergeCell ref="D66:E66"/>
    <mergeCell ref="I66:J66"/>
    <mergeCell ref="K66:L66"/>
    <mergeCell ref="H64:I64"/>
    <mergeCell ref="K64:L64"/>
    <mergeCell ref="C1:K1"/>
    <mergeCell ref="B3:C3"/>
    <mergeCell ref="H3:I3"/>
    <mergeCell ref="E4:F4"/>
    <mergeCell ref="H4:I4"/>
  </mergeCells>
  <pageMargins left="0.37" right="0.15748031496062992" top="0.35433070866141736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25" workbookViewId="0">
      <selection activeCell="B71" sqref="B71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44231</v>
      </c>
      <c r="B3" s="152" t="s">
        <v>162</v>
      </c>
      <c r="C3" s="78">
        <v>122195.35</v>
      </c>
      <c r="D3" s="153"/>
      <c r="E3" s="10"/>
      <c r="F3" s="154">
        <f>C3-E3</f>
        <v>122195.35</v>
      </c>
    </row>
    <row r="4" spans="1:7" ht="18.75" x14ac:dyDescent="0.3">
      <c r="A4" s="151">
        <v>44231</v>
      </c>
      <c r="B4" s="152" t="s">
        <v>163</v>
      </c>
      <c r="C4" s="78">
        <v>6621.8</v>
      </c>
      <c r="D4" s="155"/>
      <c r="E4" s="78"/>
      <c r="F4" s="156">
        <f>F3+C4-E4</f>
        <v>128817.15000000001</v>
      </c>
      <c r="G4" s="157"/>
    </row>
    <row r="5" spans="1:7" x14ac:dyDescent="0.25">
      <c r="A5" s="155">
        <v>44231</v>
      </c>
      <c r="B5" s="152" t="s">
        <v>164</v>
      </c>
      <c r="C5" s="78">
        <v>12579.6</v>
      </c>
      <c r="D5" s="155"/>
      <c r="E5" s="78"/>
      <c r="F5" s="158">
        <f t="shared" ref="F5:F66" si="0">F4+C5-E5</f>
        <v>141396.75</v>
      </c>
    </row>
    <row r="6" spans="1:7" x14ac:dyDescent="0.25">
      <c r="A6" s="155">
        <v>44232</v>
      </c>
      <c r="B6" s="152" t="s">
        <v>165</v>
      </c>
      <c r="C6" s="78">
        <v>205306.85</v>
      </c>
      <c r="D6" s="155">
        <v>44232</v>
      </c>
      <c r="E6" s="78">
        <v>346703.6</v>
      </c>
      <c r="F6" s="158">
        <f t="shared" si="0"/>
        <v>0</v>
      </c>
    </row>
    <row r="7" spans="1:7" x14ac:dyDescent="0.25">
      <c r="A7" s="155">
        <v>44233</v>
      </c>
      <c r="B7" s="152" t="s">
        <v>166</v>
      </c>
      <c r="C7" s="78">
        <v>124129.04</v>
      </c>
      <c r="D7" s="155"/>
      <c r="E7" s="78"/>
      <c r="F7" s="158">
        <f t="shared" si="0"/>
        <v>124129.04</v>
      </c>
    </row>
    <row r="8" spans="1:7" x14ac:dyDescent="0.25">
      <c r="A8" s="155">
        <v>44233</v>
      </c>
      <c r="B8" s="152" t="s">
        <v>167</v>
      </c>
      <c r="C8" s="78">
        <v>17314</v>
      </c>
      <c r="D8" s="155"/>
      <c r="E8" s="78"/>
      <c r="F8" s="158">
        <f t="shared" si="0"/>
        <v>141443.03999999998</v>
      </c>
    </row>
    <row r="9" spans="1:7" x14ac:dyDescent="0.25">
      <c r="A9" s="155">
        <v>44234</v>
      </c>
      <c r="B9" s="152" t="s">
        <v>168</v>
      </c>
      <c r="C9" s="78">
        <v>3618.4</v>
      </c>
      <c r="D9" s="155"/>
      <c r="E9" s="78"/>
      <c r="F9" s="158">
        <f t="shared" si="0"/>
        <v>145061.43999999997</v>
      </c>
    </row>
    <row r="10" spans="1:7" ht="18.75" x14ac:dyDescent="0.3">
      <c r="A10" s="155">
        <v>44236</v>
      </c>
      <c r="B10" s="152" t="s">
        <v>169</v>
      </c>
      <c r="C10" s="78">
        <v>149911.4</v>
      </c>
      <c r="D10" s="155"/>
      <c r="E10" s="78"/>
      <c r="F10" s="158">
        <f t="shared" si="0"/>
        <v>294972.83999999997</v>
      </c>
      <c r="G10" s="157"/>
    </row>
    <row r="11" spans="1:7" x14ac:dyDescent="0.25">
      <c r="A11" s="151">
        <v>44237</v>
      </c>
      <c r="B11" s="152" t="s">
        <v>170</v>
      </c>
      <c r="C11" s="78">
        <v>2349.8000000000002</v>
      </c>
      <c r="D11" s="155"/>
      <c r="E11" s="78"/>
      <c r="F11" s="158">
        <f t="shared" si="0"/>
        <v>297322.63999999996</v>
      </c>
    </row>
    <row r="12" spans="1:7" x14ac:dyDescent="0.25">
      <c r="A12" s="155">
        <v>44237</v>
      </c>
      <c r="B12" s="152" t="s">
        <v>171</v>
      </c>
      <c r="C12" s="78">
        <v>6415.9</v>
      </c>
      <c r="D12" s="155"/>
      <c r="E12" s="78"/>
      <c r="F12" s="158">
        <f t="shared" si="0"/>
        <v>303738.53999999998</v>
      </c>
    </row>
    <row r="13" spans="1:7" x14ac:dyDescent="0.25">
      <c r="A13" s="155">
        <v>44238</v>
      </c>
      <c r="B13" s="152" t="s">
        <v>172</v>
      </c>
      <c r="C13" s="78">
        <v>130332.1</v>
      </c>
      <c r="D13" s="155">
        <v>44240</v>
      </c>
      <c r="E13" s="78">
        <v>434070.64</v>
      </c>
      <c r="F13" s="158">
        <f t="shared" si="0"/>
        <v>0</v>
      </c>
    </row>
    <row r="14" spans="1:7" x14ac:dyDescent="0.25">
      <c r="A14" s="155">
        <v>44240</v>
      </c>
      <c r="B14" s="152" t="s">
        <v>173</v>
      </c>
      <c r="C14" s="78">
        <v>37237.589999999997</v>
      </c>
      <c r="D14" s="155"/>
      <c r="E14" s="78"/>
      <c r="F14" s="158">
        <f t="shared" si="0"/>
        <v>37237.589999999997</v>
      </c>
    </row>
    <row r="15" spans="1:7" x14ac:dyDescent="0.25">
      <c r="A15" s="155">
        <v>44240</v>
      </c>
      <c r="B15" s="152" t="s">
        <v>174</v>
      </c>
      <c r="C15" s="78">
        <v>158845.38</v>
      </c>
      <c r="D15" s="155"/>
      <c r="E15" s="78"/>
      <c r="F15" s="158">
        <f t="shared" si="0"/>
        <v>196082.97</v>
      </c>
    </row>
    <row r="16" spans="1:7" x14ac:dyDescent="0.25">
      <c r="A16" s="155">
        <v>44240</v>
      </c>
      <c r="B16" s="152" t="s">
        <v>175</v>
      </c>
      <c r="C16" s="78">
        <v>6020</v>
      </c>
      <c r="D16" s="155"/>
      <c r="E16" s="78"/>
      <c r="F16" s="158">
        <f t="shared" si="0"/>
        <v>202102.97</v>
      </c>
    </row>
    <row r="17" spans="1:7" x14ac:dyDescent="0.25">
      <c r="A17" s="155">
        <v>44241</v>
      </c>
      <c r="B17" s="152" t="s">
        <v>176</v>
      </c>
      <c r="C17" s="78">
        <v>1135.2</v>
      </c>
      <c r="D17" s="155"/>
      <c r="E17" s="78"/>
      <c r="F17" s="158">
        <f t="shared" si="0"/>
        <v>203238.17</v>
      </c>
    </row>
    <row r="18" spans="1:7" x14ac:dyDescent="0.25">
      <c r="A18" s="155">
        <v>44243</v>
      </c>
      <c r="B18" s="152" t="s">
        <v>177</v>
      </c>
      <c r="C18" s="78">
        <v>9671.2000000000007</v>
      </c>
      <c r="D18" s="155"/>
      <c r="E18" s="78"/>
      <c r="F18" s="158">
        <f t="shared" si="0"/>
        <v>212909.37000000002</v>
      </c>
    </row>
    <row r="19" spans="1:7" x14ac:dyDescent="0.25">
      <c r="A19" s="155">
        <v>44243</v>
      </c>
      <c r="B19" s="152" t="s">
        <v>178</v>
      </c>
      <c r="C19" s="78">
        <v>52366.1</v>
      </c>
      <c r="D19" s="155"/>
      <c r="E19" s="78"/>
      <c r="F19" s="158">
        <f t="shared" si="0"/>
        <v>265275.47000000003</v>
      </c>
    </row>
    <row r="20" spans="1:7" x14ac:dyDescent="0.25">
      <c r="A20" s="155">
        <v>44243</v>
      </c>
      <c r="B20" s="152" t="s">
        <v>179</v>
      </c>
      <c r="C20" s="78">
        <v>37063.199999999997</v>
      </c>
      <c r="D20" s="155"/>
      <c r="E20" s="78"/>
      <c r="F20" s="158">
        <f t="shared" si="0"/>
        <v>302338.67000000004</v>
      </c>
    </row>
    <row r="21" spans="1:7" x14ac:dyDescent="0.25">
      <c r="A21" s="155">
        <v>44243</v>
      </c>
      <c r="B21" s="152" t="s">
        <v>180</v>
      </c>
      <c r="C21" s="78">
        <v>11964.4</v>
      </c>
      <c r="D21" s="155"/>
      <c r="E21" s="78"/>
      <c r="F21" s="158">
        <f t="shared" si="0"/>
        <v>314303.07000000007</v>
      </c>
    </row>
    <row r="22" spans="1:7" ht="18.75" x14ac:dyDescent="0.3">
      <c r="A22" s="155">
        <v>44244</v>
      </c>
      <c r="B22" s="152" t="s">
        <v>181</v>
      </c>
      <c r="C22" s="78">
        <v>21381.3</v>
      </c>
      <c r="D22" s="155"/>
      <c r="E22" s="78"/>
      <c r="F22" s="158">
        <f t="shared" si="0"/>
        <v>335684.37000000005</v>
      </c>
      <c r="G22" s="157"/>
    </row>
    <row r="23" spans="1:7" x14ac:dyDescent="0.25">
      <c r="A23" s="155">
        <v>44244</v>
      </c>
      <c r="B23" s="152" t="s">
        <v>182</v>
      </c>
      <c r="C23" s="78">
        <v>107864</v>
      </c>
      <c r="D23" s="155"/>
      <c r="E23" s="78"/>
      <c r="F23" s="158">
        <f t="shared" si="0"/>
        <v>443548.37000000005</v>
      </c>
    </row>
    <row r="24" spans="1:7" x14ac:dyDescent="0.25">
      <c r="A24" s="155">
        <v>44245</v>
      </c>
      <c r="B24" s="152" t="s">
        <v>183</v>
      </c>
      <c r="C24" s="78">
        <v>114513</v>
      </c>
      <c r="D24" s="155">
        <v>44247</v>
      </c>
      <c r="E24" s="78">
        <v>558061.37</v>
      </c>
      <c r="F24" s="158">
        <f t="shared" si="0"/>
        <v>0</v>
      </c>
    </row>
    <row r="25" spans="1:7" x14ac:dyDescent="0.25">
      <c r="A25" s="155">
        <v>44247</v>
      </c>
      <c r="B25" s="152" t="s">
        <v>184</v>
      </c>
      <c r="C25" s="78">
        <v>52132.2</v>
      </c>
      <c r="D25" s="155"/>
      <c r="E25" s="78"/>
      <c r="F25" s="158">
        <f t="shared" si="0"/>
        <v>52132.2</v>
      </c>
    </row>
    <row r="26" spans="1:7" x14ac:dyDescent="0.25">
      <c r="A26" s="155">
        <v>44247</v>
      </c>
      <c r="B26" s="152" t="s">
        <v>185</v>
      </c>
      <c r="C26" s="78">
        <v>149529.79999999999</v>
      </c>
      <c r="D26" s="155"/>
      <c r="E26" s="78"/>
      <c r="F26" s="158">
        <f t="shared" si="0"/>
        <v>201662</v>
      </c>
    </row>
    <row r="27" spans="1:7" x14ac:dyDescent="0.25">
      <c r="A27" s="155">
        <v>44247</v>
      </c>
      <c r="B27" s="152" t="s">
        <v>186</v>
      </c>
      <c r="C27" s="78">
        <v>843.6</v>
      </c>
      <c r="D27" s="155"/>
      <c r="E27" s="78"/>
      <c r="F27" s="158">
        <f t="shared" si="0"/>
        <v>202505.60000000001</v>
      </c>
    </row>
    <row r="28" spans="1:7" x14ac:dyDescent="0.25">
      <c r="A28" s="155">
        <v>44247</v>
      </c>
      <c r="B28" s="152" t="s">
        <v>187</v>
      </c>
      <c r="C28" s="78">
        <v>1600</v>
      </c>
      <c r="D28" s="155"/>
      <c r="E28" s="78"/>
      <c r="F28" s="158">
        <f t="shared" si="0"/>
        <v>204105.60000000001</v>
      </c>
    </row>
    <row r="29" spans="1:7" x14ac:dyDescent="0.25">
      <c r="A29" s="155">
        <v>44249</v>
      </c>
      <c r="B29" s="152" t="s">
        <v>188</v>
      </c>
      <c r="C29" s="78">
        <v>92525.8</v>
      </c>
      <c r="D29" s="155"/>
      <c r="E29" s="78"/>
      <c r="F29" s="158">
        <f t="shared" si="0"/>
        <v>296631.40000000002</v>
      </c>
    </row>
    <row r="30" spans="1:7" ht="18.75" x14ac:dyDescent="0.3">
      <c r="A30" s="155">
        <v>44249</v>
      </c>
      <c r="B30" s="152" t="s">
        <v>189</v>
      </c>
      <c r="C30" s="78">
        <v>111144.6</v>
      </c>
      <c r="D30" s="155"/>
      <c r="E30" s="78"/>
      <c r="F30" s="158">
        <f t="shared" si="0"/>
        <v>407776</v>
      </c>
      <c r="G30" s="157"/>
    </row>
    <row r="31" spans="1:7" x14ac:dyDescent="0.25">
      <c r="A31" s="155">
        <v>44249</v>
      </c>
      <c r="B31" s="152" t="s">
        <v>190</v>
      </c>
      <c r="C31" s="78">
        <v>967.2</v>
      </c>
      <c r="D31" s="155"/>
      <c r="E31" s="78"/>
      <c r="F31" s="158">
        <f t="shared" si="0"/>
        <v>408743.2</v>
      </c>
    </row>
    <row r="32" spans="1:7" x14ac:dyDescent="0.25">
      <c r="A32" s="151">
        <v>44249</v>
      </c>
      <c r="B32" s="152" t="s">
        <v>191</v>
      </c>
      <c r="C32" s="78">
        <v>1679.6</v>
      </c>
      <c r="D32" s="155"/>
      <c r="E32" s="78"/>
      <c r="F32" s="158">
        <f t="shared" si="0"/>
        <v>410422.8</v>
      </c>
    </row>
    <row r="33" spans="1:6" x14ac:dyDescent="0.25">
      <c r="A33" s="151">
        <v>44250</v>
      </c>
      <c r="B33" s="152" t="s">
        <v>192</v>
      </c>
      <c r="C33" s="78">
        <v>97357.55</v>
      </c>
      <c r="D33" s="155"/>
      <c r="E33" s="78"/>
      <c r="F33" s="158">
        <f t="shared" si="0"/>
        <v>507780.35</v>
      </c>
    </row>
    <row r="34" spans="1:6" x14ac:dyDescent="0.25">
      <c r="A34" s="151">
        <v>44250</v>
      </c>
      <c r="B34" s="152" t="s">
        <v>193</v>
      </c>
      <c r="C34" s="78">
        <v>871.04</v>
      </c>
      <c r="D34" s="155"/>
      <c r="E34" s="78"/>
      <c r="F34" s="158">
        <f t="shared" si="0"/>
        <v>508651.38999999996</v>
      </c>
    </row>
    <row r="35" spans="1:6" x14ac:dyDescent="0.25">
      <c r="A35" s="151">
        <v>44252</v>
      </c>
      <c r="B35" s="152" t="s">
        <v>194</v>
      </c>
      <c r="C35" s="78">
        <v>174683.2</v>
      </c>
      <c r="D35" s="155">
        <v>44253</v>
      </c>
      <c r="E35" s="78">
        <v>683334.59</v>
      </c>
      <c r="F35" s="158">
        <f t="shared" si="0"/>
        <v>0</v>
      </c>
    </row>
    <row r="36" spans="1:6" x14ac:dyDescent="0.25">
      <c r="A36" s="151">
        <v>44253</v>
      </c>
      <c r="B36" s="152" t="s">
        <v>195</v>
      </c>
      <c r="C36" s="78">
        <v>2040</v>
      </c>
      <c r="D36" s="155"/>
      <c r="E36" s="78"/>
      <c r="F36" s="158">
        <f t="shared" si="0"/>
        <v>2040</v>
      </c>
    </row>
    <row r="37" spans="1:6" x14ac:dyDescent="0.25">
      <c r="A37" s="155">
        <v>44254</v>
      </c>
      <c r="B37" s="152" t="s">
        <v>196</v>
      </c>
      <c r="C37" s="78">
        <v>51887.5</v>
      </c>
      <c r="D37" s="155"/>
      <c r="E37" s="78"/>
      <c r="F37" s="158">
        <f t="shared" si="0"/>
        <v>53927.5</v>
      </c>
    </row>
    <row r="38" spans="1:6" x14ac:dyDescent="0.25">
      <c r="A38" s="155">
        <v>44254</v>
      </c>
      <c r="B38" s="152" t="s">
        <v>197</v>
      </c>
      <c r="C38" s="78">
        <v>76144.800000000003</v>
      </c>
      <c r="D38" s="155"/>
      <c r="E38" s="78"/>
      <c r="F38" s="158">
        <f t="shared" si="0"/>
        <v>130072.3</v>
      </c>
    </row>
    <row r="39" spans="1:6" x14ac:dyDescent="0.25">
      <c r="A39" s="155">
        <v>44256</v>
      </c>
      <c r="B39" s="152" t="s">
        <v>198</v>
      </c>
      <c r="C39" s="78">
        <v>100359.2</v>
      </c>
      <c r="D39" s="155"/>
      <c r="E39" s="78"/>
      <c r="F39" s="158">
        <f t="shared" si="0"/>
        <v>230431.5</v>
      </c>
    </row>
    <row r="40" spans="1:6" x14ac:dyDescent="0.25">
      <c r="A40" s="151">
        <v>44256</v>
      </c>
      <c r="B40" s="152" t="s">
        <v>199</v>
      </c>
      <c r="C40" s="78">
        <v>8991.4</v>
      </c>
      <c r="D40" s="155">
        <v>44260</v>
      </c>
      <c r="E40" s="78">
        <v>239422.9</v>
      </c>
      <c r="F40" s="158">
        <f t="shared" si="0"/>
        <v>0</v>
      </c>
    </row>
    <row r="41" spans="1:6" x14ac:dyDescent="0.25">
      <c r="A41" s="151"/>
      <c r="B41" s="152"/>
      <c r="C41" s="78">
        <v>0</v>
      </c>
      <c r="D41" s="155"/>
      <c r="E41" s="78"/>
      <c r="F41" s="158">
        <f t="shared" si="0"/>
        <v>0</v>
      </c>
    </row>
    <row r="42" spans="1:6" x14ac:dyDescent="0.25">
      <c r="A42" s="151"/>
      <c r="B42" s="152"/>
      <c r="C42" s="78">
        <v>0</v>
      </c>
      <c r="D42" s="155"/>
      <c r="E42" s="78"/>
      <c r="F42" s="158">
        <f t="shared" si="0"/>
        <v>0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0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0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0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0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0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0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0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0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0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0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0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0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0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0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0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0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0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0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0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0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0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0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0</v>
      </c>
    </row>
    <row r="66" spans="1:6" ht="15.75" thickBot="1" x14ac:dyDescent="0.3">
      <c r="A66" s="161"/>
      <c r="B66" s="162"/>
      <c r="C66" s="163">
        <v>0</v>
      </c>
      <c r="D66" s="164"/>
      <c r="E66" s="163"/>
      <c r="F66" s="158">
        <f t="shared" si="0"/>
        <v>0</v>
      </c>
    </row>
    <row r="67" spans="1:6" ht="19.5" thickTop="1" x14ac:dyDescent="0.3">
      <c r="B67" s="58"/>
      <c r="C67" s="4">
        <f>SUM(C3:C66)</f>
        <v>2261593.1</v>
      </c>
      <c r="D67" s="1"/>
      <c r="E67" s="4">
        <f>SUM(E3:E66)</f>
        <v>2261593.0999999996</v>
      </c>
      <c r="F67" s="165">
        <f>F66</f>
        <v>0</v>
      </c>
    </row>
    <row r="68" spans="1:6" x14ac:dyDescent="0.25">
      <c r="B68" s="58"/>
      <c r="C68" s="4"/>
      <c r="D68" s="1"/>
      <c r="E68" s="5"/>
      <c r="F68" s="4"/>
    </row>
    <row r="69" spans="1:6" x14ac:dyDescent="0.25">
      <c r="B69" s="58"/>
      <c r="C69" s="4"/>
      <c r="D69" s="1"/>
      <c r="E69" s="5"/>
      <c r="F69" s="4"/>
    </row>
    <row r="70" spans="1:6" x14ac:dyDescent="0.25">
      <c r="A70"/>
      <c r="B70" s="25"/>
      <c r="D70" s="25"/>
    </row>
    <row r="71" spans="1:6" x14ac:dyDescent="0.25">
      <c r="A71"/>
      <c r="B71" s="25"/>
      <c r="D71" s="25"/>
    </row>
    <row r="72" spans="1:6" x14ac:dyDescent="0.25">
      <c r="A72"/>
      <c r="B72" s="25"/>
      <c r="D72" s="25"/>
    </row>
    <row r="73" spans="1:6" x14ac:dyDescent="0.25">
      <c r="A73"/>
      <c r="B73" s="25"/>
      <c r="D73" s="25"/>
      <c r="F73"/>
    </row>
    <row r="74" spans="1:6" x14ac:dyDescent="0.25">
      <c r="A74"/>
      <c r="B74" s="25"/>
      <c r="D74" s="25"/>
      <c r="F74"/>
    </row>
    <row r="75" spans="1:6" x14ac:dyDescent="0.25">
      <c r="A75"/>
      <c r="B75" s="25"/>
      <c r="D75" s="25"/>
      <c r="F75"/>
    </row>
    <row r="76" spans="1:6" x14ac:dyDescent="0.25">
      <c r="A76"/>
      <c r="B76" s="25"/>
      <c r="D76" s="25"/>
      <c r="F76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E82"/>
      <c r="F82"/>
    </row>
    <row r="83" spans="1:6" x14ac:dyDescent="0.25">
      <c r="A83"/>
      <c r="B83" s="25"/>
      <c r="D83" s="25"/>
      <c r="E83"/>
      <c r="F83"/>
    </row>
    <row r="84" spans="1:6" x14ac:dyDescent="0.25">
      <c r="A84"/>
      <c r="B84" s="25"/>
      <c r="D84" s="25"/>
      <c r="E84"/>
      <c r="F84"/>
    </row>
    <row r="85" spans="1:6" x14ac:dyDescent="0.25">
      <c r="A85"/>
      <c r="B85" s="25"/>
      <c r="D85" s="25"/>
      <c r="E8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B88" s="25"/>
      <c r="D88" s="25"/>
      <c r="E88"/>
    </row>
    <row r="89" spans="1:6" x14ac:dyDescent="0.25">
      <c r="B89" s="25"/>
      <c r="D89" s="25"/>
      <c r="E89"/>
    </row>
    <row r="90" spans="1:6" x14ac:dyDescent="0.25">
      <c r="B90" s="25"/>
      <c r="D90" s="25"/>
      <c r="E90"/>
    </row>
    <row r="91" spans="1:6" x14ac:dyDescent="0.25">
      <c r="B91" s="25"/>
      <c r="D91" s="25"/>
      <c r="E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4" x14ac:dyDescent="0.25">
      <c r="B97" s="25"/>
    </row>
    <row r="98" spans="2:4" x14ac:dyDescent="0.25">
      <c r="B98" s="25"/>
    </row>
    <row r="99" spans="2:4" x14ac:dyDescent="0.25">
      <c r="B99" s="25"/>
      <c r="D99" s="25"/>
    </row>
    <row r="100" spans="2:4" x14ac:dyDescent="0.25">
      <c r="B100" s="25"/>
    </row>
    <row r="101" spans="2:4" x14ac:dyDescent="0.25">
      <c r="B101" s="25"/>
    </row>
    <row r="102" spans="2:4" x14ac:dyDescent="0.25">
      <c r="B102" s="25"/>
    </row>
    <row r="103" spans="2:4" ht="18.75" x14ac:dyDescent="0.3">
      <c r="C103" s="137"/>
    </row>
  </sheetData>
  <pageMargins left="0.54" right="0.13" top="0.39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O90"/>
  <sheetViews>
    <sheetView topLeftCell="F46" workbookViewId="0">
      <selection activeCell="I68" sqref="I68:J6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301" t="s">
        <v>206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223014.26</v>
      </c>
      <c r="D4" s="19">
        <v>44257</v>
      </c>
      <c r="E4" s="305" t="s">
        <v>7</v>
      </c>
      <c r="F4" s="306"/>
      <c r="H4" s="307" t="s">
        <v>8</v>
      </c>
      <c r="I4" s="308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44258</v>
      </c>
      <c r="C5" s="27">
        <v>4929</v>
      </c>
      <c r="D5" s="28" t="s">
        <v>207</v>
      </c>
      <c r="E5" s="29">
        <v>44258</v>
      </c>
      <c r="F5" s="30">
        <v>81428</v>
      </c>
      <c r="H5" s="31">
        <v>44258</v>
      </c>
      <c r="I5" s="32">
        <v>2440</v>
      </c>
      <c r="J5" s="33"/>
      <c r="K5" s="34"/>
      <c r="L5" s="10"/>
      <c r="M5" s="35">
        <v>81602</v>
      </c>
      <c r="N5" s="36">
        <v>1975</v>
      </c>
      <c r="O5" s="168"/>
    </row>
    <row r="6" spans="1:15" ht="16.5" thickBot="1" x14ac:dyDescent="0.3">
      <c r="A6" s="25"/>
      <c r="B6" s="26">
        <v>44259</v>
      </c>
      <c r="C6" s="27">
        <v>5975</v>
      </c>
      <c r="D6" s="37" t="s">
        <v>40</v>
      </c>
      <c r="E6" s="29">
        <v>44259</v>
      </c>
      <c r="F6" s="30">
        <v>82406</v>
      </c>
      <c r="H6" s="31">
        <v>44259</v>
      </c>
      <c r="I6" s="38">
        <v>385</v>
      </c>
      <c r="J6" s="39"/>
      <c r="K6" s="40"/>
      <c r="L6" s="41"/>
      <c r="M6" s="35">
        <v>72554</v>
      </c>
      <c r="N6" s="36">
        <v>3492</v>
      </c>
      <c r="O6" s="170"/>
    </row>
    <row r="7" spans="1:15" ht="15.75" thickBot="1" x14ac:dyDescent="0.3">
      <c r="A7" s="25"/>
      <c r="B7" s="26">
        <v>44260</v>
      </c>
      <c r="C7" s="27">
        <v>2969</v>
      </c>
      <c r="D7" s="42" t="s">
        <v>208</v>
      </c>
      <c r="E7" s="29">
        <v>44260</v>
      </c>
      <c r="F7" s="30">
        <v>106878</v>
      </c>
      <c r="H7" s="31">
        <v>44260</v>
      </c>
      <c r="I7" s="43">
        <v>10554</v>
      </c>
      <c r="J7" s="39"/>
      <c r="K7" s="44" t="s">
        <v>11</v>
      </c>
      <c r="L7" s="41"/>
      <c r="M7" s="35">
        <v>87277</v>
      </c>
      <c r="N7" s="36">
        <v>6078</v>
      </c>
      <c r="O7" s="168"/>
    </row>
    <row r="8" spans="1:15" ht="15.75" thickBot="1" x14ac:dyDescent="0.3">
      <c r="A8" s="25"/>
      <c r="B8" s="26">
        <v>44261</v>
      </c>
      <c r="C8" s="27">
        <v>1443</v>
      </c>
      <c r="D8" s="45" t="s">
        <v>14</v>
      </c>
      <c r="E8" s="29">
        <v>44261</v>
      </c>
      <c r="F8" s="30">
        <v>124944</v>
      </c>
      <c r="H8" s="31">
        <v>44261</v>
      </c>
      <c r="I8" s="43">
        <v>4668</v>
      </c>
      <c r="J8" s="46">
        <v>44261</v>
      </c>
      <c r="K8" s="44" t="s">
        <v>209</v>
      </c>
      <c r="L8" s="41">
        <f>15682.9+4000+400</f>
        <v>20082.900000000001</v>
      </c>
      <c r="M8" s="35">
        <v>98690</v>
      </c>
      <c r="N8" s="36">
        <v>11386</v>
      </c>
      <c r="O8" s="210"/>
    </row>
    <row r="9" spans="1:15" ht="15.75" thickBot="1" x14ac:dyDescent="0.3">
      <c r="A9" s="25"/>
      <c r="B9" s="26">
        <v>44262</v>
      </c>
      <c r="C9" s="27">
        <v>17217</v>
      </c>
      <c r="D9" s="45" t="s">
        <v>210</v>
      </c>
      <c r="E9" s="29">
        <v>44262</v>
      </c>
      <c r="F9" s="30">
        <v>118834</v>
      </c>
      <c r="H9" s="31">
        <v>44262</v>
      </c>
      <c r="I9" s="43">
        <v>0</v>
      </c>
      <c r="J9" s="48"/>
      <c r="K9" s="49"/>
      <c r="L9" s="41"/>
      <c r="M9" s="35">
        <v>93209</v>
      </c>
      <c r="N9" s="36">
        <v>8408</v>
      </c>
      <c r="O9" s="170"/>
    </row>
    <row r="10" spans="1:15" ht="15.75" thickBot="1" x14ac:dyDescent="0.3">
      <c r="A10" s="25"/>
      <c r="B10" s="26">
        <v>44263</v>
      </c>
      <c r="C10" s="27">
        <v>10804</v>
      </c>
      <c r="D10" s="42" t="s">
        <v>211</v>
      </c>
      <c r="E10" s="29">
        <v>44263</v>
      </c>
      <c r="F10" s="30">
        <v>121712</v>
      </c>
      <c r="H10" s="31">
        <v>44263</v>
      </c>
      <c r="I10" s="43">
        <v>990</v>
      </c>
      <c r="J10" s="48"/>
      <c r="K10" s="50"/>
      <c r="L10" s="51"/>
      <c r="M10" s="35">
        <v>107606</v>
      </c>
      <c r="N10" s="36">
        <v>2312</v>
      </c>
      <c r="O10" s="170"/>
    </row>
    <row r="11" spans="1:15" ht="15.75" thickBot="1" x14ac:dyDescent="0.3">
      <c r="A11" s="25"/>
      <c r="B11" s="26">
        <v>44264</v>
      </c>
      <c r="C11" s="27">
        <v>6932</v>
      </c>
      <c r="D11" s="37" t="s">
        <v>212</v>
      </c>
      <c r="E11" s="29">
        <v>44264</v>
      </c>
      <c r="F11" s="30">
        <v>82017</v>
      </c>
      <c r="H11" s="31">
        <v>44264</v>
      </c>
      <c r="I11" s="43">
        <v>650</v>
      </c>
      <c r="J11" s="52"/>
      <c r="K11" s="53"/>
      <c r="L11" s="41"/>
      <c r="M11" s="35">
        <v>67483</v>
      </c>
      <c r="N11" s="36">
        <v>6952</v>
      </c>
      <c r="O11" s="170"/>
    </row>
    <row r="12" spans="1:15" ht="15.75" thickBot="1" x14ac:dyDescent="0.3">
      <c r="A12" s="25"/>
      <c r="B12" s="26">
        <v>44265</v>
      </c>
      <c r="C12" s="27">
        <v>1772</v>
      </c>
      <c r="D12" s="37" t="s">
        <v>208</v>
      </c>
      <c r="E12" s="29">
        <v>44265</v>
      </c>
      <c r="F12" s="30">
        <v>76662</v>
      </c>
      <c r="H12" s="31">
        <v>44265</v>
      </c>
      <c r="I12" s="43">
        <v>2495</v>
      </c>
      <c r="J12" s="39"/>
      <c r="K12" s="44"/>
      <c r="L12" s="41"/>
      <c r="M12" s="35">
        <f>68859+400</f>
        <v>69259</v>
      </c>
      <c r="N12" s="36">
        <v>3136</v>
      </c>
      <c r="O12" s="170"/>
    </row>
    <row r="13" spans="1:15" ht="15.75" thickBot="1" x14ac:dyDescent="0.3">
      <c r="A13" s="25"/>
      <c r="B13" s="26">
        <v>44266</v>
      </c>
      <c r="C13" s="27">
        <v>10510</v>
      </c>
      <c r="D13" s="45" t="s">
        <v>213</v>
      </c>
      <c r="E13" s="29">
        <v>44266</v>
      </c>
      <c r="F13" s="30">
        <v>97056</v>
      </c>
      <c r="H13" s="31">
        <v>44266</v>
      </c>
      <c r="I13" s="43">
        <v>495</v>
      </c>
      <c r="J13" s="39"/>
      <c r="K13" s="44"/>
      <c r="L13" s="41"/>
      <c r="M13" s="35">
        <v>82544</v>
      </c>
      <c r="N13" s="36">
        <v>3507</v>
      </c>
      <c r="O13" s="170"/>
    </row>
    <row r="14" spans="1:15" ht="15.75" thickBot="1" x14ac:dyDescent="0.3">
      <c r="A14" s="25"/>
      <c r="B14" s="26">
        <v>44267</v>
      </c>
      <c r="C14" s="27">
        <v>7806</v>
      </c>
      <c r="D14" s="42" t="s">
        <v>40</v>
      </c>
      <c r="E14" s="29">
        <v>44267</v>
      </c>
      <c r="F14" s="30">
        <v>123020</v>
      </c>
      <c r="H14" s="31">
        <v>44267</v>
      </c>
      <c r="I14" s="43">
        <v>10570</v>
      </c>
      <c r="J14" s="39"/>
      <c r="K14" s="44"/>
      <c r="L14" s="41"/>
      <c r="M14" s="35">
        <v>100882</v>
      </c>
      <c r="N14" s="36">
        <v>3762</v>
      </c>
      <c r="O14" s="170"/>
    </row>
    <row r="15" spans="1:15" ht="15.75" thickBot="1" x14ac:dyDescent="0.3">
      <c r="A15" s="25"/>
      <c r="B15" s="26">
        <v>44268</v>
      </c>
      <c r="C15" s="27">
        <v>2108</v>
      </c>
      <c r="D15" s="37" t="s">
        <v>214</v>
      </c>
      <c r="E15" s="29">
        <v>44268</v>
      </c>
      <c r="F15" s="30">
        <v>138556</v>
      </c>
      <c r="H15" s="31">
        <v>44268</v>
      </c>
      <c r="I15" s="43">
        <v>550</v>
      </c>
      <c r="J15" s="39">
        <v>44268</v>
      </c>
      <c r="K15" s="44" t="s">
        <v>215</v>
      </c>
      <c r="L15" s="41">
        <f>15882.75+4000+400</f>
        <v>20282.75</v>
      </c>
      <c r="M15" s="35">
        <v>116002</v>
      </c>
      <c r="N15" s="36">
        <v>8467</v>
      </c>
      <c r="O15" s="170"/>
    </row>
    <row r="16" spans="1:15" ht="15.75" thickBot="1" x14ac:dyDescent="0.3">
      <c r="A16" s="25"/>
      <c r="B16" s="26">
        <v>44269</v>
      </c>
      <c r="C16" s="27">
        <v>17118</v>
      </c>
      <c r="D16" s="37" t="s">
        <v>216</v>
      </c>
      <c r="E16" s="29">
        <v>44269</v>
      </c>
      <c r="F16" s="30">
        <v>112047</v>
      </c>
      <c r="H16" s="31">
        <v>44269</v>
      </c>
      <c r="I16" s="43">
        <v>550</v>
      </c>
      <c r="J16" s="39"/>
      <c r="K16" s="174"/>
      <c r="L16" s="10"/>
      <c r="M16" s="35">
        <v>89676</v>
      </c>
      <c r="N16" s="36">
        <v>4703</v>
      </c>
      <c r="O16" s="170"/>
    </row>
    <row r="17" spans="1:15" ht="15.75" thickBot="1" x14ac:dyDescent="0.3">
      <c r="A17" s="25"/>
      <c r="B17" s="26">
        <v>44270</v>
      </c>
      <c r="C17" s="27">
        <v>5155</v>
      </c>
      <c r="D17" s="45" t="s">
        <v>217</v>
      </c>
      <c r="E17" s="29">
        <v>44270</v>
      </c>
      <c r="F17" s="30">
        <v>161357</v>
      </c>
      <c r="H17" s="31">
        <v>44270</v>
      </c>
      <c r="I17" s="43">
        <v>950</v>
      </c>
      <c r="J17" s="39"/>
      <c r="K17" s="44"/>
      <c r="L17" s="51"/>
      <c r="M17" s="35">
        <v>146517</v>
      </c>
      <c r="N17" s="36">
        <v>8735</v>
      </c>
      <c r="O17" s="170"/>
    </row>
    <row r="18" spans="1:15" ht="15.75" thickBot="1" x14ac:dyDescent="0.3">
      <c r="A18" s="25"/>
      <c r="B18" s="26">
        <v>44271</v>
      </c>
      <c r="C18" s="27">
        <v>8682</v>
      </c>
      <c r="D18" s="37" t="s">
        <v>218</v>
      </c>
      <c r="E18" s="29">
        <v>44271</v>
      </c>
      <c r="F18" s="30">
        <v>94902</v>
      </c>
      <c r="H18" s="31">
        <v>44271</v>
      </c>
      <c r="I18" s="43">
        <v>1632</v>
      </c>
      <c r="J18" s="39"/>
      <c r="K18" s="54"/>
      <c r="L18" s="41"/>
      <c r="M18" s="35">
        <f>1971+77614</f>
        <v>79585</v>
      </c>
      <c r="N18" s="36">
        <v>5003</v>
      </c>
      <c r="O18" s="170"/>
    </row>
    <row r="19" spans="1:15" ht="15.75" thickBot="1" x14ac:dyDescent="0.3">
      <c r="A19" s="25"/>
      <c r="B19" s="26">
        <v>44272</v>
      </c>
      <c r="C19" s="27">
        <v>2739</v>
      </c>
      <c r="D19" s="37" t="s">
        <v>30</v>
      </c>
      <c r="E19" s="29">
        <v>44272</v>
      </c>
      <c r="F19" s="30">
        <v>95751</v>
      </c>
      <c r="H19" s="31">
        <v>44272</v>
      </c>
      <c r="I19" s="43">
        <v>2495</v>
      </c>
      <c r="J19" s="39"/>
      <c r="K19" s="55"/>
      <c r="L19" s="56"/>
      <c r="M19" s="35">
        <v>87407</v>
      </c>
      <c r="N19" s="36">
        <v>3110</v>
      </c>
      <c r="O19" s="170"/>
    </row>
    <row r="20" spans="1:15" ht="15.75" thickBot="1" x14ac:dyDescent="0.3">
      <c r="A20" s="25"/>
      <c r="B20" s="26">
        <v>44273</v>
      </c>
      <c r="C20" s="27">
        <v>1066</v>
      </c>
      <c r="D20" s="37" t="s">
        <v>14</v>
      </c>
      <c r="E20" s="29">
        <v>44273</v>
      </c>
      <c r="F20" s="30">
        <v>125913</v>
      </c>
      <c r="H20" s="31">
        <v>44273</v>
      </c>
      <c r="I20" s="43">
        <v>495</v>
      </c>
      <c r="J20" s="39"/>
      <c r="K20" s="57"/>
      <c r="L20" s="51"/>
      <c r="M20" s="35">
        <v>122677</v>
      </c>
      <c r="N20" s="36">
        <v>1675</v>
      </c>
      <c r="O20" s="170"/>
    </row>
    <row r="21" spans="1:15" ht="15.75" thickBot="1" x14ac:dyDescent="0.3">
      <c r="A21" s="25"/>
      <c r="B21" s="26">
        <v>44274</v>
      </c>
      <c r="C21" s="27">
        <v>15559</v>
      </c>
      <c r="D21" s="37" t="s">
        <v>219</v>
      </c>
      <c r="E21" s="29">
        <v>44274</v>
      </c>
      <c r="F21" s="30">
        <v>166421</v>
      </c>
      <c r="H21" s="31">
        <v>44274</v>
      </c>
      <c r="I21" s="43">
        <v>11171</v>
      </c>
      <c r="J21" s="39"/>
      <c r="K21" s="54"/>
      <c r="L21" s="51"/>
      <c r="M21" s="35">
        <v>134714</v>
      </c>
      <c r="N21" s="36">
        <v>4977</v>
      </c>
      <c r="O21" s="170"/>
    </row>
    <row r="22" spans="1:15" ht="15.75" thickBot="1" x14ac:dyDescent="0.3">
      <c r="A22" s="25"/>
      <c r="B22" s="26">
        <v>44275</v>
      </c>
      <c r="C22" s="27">
        <v>5574</v>
      </c>
      <c r="D22" s="37" t="s">
        <v>220</v>
      </c>
      <c r="E22" s="29">
        <v>44275</v>
      </c>
      <c r="F22" s="30">
        <v>131368</v>
      </c>
      <c r="H22" s="31">
        <v>44275</v>
      </c>
      <c r="I22" s="43">
        <v>4316</v>
      </c>
      <c r="J22" s="48">
        <v>44275</v>
      </c>
      <c r="K22" s="58" t="s">
        <v>221</v>
      </c>
      <c r="L22" s="59">
        <f>18782.75+4000+400</f>
        <v>23182.75</v>
      </c>
      <c r="M22" s="35">
        <v>97382</v>
      </c>
      <c r="N22" s="36">
        <v>9767</v>
      </c>
      <c r="O22" s="170"/>
    </row>
    <row r="23" spans="1:15" ht="15.75" thickBot="1" x14ac:dyDescent="0.3">
      <c r="A23" s="25"/>
      <c r="B23" s="26">
        <v>44276</v>
      </c>
      <c r="C23" s="27">
        <v>7949</v>
      </c>
      <c r="D23" s="37" t="s">
        <v>222</v>
      </c>
      <c r="E23" s="29">
        <v>44276</v>
      </c>
      <c r="F23" s="30">
        <v>149719</v>
      </c>
      <c r="H23" s="31">
        <v>44276</v>
      </c>
      <c r="I23" s="43">
        <v>550</v>
      </c>
      <c r="J23" s="60"/>
      <c r="K23" s="61"/>
      <c r="L23" s="62"/>
      <c r="M23" s="35">
        <f>96034+35778</f>
        <v>131812</v>
      </c>
      <c r="N23" s="36">
        <v>11342</v>
      </c>
      <c r="O23" s="170" t="s">
        <v>248</v>
      </c>
    </row>
    <row r="24" spans="1:15" ht="15.75" thickBot="1" x14ac:dyDescent="0.3">
      <c r="A24" s="25"/>
      <c r="B24" s="26">
        <v>44277</v>
      </c>
      <c r="C24" s="27">
        <v>10804</v>
      </c>
      <c r="D24" s="37" t="s">
        <v>223</v>
      </c>
      <c r="E24" s="29">
        <v>44277</v>
      </c>
      <c r="F24" s="30">
        <v>106933</v>
      </c>
      <c r="H24" s="31">
        <v>44277</v>
      </c>
      <c r="I24" s="43">
        <v>440</v>
      </c>
      <c r="J24" s="63"/>
      <c r="K24" s="64"/>
      <c r="L24" s="65"/>
      <c r="M24" s="35">
        <v>91729</v>
      </c>
      <c r="N24" s="195">
        <v>5331</v>
      </c>
      <c r="O24" s="211" t="s">
        <v>249</v>
      </c>
    </row>
    <row r="25" spans="1:15" ht="15.75" thickBot="1" x14ac:dyDescent="0.3">
      <c r="A25" s="25"/>
      <c r="B25" s="26">
        <v>44278</v>
      </c>
      <c r="C25" s="27">
        <v>7181</v>
      </c>
      <c r="D25" s="37" t="s">
        <v>224</v>
      </c>
      <c r="E25" s="29">
        <v>44278</v>
      </c>
      <c r="F25" s="30">
        <v>127050</v>
      </c>
      <c r="H25" s="31">
        <v>44278</v>
      </c>
      <c r="I25" s="43">
        <v>534</v>
      </c>
      <c r="J25" s="66"/>
      <c r="K25" s="67"/>
      <c r="L25" s="68"/>
      <c r="M25" s="35">
        <v>118054</v>
      </c>
      <c r="N25" s="195">
        <v>1281</v>
      </c>
      <c r="O25" s="212" t="s">
        <v>250</v>
      </c>
    </row>
    <row r="26" spans="1:15" ht="15.75" thickBot="1" x14ac:dyDescent="0.3">
      <c r="A26" s="25"/>
      <c r="B26" s="26">
        <v>44279</v>
      </c>
      <c r="C26" s="27">
        <v>4158</v>
      </c>
      <c r="D26" s="37" t="s">
        <v>225</v>
      </c>
      <c r="E26" s="29">
        <v>44279</v>
      </c>
      <c r="F26" s="30">
        <v>117994</v>
      </c>
      <c r="H26" s="31">
        <v>44279</v>
      </c>
      <c r="I26" s="43">
        <v>495</v>
      </c>
      <c r="J26" s="39"/>
      <c r="K26" s="64"/>
      <c r="L26" s="62"/>
      <c r="M26" s="35">
        <v>111550</v>
      </c>
      <c r="N26" s="36">
        <v>1789</v>
      </c>
      <c r="O26" s="170"/>
    </row>
    <row r="27" spans="1:15" ht="15.75" thickBot="1" x14ac:dyDescent="0.3">
      <c r="A27" s="25"/>
      <c r="B27" s="26">
        <v>44280</v>
      </c>
      <c r="C27" s="27">
        <v>6787</v>
      </c>
      <c r="D27" s="45" t="s">
        <v>226</v>
      </c>
      <c r="E27" s="29">
        <v>44280</v>
      </c>
      <c r="F27" s="30">
        <v>92969</v>
      </c>
      <c r="H27" s="31">
        <v>44280</v>
      </c>
      <c r="I27" s="43">
        <v>550</v>
      </c>
      <c r="J27" s="69"/>
      <c r="K27" s="70"/>
      <c r="L27" s="68"/>
      <c r="M27" s="35">
        <v>81327</v>
      </c>
      <c r="N27" s="36">
        <v>4305</v>
      </c>
      <c r="O27" s="170"/>
    </row>
    <row r="28" spans="1:15" ht="15.75" thickBot="1" x14ac:dyDescent="0.3">
      <c r="A28" s="25"/>
      <c r="B28" s="26">
        <v>44281</v>
      </c>
      <c r="C28" s="27">
        <v>2154</v>
      </c>
      <c r="D28" s="45" t="s">
        <v>14</v>
      </c>
      <c r="E28" s="29">
        <v>44281</v>
      </c>
      <c r="F28" s="30">
        <v>238542</v>
      </c>
      <c r="H28" s="31">
        <v>44281</v>
      </c>
      <c r="I28" s="43">
        <v>13598</v>
      </c>
      <c r="J28" s="175"/>
      <c r="K28" s="70"/>
      <c r="L28" s="68"/>
      <c r="M28" s="35">
        <f>2108.5+215933</f>
        <v>218041.5</v>
      </c>
      <c r="N28" s="36">
        <v>4748</v>
      </c>
      <c r="O28" s="170" t="s">
        <v>248</v>
      </c>
    </row>
    <row r="29" spans="1:15" ht="15.75" thickBot="1" x14ac:dyDescent="0.3">
      <c r="A29" s="25"/>
      <c r="B29" s="26">
        <v>44282</v>
      </c>
      <c r="C29" s="27">
        <v>4276</v>
      </c>
      <c r="D29" s="72" t="s">
        <v>227</v>
      </c>
      <c r="E29" s="29">
        <v>44282</v>
      </c>
      <c r="F29" s="30">
        <v>185735</v>
      </c>
      <c r="H29" s="31">
        <v>44282</v>
      </c>
      <c r="I29" s="43">
        <v>550</v>
      </c>
      <c r="J29" s="196">
        <v>44282</v>
      </c>
      <c r="K29" s="73" t="s">
        <v>228</v>
      </c>
      <c r="L29" s="68">
        <f>16771.17+400+4000</f>
        <v>21171.17</v>
      </c>
      <c r="M29" s="35">
        <v>157872</v>
      </c>
      <c r="N29" s="36">
        <v>10720</v>
      </c>
      <c r="O29" s="170"/>
    </row>
    <row r="30" spans="1:15" ht="15.75" thickBot="1" x14ac:dyDescent="0.3">
      <c r="A30" s="25"/>
      <c r="B30" s="26">
        <v>44283</v>
      </c>
      <c r="C30" s="27">
        <v>24877</v>
      </c>
      <c r="D30" s="72" t="s">
        <v>229</v>
      </c>
      <c r="E30" s="29">
        <v>44283</v>
      </c>
      <c r="F30" s="30">
        <v>164558</v>
      </c>
      <c r="H30" s="31">
        <v>44283</v>
      </c>
      <c r="I30" s="74">
        <v>550</v>
      </c>
      <c r="J30" s="69"/>
      <c r="K30" s="44"/>
      <c r="L30" s="41"/>
      <c r="M30" s="35">
        <v>131246</v>
      </c>
      <c r="N30" s="36">
        <v>7885</v>
      </c>
      <c r="O30" s="170"/>
    </row>
    <row r="31" spans="1:15" ht="15.75" thickBot="1" x14ac:dyDescent="0.3">
      <c r="A31" s="25"/>
      <c r="B31" s="26">
        <v>44284</v>
      </c>
      <c r="C31" s="27">
        <v>21623</v>
      </c>
      <c r="D31" s="72" t="s">
        <v>230</v>
      </c>
      <c r="E31" s="29">
        <v>44284</v>
      </c>
      <c r="F31" s="30">
        <v>182732</v>
      </c>
      <c r="H31" s="31">
        <v>44284</v>
      </c>
      <c r="I31" s="74">
        <v>550</v>
      </c>
      <c r="J31" s="69"/>
      <c r="K31" s="67"/>
      <c r="L31" s="68"/>
      <c r="M31" s="35">
        <v>150046</v>
      </c>
      <c r="N31" s="36">
        <v>10513</v>
      </c>
      <c r="O31" s="170"/>
    </row>
    <row r="32" spans="1:15" ht="15.75" thickBot="1" x14ac:dyDescent="0.3">
      <c r="A32" s="25"/>
      <c r="B32" s="26">
        <v>44285</v>
      </c>
      <c r="C32" s="27">
        <v>330</v>
      </c>
      <c r="D32" s="72" t="s">
        <v>231</v>
      </c>
      <c r="E32" s="29">
        <v>44285</v>
      </c>
      <c r="F32" s="76">
        <v>131087</v>
      </c>
      <c r="H32" s="31">
        <v>44285</v>
      </c>
      <c r="I32" s="74">
        <v>575</v>
      </c>
      <c r="J32" s="69">
        <v>44285</v>
      </c>
      <c r="K32" s="197" t="s">
        <v>232</v>
      </c>
      <c r="L32" s="41">
        <v>20000</v>
      </c>
      <c r="M32" s="35">
        <v>106964</v>
      </c>
      <c r="N32" s="36">
        <v>3218</v>
      </c>
      <c r="O32" s="170"/>
    </row>
    <row r="33" spans="1:15" ht="16.5" thickBot="1" x14ac:dyDescent="0.3">
      <c r="A33" s="25"/>
      <c r="B33" s="26">
        <v>44286</v>
      </c>
      <c r="C33" s="78">
        <v>1340</v>
      </c>
      <c r="D33" s="185" t="s">
        <v>14</v>
      </c>
      <c r="E33" s="29">
        <v>44286</v>
      </c>
      <c r="F33" s="78">
        <v>124133</v>
      </c>
      <c r="H33" s="31">
        <v>44286</v>
      </c>
      <c r="I33" s="74">
        <v>440</v>
      </c>
      <c r="J33" s="175"/>
      <c r="K33" s="90"/>
      <c r="L33" s="78"/>
      <c r="M33" s="35">
        <f>70000+48690</f>
        <v>118690</v>
      </c>
      <c r="N33" s="36">
        <v>3663</v>
      </c>
      <c r="O33" s="170" t="s">
        <v>248</v>
      </c>
    </row>
    <row r="34" spans="1:15" ht="15.75" thickBot="1" x14ac:dyDescent="0.3">
      <c r="A34" s="25"/>
      <c r="B34" s="26">
        <v>44287</v>
      </c>
      <c r="C34" s="78">
        <v>7415</v>
      </c>
      <c r="D34" s="198" t="s">
        <v>233</v>
      </c>
      <c r="E34" s="29">
        <v>44287</v>
      </c>
      <c r="F34" s="78">
        <v>126517</v>
      </c>
      <c r="H34" s="31">
        <v>44287</v>
      </c>
      <c r="I34" s="74">
        <v>10515</v>
      </c>
      <c r="J34" s="69"/>
      <c r="K34" s="101"/>
      <c r="L34" s="10"/>
      <c r="M34" s="35">
        <v>97708</v>
      </c>
      <c r="N34" s="36">
        <v>10879</v>
      </c>
      <c r="O34" s="170" t="s">
        <v>251</v>
      </c>
    </row>
    <row r="35" spans="1:15" ht="15.75" thickBot="1" x14ac:dyDescent="0.3">
      <c r="A35" s="25"/>
      <c r="B35" s="26">
        <v>44288</v>
      </c>
      <c r="C35" s="78">
        <v>7748</v>
      </c>
      <c r="D35" s="198" t="s">
        <v>234</v>
      </c>
      <c r="E35" s="29">
        <v>44288</v>
      </c>
      <c r="F35" s="78">
        <v>95516</v>
      </c>
      <c r="H35" s="31">
        <v>44288</v>
      </c>
      <c r="I35" s="74">
        <v>550</v>
      </c>
      <c r="J35" s="69"/>
      <c r="K35" s="90"/>
      <c r="L35" s="78"/>
      <c r="M35" s="35">
        <v>82796</v>
      </c>
      <c r="N35" s="36">
        <v>4422</v>
      </c>
      <c r="O35" s="170" t="s">
        <v>248</v>
      </c>
    </row>
    <row r="36" spans="1:15" ht="16.5" thickBot="1" x14ac:dyDescent="0.3">
      <c r="A36" s="25"/>
      <c r="B36" s="26">
        <v>44289</v>
      </c>
      <c r="C36" s="78">
        <v>0</v>
      </c>
      <c r="D36" s="185"/>
      <c r="E36" s="29">
        <v>44289</v>
      </c>
      <c r="F36" s="78">
        <v>243027</v>
      </c>
      <c r="H36" s="31">
        <v>44289</v>
      </c>
      <c r="I36" s="74">
        <v>550</v>
      </c>
      <c r="J36" s="69">
        <v>44289</v>
      </c>
      <c r="K36" s="101" t="s">
        <v>235</v>
      </c>
      <c r="L36" s="10">
        <f>18825.6+4000</f>
        <v>22825.599999999999</v>
      </c>
      <c r="M36" s="35">
        <v>216308</v>
      </c>
      <c r="N36" s="36">
        <v>12198</v>
      </c>
      <c r="O36" s="170" t="s">
        <v>248</v>
      </c>
    </row>
    <row r="37" spans="1:15" ht="16.5" thickBot="1" x14ac:dyDescent="0.3">
      <c r="A37" s="25"/>
      <c r="B37" s="26">
        <v>44290</v>
      </c>
      <c r="C37" s="78">
        <v>8638</v>
      </c>
      <c r="D37" s="199" t="s">
        <v>40</v>
      </c>
      <c r="E37" s="29">
        <v>44290</v>
      </c>
      <c r="F37" s="200">
        <v>107110</v>
      </c>
      <c r="H37" s="31">
        <v>44290</v>
      </c>
      <c r="I37" s="74">
        <v>1400</v>
      </c>
      <c r="J37" s="69"/>
      <c r="K37" s="201"/>
      <c r="L37" s="78"/>
      <c r="M37" s="35">
        <v>92402</v>
      </c>
      <c r="N37" s="36">
        <v>4670</v>
      </c>
      <c r="O37" s="170"/>
    </row>
    <row r="38" spans="1:15" ht="16.5" thickBot="1" x14ac:dyDescent="0.3">
      <c r="A38" s="25"/>
      <c r="B38" s="26">
        <v>44291</v>
      </c>
      <c r="C38" s="78">
        <v>2136</v>
      </c>
      <c r="D38" s="199" t="s">
        <v>211</v>
      </c>
      <c r="E38" s="29">
        <v>44291</v>
      </c>
      <c r="F38" s="200">
        <v>231413</v>
      </c>
      <c r="H38" s="31">
        <v>44291</v>
      </c>
      <c r="I38" s="74">
        <v>495</v>
      </c>
      <c r="J38" s="69"/>
      <c r="K38" s="94" t="s">
        <v>51</v>
      </c>
      <c r="L38" s="78">
        <v>0</v>
      </c>
      <c r="M38" s="35">
        <f>124118+65290+28216+4710</f>
        <v>222334</v>
      </c>
      <c r="N38" s="36">
        <v>6448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69"/>
      <c r="K39" s="34"/>
      <c r="L39" s="78"/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44259</v>
      </c>
      <c r="C40" s="80">
        <v>12918.81</v>
      </c>
      <c r="D40" s="178" t="s">
        <v>236</v>
      </c>
      <c r="E40" s="29"/>
      <c r="F40" s="182"/>
      <c r="H40" s="31"/>
      <c r="I40" s="74"/>
      <c r="J40" s="69" t="s">
        <v>237</v>
      </c>
      <c r="K40" s="202" t="s">
        <v>238</v>
      </c>
      <c r="L40" s="78">
        <v>3549.87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44260</v>
      </c>
      <c r="C41" s="80">
        <v>26476.799999999999</v>
      </c>
      <c r="D41" s="178" t="s">
        <v>236</v>
      </c>
      <c r="E41" s="29"/>
      <c r="F41" s="183"/>
      <c r="H41" s="31"/>
      <c r="I41" s="74"/>
      <c r="J41" s="69" t="s">
        <v>237</v>
      </c>
      <c r="K41" s="90" t="s">
        <v>45</v>
      </c>
      <c r="L41" s="78">
        <f>8100+8100+9885+9720</f>
        <v>35805</v>
      </c>
      <c r="M41" s="93">
        <v>0</v>
      </c>
      <c r="N41" s="36">
        <v>0</v>
      </c>
      <c r="O41" s="170"/>
    </row>
    <row r="42" spans="1:15" ht="18" thickBot="1" x14ac:dyDescent="0.35">
      <c r="A42" s="25"/>
      <c r="B42" s="79">
        <v>44264</v>
      </c>
      <c r="C42" s="80">
        <v>19097.66</v>
      </c>
      <c r="D42" s="178" t="s">
        <v>236</v>
      </c>
      <c r="E42" s="29"/>
      <c r="F42" s="183"/>
      <c r="H42" s="31"/>
      <c r="I42" s="74"/>
      <c r="J42" s="69" t="s">
        <v>237</v>
      </c>
      <c r="K42" s="90" t="s">
        <v>239</v>
      </c>
      <c r="L42" s="78">
        <f>549+549</f>
        <v>1098</v>
      </c>
      <c r="M42" s="93">
        <v>0</v>
      </c>
      <c r="N42" s="36">
        <v>0</v>
      </c>
      <c r="O42" s="170"/>
    </row>
    <row r="43" spans="1:15" ht="16.5" thickBot="1" x14ac:dyDescent="0.3">
      <c r="A43" s="25"/>
      <c r="B43" s="79">
        <v>44267</v>
      </c>
      <c r="C43" s="203">
        <v>27632.2</v>
      </c>
      <c r="D43" s="178" t="s">
        <v>236</v>
      </c>
      <c r="E43" s="29"/>
      <c r="F43" s="40"/>
      <c r="H43" s="31"/>
      <c r="I43" s="74"/>
      <c r="J43" s="69" t="s">
        <v>237</v>
      </c>
      <c r="K43" s="90" t="s">
        <v>240</v>
      </c>
      <c r="L43" s="78">
        <v>12656.68</v>
      </c>
      <c r="M43" s="93">
        <v>0</v>
      </c>
      <c r="N43" s="36">
        <v>0</v>
      </c>
      <c r="O43" s="170"/>
    </row>
    <row r="44" spans="1:15" ht="16.5" thickBot="1" x14ac:dyDescent="0.3">
      <c r="A44" s="25"/>
      <c r="B44" s="79">
        <v>44268</v>
      </c>
      <c r="C44" s="80">
        <v>12437.12</v>
      </c>
      <c r="D44" s="178" t="s">
        <v>236</v>
      </c>
      <c r="E44" s="29"/>
      <c r="F44" s="40"/>
      <c r="H44" s="31"/>
      <c r="I44" s="74"/>
      <c r="J44" s="69" t="s">
        <v>237</v>
      </c>
      <c r="K44" s="90" t="s">
        <v>46</v>
      </c>
      <c r="L44" s="78">
        <v>986</v>
      </c>
      <c r="M44" s="93">
        <v>0</v>
      </c>
      <c r="N44" s="36">
        <v>0</v>
      </c>
      <c r="O44" s="170"/>
    </row>
    <row r="45" spans="1:15" ht="16.5" thickBot="1" x14ac:dyDescent="0.3">
      <c r="A45" s="25"/>
      <c r="B45" s="79">
        <v>44271</v>
      </c>
      <c r="C45" s="80">
        <v>23190.73</v>
      </c>
      <c r="D45" s="178" t="s">
        <v>236</v>
      </c>
      <c r="E45" s="29"/>
      <c r="F45" s="40"/>
      <c r="H45" s="31"/>
      <c r="I45" s="74"/>
      <c r="J45" s="69" t="s">
        <v>237</v>
      </c>
      <c r="K45" s="204" t="s">
        <v>241</v>
      </c>
      <c r="L45" s="89">
        <v>6960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79">
        <v>44275</v>
      </c>
      <c r="C46" s="80">
        <v>37080.230000000003</v>
      </c>
      <c r="D46" s="178" t="s">
        <v>236</v>
      </c>
      <c r="E46" s="29"/>
      <c r="F46" s="40"/>
      <c r="H46" s="31"/>
      <c r="I46" s="74"/>
      <c r="J46" s="69" t="s">
        <v>237</v>
      </c>
      <c r="K46" s="90" t="s">
        <v>242</v>
      </c>
      <c r="L46" s="89">
        <f>10100+21358</f>
        <v>31458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44279</v>
      </c>
      <c r="C47" s="80">
        <v>36624.78</v>
      </c>
      <c r="D47" s="178" t="s">
        <v>236</v>
      </c>
      <c r="E47" s="88"/>
      <c r="F47" s="86"/>
      <c r="H47" s="31"/>
      <c r="I47" s="74"/>
      <c r="J47" s="69" t="s">
        <v>237</v>
      </c>
      <c r="K47" s="90" t="s">
        <v>151</v>
      </c>
      <c r="L47" s="89">
        <v>10000</v>
      </c>
      <c r="M47" s="93"/>
      <c r="N47" s="36"/>
      <c r="O47" s="170"/>
    </row>
    <row r="48" spans="1:15" ht="16.5" thickBot="1" x14ac:dyDescent="0.3">
      <c r="A48" s="25"/>
      <c r="B48" s="79">
        <v>44284</v>
      </c>
      <c r="C48" s="80">
        <v>13460.94</v>
      </c>
      <c r="D48" s="178" t="s">
        <v>236</v>
      </c>
      <c r="E48" s="88"/>
      <c r="F48" s="86"/>
      <c r="H48" s="31"/>
      <c r="I48" s="74"/>
      <c r="J48" s="69" t="s">
        <v>237</v>
      </c>
      <c r="K48" s="90" t="s">
        <v>53</v>
      </c>
      <c r="L48" s="89">
        <f>398.99+406.58+498.99+398.99+198.99</f>
        <v>1902.54</v>
      </c>
      <c r="M48" s="93"/>
      <c r="N48" s="36"/>
      <c r="O48" s="170"/>
    </row>
    <row r="49" spans="1:15" ht="16.5" thickBot="1" x14ac:dyDescent="0.3">
      <c r="A49" s="25"/>
      <c r="B49" s="79">
        <v>44285</v>
      </c>
      <c r="C49" s="80">
        <v>17719.810000000001</v>
      </c>
      <c r="D49" s="178" t="s">
        <v>236</v>
      </c>
      <c r="E49" s="85"/>
      <c r="F49" s="86"/>
      <c r="H49" s="31"/>
      <c r="I49" s="74"/>
      <c r="J49" s="69" t="s">
        <v>237</v>
      </c>
      <c r="K49" s="90" t="s">
        <v>42</v>
      </c>
      <c r="L49" s="89">
        <f>1394.81+986.84</f>
        <v>2381.65</v>
      </c>
      <c r="M49" s="93"/>
      <c r="N49" s="36"/>
      <c r="O49" s="170"/>
    </row>
    <row r="50" spans="1:15" ht="16.5" thickBot="1" x14ac:dyDescent="0.3">
      <c r="A50" s="25"/>
      <c r="B50" s="79">
        <v>44287</v>
      </c>
      <c r="C50" s="80">
        <v>9934.5</v>
      </c>
      <c r="D50" s="178" t="s">
        <v>236</v>
      </c>
      <c r="E50" s="85"/>
      <c r="F50" s="86"/>
      <c r="H50" s="31"/>
      <c r="I50" s="74"/>
      <c r="J50" s="69" t="s">
        <v>237</v>
      </c>
      <c r="K50" s="90" t="s">
        <v>243</v>
      </c>
      <c r="L50" s="89">
        <v>519</v>
      </c>
      <c r="M50" s="93"/>
      <c r="N50" s="36"/>
      <c r="O50" s="170"/>
    </row>
    <row r="51" spans="1:15" ht="16.5" thickBot="1" x14ac:dyDescent="0.3">
      <c r="A51" s="25"/>
      <c r="B51" s="79">
        <v>44289</v>
      </c>
      <c r="C51" s="80">
        <v>24229.96</v>
      </c>
      <c r="D51" s="178" t="s">
        <v>236</v>
      </c>
      <c r="E51" s="29"/>
      <c r="F51" s="78"/>
      <c r="H51" s="31"/>
      <c r="I51" s="74"/>
      <c r="J51" s="69" t="s">
        <v>237</v>
      </c>
      <c r="K51" s="90" t="s">
        <v>244</v>
      </c>
      <c r="L51" s="89">
        <v>22307.85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31"/>
      <c r="I52" s="74"/>
      <c r="J52" s="69" t="s">
        <v>237</v>
      </c>
      <c r="K52" s="90" t="s">
        <v>245</v>
      </c>
      <c r="L52" s="89">
        <v>5370.73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237</v>
      </c>
      <c r="K53" s="101" t="s">
        <v>242</v>
      </c>
      <c r="L53" s="89">
        <v>414330</v>
      </c>
      <c r="M53" s="35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>
        <v>44287</v>
      </c>
      <c r="K54" s="90" t="s">
        <v>246</v>
      </c>
      <c r="L54" s="89">
        <f>1000+12941.03</f>
        <v>13941.03</v>
      </c>
      <c r="M54" s="35">
        <v>0</v>
      </c>
      <c r="N54" s="36">
        <v>0</v>
      </c>
      <c r="O54" s="170"/>
    </row>
    <row r="55" spans="1:15" ht="19.5" thickBot="1" x14ac:dyDescent="0.35">
      <c r="A55" s="25"/>
      <c r="B55" s="205"/>
      <c r="C55" s="99"/>
      <c r="D55" s="206"/>
      <c r="E55" s="98"/>
      <c r="F55" s="99"/>
      <c r="H55" s="207"/>
      <c r="I55" s="100"/>
      <c r="J55" s="69"/>
      <c r="K55" s="103" t="s">
        <v>247</v>
      </c>
      <c r="L55" s="92">
        <v>3291.8</v>
      </c>
      <c r="M55" s="35"/>
      <c r="N55" s="36"/>
      <c r="O55" s="170"/>
    </row>
    <row r="56" spans="1:15" ht="19.5" thickBot="1" x14ac:dyDescent="0.35">
      <c r="A56" s="25"/>
      <c r="B56" s="205"/>
      <c r="C56" s="99"/>
      <c r="D56" s="206"/>
      <c r="E56" s="98"/>
      <c r="F56" s="99"/>
      <c r="H56" s="207"/>
      <c r="I56" s="100"/>
      <c r="J56" s="69"/>
      <c r="K56" s="101"/>
      <c r="L56" s="92"/>
      <c r="M56" s="35"/>
      <c r="N56" s="36"/>
      <c r="O56" s="170"/>
    </row>
    <row r="57" spans="1:15" ht="19.5" thickBot="1" x14ac:dyDescent="0.35">
      <c r="A57" s="25"/>
      <c r="B57" s="205"/>
      <c r="C57" s="99"/>
      <c r="D57" s="206"/>
      <c r="E57" s="98"/>
      <c r="F57" s="99"/>
      <c r="H57" s="207"/>
      <c r="I57" s="100"/>
      <c r="J57" s="69"/>
      <c r="K57" s="101"/>
      <c r="L57" s="92"/>
      <c r="M57" s="35"/>
      <c r="N57" s="36"/>
      <c r="O57" s="170"/>
    </row>
    <row r="58" spans="1:15" ht="19.5" thickBot="1" x14ac:dyDescent="0.35">
      <c r="A58" s="25"/>
      <c r="B58" s="205"/>
      <c r="C58" s="99"/>
      <c r="D58" s="206"/>
      <c r="E58" s="98"/>
      <c r="F58" s="99"/>
      <c r="H58" s="207"/>
      <c r="I58" s="100"/>
      <c r="J58" s="69"/>
      <c r="K58" s="101"/>
      <c r="L58" s="92"/>
      <c r="M58" s="35"/>
      <c r="N58" s="36"/>
      <c r="O58" s="170"/>
    </row>
    <row r="59" spans="1:15" ht="15.75" thickBot="1" x14ac:dyDescent="0.3">
      <c r="A59" s="25"/>
      <c r="B59" s="26"/>
      <c r="C59" s="27">
        <v>0</v>
      </c>
      <c r="D59" s="102"/>
      <c r="E59" s="98"/>
      <c r="F59" s="99"/>
      <c r="H59" s="91"/>
      <c r="I59" s="100"/>
      <c r="J59" s="69"/>
      <c r="K59" s="103"/>
      <c r="L59" s="10"/>
      <c r="M59" s="35">
        <v>0</v>
      </c>
      <c r="N59" s="36">
        <v>0</v>
      </c>
      <c r="O59" s="170"/>
    </row>
    <row r="60" spans="1:15" ht="16.5" thickBot="1" x14ac:dyDescent="0.3">
      <c r="B60" s="104" t="s">
        <v>57</v>
      </c>
      <c r="C60" s="105">
        <f>SUM(C5:C59)</f>
        <v>506577.54</v>
      </c>
      <c r="D60" s="106"/>
      <c r="E60" s="107" t="s">
        <v>57</v>
      </c>
      <c r="F60" s="108">
        <f>SUM(F5:F59)</f>
        <v>4466307</v>
      </c>
      <c r="G60" s="106"/>
      <c r="H60" s="109" t="s">
        <v>58</v>
      </c>
      <c r="I60" s="110">
        <f>SUM(I5:I59)</f>
        <v>87748</v>
      </c>
      <c r="J60" s="111"/>
      <c r="K60" s="112" t="s">
        <v>59</v>
      </c>
      <c r="L60" s="113">
        <f>SUM(L5:L59)</f>
        <v>694103.32000000007</v>
      </c>
      <c r="M60" s="114">
        <f>SUM(M5:M59)</f>
        <v>3863945.5</v>
      </c>
      <c r="N60" s="114">
        <f>SUM(N5:N59)</f>
        <v>200857</v>
      </c>
      <c r="O60" s="186"/>
    </row>
    <row r="61" spans="1:15" ht="16.5" thickTop="1" thickBot="1" x14ac:dyDescent="0.3">
      <c r="C61" s="5" t="s">
        <v>11</v>
      </c>
      <c r="O61" s="186"/>
    </row>
    <row r="62" spans="1:15" ht="19.5" thickBot="1" x14ac:dyDescent="0.3">
      <c r="A62" s="58"/>
      <c r="B62" s="115"/>
      <c r="C62" s="4"/>
      <c r="H62" s="325" t="s">
        <v>60</v>
      </c>
      <c r="I62" s="326"/>
      <c r="J62" s="116"/>
      <c r="K62" s="327">
        <f>I60+L60</f>
        <v>781851.32000000007</v>
      </c>
      <c r="L62" s="328"/>
      <c r="M62" s="315">
        <f>M60+N60</f>
        <v>4064802.5</v>
      </c>
      <c r="N62" s="316"/>
      <c r="O62" s="187"/>
    </row>
    <row r="63" spans="1:15" ht="15.75" x14ac:dyDescent="0.25">
      <c r="D63" s="317" t="s">
        <v>61</v>
      </c>
      <c r="E63" s="317"/>
      <c r="F63" s="117">
        <f>F60-K62-C60</f>
        <v>3177878.1399999997</v>
      </c>
      <c r="I63" s="118"/>
      <c r="J63" s="119"/>
    </row>
    <row r="64" spans="1:15" ht="18.75" x14ac:dyDescent="0.3">
      <c r="D64" s="318" t="s">
        <v>62</v>
      </c>
      <c r="E64" s="318"/>
      <c r="F64" s="114">
        <v>-3579271.89</v>
      </c>
      <c r="I64" s="319" t="s">
        <v>63</v>
      </c>
      <c r="J64" s="320"/>
      <c r="K64" s="321">
        <f>F66+F67+F68</f>
        <v>-110332.85000000047</v>
      </c>
      <c r="L64" s="322"/>
    </row>
    <row r="65" spans="2:15" ht="19.5" thickBot="1" x14ac:dyDescent="0.35">
      <c r="D65" s="120"/>
      <c r="E65" s="58"/>
      <c r="F65" s="121">
        <v>0</v>
      </c>
      <c r="I65" s="122"/>
      <c r="J65" s="123"/>
      <c r="K65" s="124"/>
      <c r="L65" s="125"/>
    </row>
    <row r="66" spans="2:15" ht="19.5" thickTop="1" x14ac:dyDescent="0.3">
      <c r="C66" s="6" t="s">
        <v>11</v>
      </c>
      <c r="E66" s="58" t="s">
        <v>64</v>
      </c>
      <c r="F66" s="114">
        <f>SUM(F63:F65)</f>
        <v>-401393.75000000047</v>
      </c>
      <c r="H66" s="25"/>
      <c r="I66" s="126" t="s">
        <v>65</v>
      </c>
      <c r="J66" s="127"/>
      <c r="K66" s="323">
        <f>-C4</f>
        <v>-223014.26</v>
      </c>
      <c r="L66" s="324"/>
      <c r="M66" s="128"/>
    </row>
    <row r="67" spans="2:15" ht="16.5" thickBot="1" x14ac:dyDescent="0.3">
      <c r="D67" s="87" t="s">
        <v>66</v>
      </c>
      <c r="E67" s="58" t="s">
        <v>67</v>
      </c>
      <c r="F67" s="129">
        <v>75698</v>
      </c>
    </row>
    <row r="68" spans="2:15" ht="20.25" thickTop="1" thickBot="1" x14ac:dyDescent="0.35">
      <c r="C68" s="130">
        <v>44291</v>
      </c>
      <c r="D68" s="309" t="s">
        <v>68</v>
      </c>
      <c r="E68" s="310"/>
      <c r="F68" s="131">
        <v>215362.9</v>
      </c>
      <c r="I68" s="329" t="s">
        <v>371</v>
      </c>
      <c r="J68" s="330"/>
      <c r="K68" s="331">
        <f>K64+K66</f>
        <v>-333347.11000000045</v>
      </c>
      <c r="L68" s="332"/>
    </row>
    <row r="69" spans="2:15" ht="18.75" x14ac:dyDescent="0.3">
      <c r="C69" s="132"/>
      <c r="D69" s="133"/>
      <c r="E69" s="134"/>
      <c r="F69" s="135"/>
      <c r="J69" s="136"/>
      <c r="M69" s="137"/>
    </row>
    <row r="71" spans="2:15" ht="15.75" x14ac:dyDescent="0.25">
      <c r="B71" s="138"/>
      <c r="C71" s="139"/>
      <c r="D71" s="140"/>
      <c r="E71" s="141"/>
      <c r="M71" s="2"/>
      <c r="N71" s="58"/>
    </row>
    <row r="72" spans="2:15" ht="15.75" x14ac:dyDescent="0.25">
      <c r="B72" s="138"/>
      <c r="C72" s="142"/>
      <c r="E72" s="141"/>
      <c r="M72" s="2"/>
      <c r="N72" s="58"/>
      <c r="O72" s="188"/>
    </row>
    <row r="73" spans="2:15" ht="15.75" x14ac:dyDescent="0.25">
      <c r="B73" s="138"/>
      <c r="C73" s="142"/>
      <c r="E73" s="141"/>
      <c r="F73" s="143"/>
      <c r="L73" s="144"/>
      <c r="M73" s="4"/>
      <c r="O73" s="188"/>
    </row>
    <row r="74" spans="2:15" ht="15.75" x14ac:dyDescent="0.25">
      <c r="B74" s="138"/>
      <c r="C74" s="142"/>
      <c r="E74" s="141"/>
      <c r="M74" s="4"/>
    </row>
    <row r="75" spans="2:15" ht="15.75" x14ac:dyDescent="0.25">
      <c r="B75" s="138"/>
      <c r="C75" s="142"/>
      <c r="E75" s="141"/>
      <c r="F75" s="208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</row>
    <row r="88" spans="5:13" x14ac:dyDescent="0.25">
      <c r="F88" s="208"/>
    </row>
    <row r="89" spans="5:13" x14ac:dyDescent="0.25">
      <c r="F89" s="208"/>
    </row>
    <row r="90" spans="5:13" x14ac:dyDescent="0.25">
      <c r="F90" s="208"/>
    </row>
  </sheetData>
  <mergeCells count="16">
    <mergeCell ref="C1:K1"/>
    <mergeCell ref="B3:C3"/>
    <mergeCell ref="H3:I3"/>
    <mergeCell ref="E4:F4"/>
    <mergeCell ref="H4:I4"/>
    <mergeCell ref="D68:E68"/>
    <mergeCell ref="I68:J68"/>
    <mergeCell ref="K68:L68"/>
    <mergeCell ref="M62:N62"/>
    <mergeCell ref="D63:E63"/>
    <mergeCell ref="D64:E64"/>
    <mergeCell ref="I64:J64"/>
    <mergeCell ref="K64:L64"/>
    <mergeCell ref="K66:L66"/>
    <mergeCell ref="H62:I62"/>
    <mergeCell ref="K62:L6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workbookViewId="0">
      <selection activeCell="H17" sqref="H17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44258</v>
      </c>
      <c r="B3" s="152" t="s">
        <v>252</v>
      </c>
      <c r="C3" s="78">
        <v>122466.2</v>
      </c>
      <c r="D3" s="153"/>
      <c r="E3" s="10"/>
      <c r="F3" s="154">
        <f>C3-E3</f>
        <v>122466.2</v>
      </c>
    </row>
    <row r="4" spans="1:7" ht="18.75" x14ac:dyDescent="0.3">
      <c r="A4" s="151">
        <v>44258</v>
      </c>
      <c r="B4" s="152" t="s">
        <v>253</v>
      </c>
      <c r="C4" s="78">
        <v>51626.38</v>
      </c>
      <c r="D4" s="155"/>
      <c r="E4" s="78"/>
      <c r="F4" s="156">
        <f>F3+C4-E4</f>
        <v>174092.58</v>
      </c>
      <c r="G4" s="157"/>
    </row>
    <row r="5" spans="1:7" x14ac:dyDescent="0.25">
      <c r="A5" s="155">
        <v>44259</v>
      </c>
      <c r="B5" s="152" t="s">
        <v>254</v>
      </c>
      <c r="C5" s="78">
        <v>87047.21</v>
      </c>
      <c r="D5" s="155"/>
      <c r="E5" s="78"/>
      <c r="F5" s="158">
        <f t="shared" ref="F5:F68" si="0">F4+C5-E5</f>
        <v>261139.78999999998</v>
      </c>
    </row>
    <row r="6" spans="1:7" x14ac:dyDescent="0.25">
      <c r="A6" s="155">
        <v>44260</v>
      </c>
      <c r="B6" s="152" t="s">
        <v>255</v>
      </c>
      <c r="C6" s="78">
        <v>24680.2</v>
      </c>
      <c r="D6" s="155"/>
      <c r="E6" s="78"/>
      <c r="F6" s="158">
        <f t="shared" si="0"/>
        <v>285819.99</v>
      </c>
    </row>
    <row r="7" spans="1:7" x14ac:dyDescent="0.25">
      <c r="A7" s="155">
        <v>44260</v>
      </c>
      <c r="B7" s="152" t="s">
        <v>256</v>
      </c>
      <c r="C7" s="78">
        <v>30592.7</v>
      </c>
      <c r="D7" s="155">
        <v>44260</v>
      </c>
      <c r="E7" s="78">
        <v>316412.69</v>
      </c>
      <c r="F7" s="158">
        <f t="shared" si="0"/>
        <v>0</v>
      </c>
    </row>
    <row r="8" spans="1:7" x14ac:dyDescent="0.25">
      <c r="A8" s="155">
        <v>44261</v>
      </c>
      <c r="B8" s="152" t="s">
        <v>257</v>
      </c>
      <c r="C8" s="78">
        <v>165925.5</v>
      </c>
      <c r="D8" s="155"/>
      <c r="E8" s="78"/>
      <c r="F8" s="158">
        <f t="shared" si="0"/>
        <v>165925.5</v>
      </c>
    </row>
    <row r="9" spans="1:7" x14ac:dyDescent="0.25">
      <c r="A9" s="155">
        <v>44264</v>
      </c>
      <c r="B9" s="152" t="s">
        <v>258</v>
      </c>
      <c r="C9" s="78">
        <v>26980.3</v>
      </c>
      <c r="D9" s="155"/>
      <c r="E9" s="78"/>
      <c r="F9" s="158">
        <f t="shared" si="0"/>
        <v>192905.8</v>
      </c>
    </row>
    <row r="10" spans="1:7" ht="18.75" x14ac:dyDescent="0.3">
      <c r="A10" s="155">
        <v>44264</v>
      </c>
      <c r="B10" s="152" t="s">
        <v>259</v>
      </c>
      <c r="C10" s="78">
        <v>77430.100000000006</v>
      </c>
      <c r="D10" s="155"/>
      <c r="E10" s="78"/>
      <c r="F10" s="158">
        <f t="shared" si="0"/>
        <v>270335.90000000002</v>
      </c>
      <c r="G10" s="157"/>
    </row>
    <row r="11" spans="1:7" x14ac:dyDescent="0.25">
      <c r="A11" s="151">
        <v>44265</v>
      </c>
      <c r="B11" s="152" t="s">
        <v>260</v>
      </c>
      <c r="C11" s="78">
        <v>26714.27</v>
      </c>
      <c r="D11" s="155"/>
      <c r="E11" s="78"/>
      <c r="F11" s="158">
        <f t="shared" si="0"/>
        <v>297050.17000000004</v>
      </c>
    </row>
    <row r="12" spans="1:7" x14ac:dyDescent="0.25">
      <c r="A12" s="155">
        <v>44265</v>
      </c>
      <c r="B12" s="152" t="s">
        <v>261</v>
      </c>
      <c r="C12" s="78">
        <v>6782.4</v>
      </c>
      <c r="D12" s="155"/>
      <c r="E12" s="78"/>
      <c r="F12" s="158">
        <f t="shared" si="0"/>
        <v>303832.57000000007</v>
      </c>
    </row>
    <row r="13" spans="1:7" x14ac:dyDescent="0.25">
      <c r="A13" s="155">
        <v>44266</v>
      </c>
      <c r="B13" s="152" t="s">
        <v>262</v>
      </c>
      <c r="C13" s="78">
        <v>153520.95000000001</v>
      </c>
      <c r="D13" s="155"/>
      <c r="E13" s="78"/>
      <c r="F13" s="158">
        <f t="shared" si="0"/>
        <v>457353.52000000008</v>
      </c>
    </row>
    <row r="14" spans="1:7" x14ac:dyDescent="0.25">
      <c r="A14" s="155">
        <v>44266</v>
      </c>
      <c r="B14" s="152" t="s">
        <v>263</v>
      </c>
      <c r="C14" s="78">
        <v>16410.400000000001</v>
      </c>
      <c r="D14" s="155"/>
      <c r="E14" s="78"/>
      <c r="F14" s="158">
        <f t="shared" si="0"/>
        <v>473763.9200000001</v>
      </c>
    </row>
    <row r="15" spans="1:7" x14ac:dyDescent="0.25">
      <c r="A15" s="155">
        <v>44266</v>
      </c>
      <c r="B15" s="152" t="s">
        <v>264</v>
      </c>
      <c r="C15" s="78">
        <v>300</v>
      </c>
      <c r="D15" s="155"/>
      <c r="E15" s="78"/>
      <c r="F15" s="158">
        <f t="shared" si="0"/>
        <v>474063.9200000001</v>
      </c>
    </row>
    <row r="16" spans="1:7" x14ac:dyDescent="0.25">
      <c r="A16" s="155">
        <v>44267</v>
      </c>
      <c r="B16" s="152" t="s">
        <v>265</v>
      </c>
      <c r="C16" s="78">
        <v>120977.69</v>
      </c>
      <c r="D16" s="155">
        <v>44267</v>
      </c>
      <c r="E16" s="78">
        <v>595041.61</v>
      </c>
      <c r="F16" s="158">
        <f t="shared" si="0"/>
        <v>0</v>
      </c>
    </row>
    <row r="17" spans="1:7" x14ac:dyDescent="0.25">
      <c r="A17" s="155">
        <v>44268</v>
      </c>
      <c r="B17" s="152" t="s">
        <v>266</v>
      </c>
      <c r="C17" s="78">
        <v>28456.1</v>
      </c>
      <c r="D17" s="155"/>
      <c r="E17" s="78"/>
      <c r="F17" s="158">
        <f t="shared" si="0"/>
        <v>28456.1</v>
      </c>
    </row>
    <row r="18" spans="1:7" x14ac:dyDescent="0.25">
      <c r="A18" s="155">
        <v>44268</v>
      </c>
      <c r="B18" s="152" t="s">
        <v>267</v>
      </c>
      <c r="C18" s="78">
        <v>154847.29999999999</v>
      </c>
      <c r="D18" s="155"/>
      <c r="E18" s="78"/>
      <c r="F18" s="158">
        <f t="shared" si="0"/>
        <v>183303.4</v>
      </c>
    </row>
    <row r="19" spans="1:7" x14ac:dyDescent="0.25">
      <c r="A19" s="155">
        <v>44268</v>
      </c>
      <c r="B19" s="152" t="s">
        <v>268</v>
      </c>
      <c r="C19" s="78">
        <v>96474.54</v>
      </c>
      <c r="D19" s="155"/>
      <c r="E19" s="78"/>
      <c r="F19" s="158">
        <f t="shared" si="0"/>
        <v>279777.94</v>
      </c>
    </row>
    <row r="20" spans="1:7" x14ac:dyDescent="0.25">
      <c r="A20" s="155">
        <v>44268</v>
      </c>
      <c r="B20" s="152" t="s">
        <v>269</v>
      </c>
      <c r="C20" s="78">
        <v>825.6</v>
      </c>
      <c r="D20" s="155"/>
      <c r="E20" s="78"/>
      <c r="F20" s="158">
        <f t="shared" si="0"/>
        <v>280603.53999999998</v>
      </c>
    </row>
    <row r="21" spans="1:7" x14ac:dyDescent="0.25">
      <c r="A21" s="155">
        <v>44270</v>
      </c>
      <c r="B21" s="152" t="s">
        <v>270</v>
      </c>
      <c r="C21" s="78">
        <v>24868.1</v>
      </c>
      <c r="D21" s="155"/>
      <c r="E21" s="78"/>
      <c r="F21" s="158">
        <f t="shared" si="0"/>
        <v>305471.63999999996</v>
      </c>
    </row>
    <row r="22" spans="1:7" ht="18.75" x14ac:dyDescent="0.3">
      <c r="A22" s="155">
        <v>44271</v>
      </c>
      <c r="B22" s="152" t="s">
        <v>271</v>
      </c>
      <c r="C22" s="78">
        <v>39809.4</v>
      </c>
      <c r="D22" s="155"/>
      <c r="E22" s="78"/>
      <c r="F22" s="158">
        <f t="shared" si="0"/>
        <v>345281.04</v>
      </c>
      <c r="G22" s="157"/>
    </row>
    <row r="23" spans="1:7" x14ac:dyDescent="0.25">
      <c r="A23" s="155">
        <v>44272</v>
      </c>
      <c r="B23" s="152" t="s">
        <v>272</v>
      </c>
      <c r="C23" s="78">
        <v>140803.73000000001</v>
      </c>
      <c r="D23" s="155"/>
      <c r="E23" s="78"/>
      <c r="F23" s="158">
        <f t="shared" si="0"/>
        <v>486084.77</v>
      </c>
    </row>
    <row r="24" spans="1:7" x14ac:dyDescent="0.25">
      <c r="A24" s="155">
        <v>44273</v>
      </c>
      <c r="B24" s="152" t="s">
        <v>273</v>
      </c>
      <c r="C24" s="78">
        <v>139782.5</v>
      </c>
      <c r="D24" s="155"/>
      <c r="E24" s="78"/>
      <c r="F24" s="158">
        <f t="shared" si="0"/>
        <v>625867.27</v>
      </c>
    </row>
    <row r="25" spans="1:7" x14ac:dyDescent="0.25">
      <c r="A25" s="155">
        <v>44273</v>
      </c>
      <c r="B25" s="152" t="s">
        <v>274</v>
      </c>
      <c r="C25" s="78">
        <v>2600</v>
      </c>
      <c r="D25" s="155"/>
      <c r="E25" s="78"/>
      <c r="F25" s="158">
        <f t="shared" si="0"/>
        <v>628467.27</v>
      </c>
    </row>
    <row r="26" spans="1:7" x14ac:dyDescent="0.25">
      <c r="A26" s="155">
        <v>44273</v>
      </c>
      <c r="B26" s="152" t="s">
        <v>275</v>
      </c>
      <c r="C26" s="78">
        <v>12530.4</v>
      </c>
      <c r="D26" s="155">
        <v>44277</v>
      </c>
      <c r="E26" s="78">
        <v>640997.67000000004</v>
      </c>
      <c r="F26" s="158">
        <f t="shared" si="0"/>
        <v>0</v>
      </c>
    </row>
    <row r="27" spans="1:7" x14ac:dyDescent="0.25">
      <c r="A27" s="155">
        <v>44274</v>
      </c>
      <c r="B27" s="152" t="s">
        <v>276</v>
      </c>
      <c r="C27" s="78">
        <v>79650.899999999994</v>
      </c>
      <c r="D27" s="155"/>
      <c r="E27" s="78"/>
      <c r="F27" s="158">
        <f t="shared" si="0"/>
        <v>79650.899999999994</v>
      </c>
    </row>
    <row r="28" spans="1:7" x14ac:dyDescent="0.25">
      <c r="A28" s="155">
        <v>44275</v>
      </c>
      <c r="B28" s="152" t="s">
        <v>277</v>
      </c>
      <c r="C28" s="78">
        <v>177826.5</v>
      </c>
      <c r="D28" s="155"/>
      <c r="E28" s="78"/>
      <c r="F28" s="158">
        <f t="shared" si="0"/>
        <v>257477.4</v>
      </c>
    </row>
    <row r="29" spans="1:7" x14ac:dyDescent="0.25">
      <c r="A29" s="155">
        <v>44275</v>
      </c>
      <c r="B29" s="152" t="s">
        <v>278</v>
      </c>
      <c r="C29" s="78">
        <v>2870.4</v>
      </c>
      <c r="D29" s="155"/>
      <c r="E29" s="78"/>
      <c r="F29" s="158">
        <f t="shared" si="0"/>
        <v>260347.8</v>
      </c>
    </row>
    <row r="30" spans="1:7" ht="18.75" x14ac:dyDescent="0.3">
      <c r="A30" s="155">
        <v>44278</v>
      </c>
      <c r="B30" s="152" t="s">
        <v>279</v>
      </c>
      <c r="C30" s="78">
        <v>137123.6</v>
      </c>
      <c r="D30" s="155"/>
      <c r="E30" s="78"/>
      <c r="F30" s="158">
        <f t="shared" si="0"/>
        <v>397471.4</v>
      </c>
      <c r="G30" s="157"/>
    </row>
    <row r="31" spans="1:7" x14ac:dyDescent="0.25">
      <c r="A31" s="155">
        <v>44278</v>
      </c>
      <c r="B31" s="152" t="s">
        <v>280</v>
      </c>
      <c r="C31" s="78">
        <v>27636.6</v>
      </c>
      <c r="D31" s="155"/>
      <c r="E31" s="78"/>
      <c r="F31" s="158">
        <f t="shared" si="0"/>
        <v>425108</v>
      </c>
    </row>
    <row r="32" spans="1:7" x14ac:dyDescent="0.25">
      <c r="A32" s="151">
        <v>44279</v>
      </c>
      <c r="B32" s="152" t="s">
        <v>281</v>
      </c>
      <c r="C32" s="78">
        <v>2470</v>
      </c>
      <c r="D32" s="155"/>
      <c r="E32" s="78"/>
      <c r="F32" s="158">
        <f t="shared" si="0"/>
        <v>427578</v>
      </c>
    </row>
    <row r="33" spans="1:6" x14ac:dyDescent="0.25">
      <c r="A33" s="151">
        <v>44279</v>
      </c>
      <c r="B33" s="152" t="s">
        <v>282</v>
      </c>
      <c r="C33" s="78">
        <v>91347.7</v>
      </c>
      <c r="D33" s="155"/>
      <c r="E33" s="78"/>
      <c r="F33" s="158">
        <f t="shared" si="0"/>
        <v>518925.7</v>
      </c>
    </row>
    <row r="34" spans="1:6" x14ac:dyDescent="0.25">
      <c r="A34" s="151">
        <v>44280</v>
      </c>
      <c r="B34" s="152" t="s">
        <v>283</v>
      </c>
      <c r="C34" s="78">
        <v>242148.25</v>
      </c>
      <c r="D34" s="155">
        <v>44281</v>
      </c>
      <c r="E34" s="78">
        <v>761073.95</v>
      </c>
      <c r="F34" s="158">
        <f t="shared" si="0"/>
        <v>0</v>
      </c>
    </row>
    <row r="35" spans="1:6" x14ac:dyDescent="0.25">
      <c r="A35" s="151">
        <v>44280</v>
      </c>
      <c r="B35" s="152" t="s">
        <v>284</v>
      </c>
      <c r="C35" s="78">
        <v>38364.6</v>
      </c>
      <c r="D35" s="155"/>
      <c r="E35" s="78"/>
      <c r="F35" s="158">
        <f t="shared" si="0"/>
        <v>38364.6</v>
      </c>
    </row>
    <row r="36" spans="1:6" x14ac:dyDescent="0.25">
      <c r="A36" s="151">
        <v>44281</v>
      </c>
      <c r="B36" s="152" t="s">
        <v>285</v>
      </c>
      <c r="C36" s="78">
        <v>41005.519999999997</v>
      </c>
      <c r="D36" s="155"/>
      <c r="E36" s="78"/>
      <c r="F36" s="158">
        <f t="shared" si="0"/>
        <v>79370.12</v>
      </c>
    </row>
    <row r="37" spans="1:6" x14ac:dyDescent="0.25">
      <c r="A37" s="155">
        <v>44281</v>
      </c>
      <c r="B37" s="152" t="s">
        <v>286</v>
      </c>
      <c r="C37" s="78">
        <v>1769.3</v>
      </c>
      <c r="D37" s="155"/>
      <c r="E37" s="78"/>
      <c r="F37" s="158">
        <f t="shared" si="0"/>
        <v>81139.42</v>
      </c>
    </row>
    <row r="38" spans="1:6" x14ac:dyDescent="0.25">
      <c r="A38" s="155">
        <v>44281</v>
      </c>
      <c r="B38" s="152" t="s">
        <v>287</v>
      </c>
      <c r="C38" s="78">
        <v>92578.6</v>
      </c>
      <c r="D38" s="155"/>
      <c r="E38" s="78"/>
      <c r="F38" s="158">
        <f t="shared" si="0"/>
        <v>173718.02000000002</v>
      </c>
    </row>
    <row r="39" spans="1:6" x14ac:dyDescent="0.25">
      <c r="A39" s="155">
        <v>44282</v>
      </c>
      <c r="B39" s="152" t="s">
        <v>288</v>
      </c>
      <c r="C39" s="78">
        <v>14621.8</v>
      </c>
      <c r="D39" s="155"/>
      <c r="E39" s="78"/>
      <c r="F39" s="158">
        <f t="shared" si="0"/>
        <v>188339.82</v>
      </c>
    </row>
    <row r="40" spans="1:6" x14ac:dyDescent="0.25">
      <c r="A40" s="151">
        <v>44282</v>
      </c>
      <c r="B40" s="152" t="s">
        <v>289</v>
      </c>
      <c r="C40" s="78">
        <v>228316.4</v>
      </c>
      <c r="D40" s="155"/>
      <c r="E40" s="78"/>
      <c r="F40" s="158">
        <f t="shared" si="0"/>
        <v>416656.22</v>
      </c>
    </row>
    <row r="41" spans="1:6" x14ac:dyDescent="0.25">
      <c r="A41" s="151">
        <v>44283</v>
      </c>
      <c r="B41" s="152" t="s">
        <v>290</v>
      </c>
      <c r="C41" s="78">
        <v>42018.2</v>
      </c>
      <c r="D41" s="155"/>
      <c r="E41" s="78"/>
      <c r="F41" s="158">
        <f t="shared" si="0"/>
        <v>458674.42</v>
      </c>
    </row>
    <row r="42" spans="1:6" x14ac:dyDescent="0.25">
      <c r="A42" s="151">
        <v>44284</v>
      </c>
      <c r="B42" s="152" t="s">
        <v>291</v>
      </c>
      <c r="C42" s="78">
        <v>162130.79</v>
      </c>
      <c r="D42" s="155"/>
      <c r="E42" s="78"/>
      <c r="F42" s="158">
        <f t="shared" si="0"/>
        <v>620805.21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620805.21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620805.21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620805.21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620805.21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620805.21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620805.21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620805.21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620805.21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620805.21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620805.21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620805.21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620805.21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620805.21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620805.21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620805.21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620805.21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620805.21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620805.21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620805.21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620805.21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620805.21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620805.21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620805.21</v>
      </c>
    </row>
    <row r="66" spans="1:6" x14ac:dyDescent="0.25">
      <c r="A66" s="159">
        <v>44285</v>
      </c>
      <c r="B66" s="160" t="s">
        <v>292</v>
      </c>
      <c r="C66" s="141">
        <v>160527.9</v>
      </c>
      <c r="D66" s="153">
        <v>44285</v>
      </c>
      <c r="E66" s="141">
        <v>781333.11</v>
      </c>
      <c r="F66" s="158">
        <f t="shared" si="0"/>
        <v>0</v>
      </c>
    </row>
    <row r="67" spans="1:6" x14ac:dyDescent="0.25">
      <c r="A67" s="151">
        <v>44287</v>
      </c>
      <c r="B67" s="152" t="s">
        <v>293</v>
      </c>
      <c r="C67" s="78">
        <v>242606.96</v>
      </c>
      <c r="D67" s="155"/>
      <c r="E67" s="78"/>
      <c r="F67" s="158">
        <f t="shared" si="0"/>
        <v>242606.96</v>
      </c>
    </row>
    <row r="68" spans="1:6" x14ac:dyDescent="0.25">
      <c r="A68" s="151">
        <v>44289</v>
      </c>
      <c r="B68" s="152" t="s">
        <v>294</v>
      </c>
      <c r="C68" s="78">
        <v>172693.3</v>
      </c>
      <c r="D68" s="155"/>
      <c r="E68" s="78"/>
      <c r="F68" s="158">
        <f t="shared" si="0"/>
        <v>415300.26</v>
      </c>
    </row>
    <row r="69" spans="1:6" x14ac:dyDescent="0.25">
      <c r="A69" s="151">
        <v>44290</v>
      </c>
      <c r="B69" s="152" t="s">
        <v>295</v>
      </c>
      <c r="C69" s="78">
        <v>3078.5</v>
      </c>
      <c r="D69" s="155"/>
      <c r="E69" s="78"/>
      <c r="F69" s="158">
        <f t="shared" ref="F69:F77" si="1">F68+C69-E69</f>
        <v>418378.76</v>
      </c>
    </row>
    <row r="70" spans="1:6" x14ac:dyDescent="0.25">
      <c r="A70" s="151">
        <v>44291</v>
      </c>
      <c r="B70" s="152" t="s">
        <v>296</v>
      </c>
      <c r="C70" s="78">
        <v>66034.100000000006</v>
      </c>
      <c r="D70" s="155">
        <v>44295</v>
      </c>
      <c r="E70" s="78">
        <v>484412.86</v>
      </c>
      <c r="F70" s="158">
        <f t="shared" si="1"/>
        <v>0</v>
      </c>
    </row>
    <row r="71" spans="1:6" x14ac:dyDescent="0.25">
      <c r="A71" s="151"/>
      <c r="B71" s="152"/>
      <c r="C71" s="78"/>
      <c r="D71" s="155"/>
      <c r="E71" s="78"/>
      <c r="F71" s="158">
        <f t="shared" si="1"/>
        <v>0</v>
      </c>
    </row>
    <row r="72" spans="1:6" x14ac:dyDescent="0.25">
      <c r="A72" s="151"/>
      <c r="B72" s="152"/>
      <c r="C72" s="78"/>
      <c r="D72" s="155"/>
      <c r="E72" s="78"/>
      <c r="F72" s="158">
        <f t="shared" si="1"/>
        <v>0</v>
      </c>
    </row>
    <row r="73" spans="1:6" x14ac:dyDescent="0.25">
      <c r="A73" s="151"/>
      <c r="B73" s="152"/>
      <c r="C73" s="78"/>
      <c r="D73" s="155"/>
      <c r="E73" s="78"/>
      <c r="F73" s="158">
        <f t="shared" si="1"/>
        <v>0</v>
      </c>
    </row>
    <row r="74" spans="1:6" x14ac:dyDescent="0.25">
      <c r="A74" s="151"/>
      <c r="B74" s="152"/>
      <c r="C74" s="78"/>
      <c r="D74" s="155"/>
      <c r="E74" s="78"/>
      <c r="F74" s="158">
        <f t="shared" si="1"/>
        <v>0</v>
      </c>
    </row>
    <row r="75" spans="1:6" x14ac:dyDescent="0.25">
      <c r="A75" s="151"/>
      <c r="B75" s="152"/>
      <c r="C75" s="78"/>
      <c r="D75" s="155"/>
      <c r="E75" s="78"/>
      <c r="F75" s="158">
        <f t="shared" si="1"/>
        <v>0</v>
      </c>
    </row>
    <row r="76" spans="1:6" x14ac:dyDescent="0.25">
      <c r="A76" s="151"/>
      <c r="B76" s="152"/>
      <c r="C76" s="78"/>
      <c r="D76" s="155"/>
      <c r="E76" s="78"/>
      <c r="F76" s="158">
        <f t="shared" si="1"/>
        <v>0</v>
      </c>
    </row>
    <row r="77" spans="1:6" ht="15.75" thickBot="1" x14ac:dyDescent="0.3">
      <c r="A77" s="161"/>
      <c r="B77" s="162"/>
      <c r="C77" s="163">
        <v>0</v>
      </c>
      <c r="D77" s="164"/>
      <c r="E77" s="163"/>
      <c r="F77" s="158">
        <f t="shared" si="1"/>
        <v>0</v>
      </c>
    </row>
    <row r="78" spans="1:6" ht="19.5" thickTop="1" x14ac:dyDescent="0.3">
      <c r="B78" s="58"/>
      <c r="C78" s="4">
        <f>SUM(C3:C77)</f>
        <v>3579271.8899999997</v>
      </c>
      <c r="D78" s="1"/>
      <c r="E78" s="4">
        <f>SUM(E3:E77)</f>
        <v>3579271.8899999997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O86"/>
  <sheetViews>
    <sheetView topLeftCell="A43" workbookViewId="0">
      <selection activeCell="F60" sqref="F6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301" t="s">
        <v>297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215362.9</v>
      </c>
      <c r="D4" s="19">
        <v>44291</v>
      </c>
      <c r="E4" s="305" t="s">
        <v>7</v>
      </c>
      <c r="F4" s="306"/>
      <c r="H4" s="307" t="s">
        <v>8</v>
      </c>
      <c r="I4" s="335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44292</v>
      </c>
      <c r="C5" s="27">
        <v>2270</v>
      </c>
      <c r="D5" s="28" t="s">
        <v>14</v>
      </c>
      <c r="E5" s="29">
        <v>44292</v>
      </c>
      <c r="F5" s="30">
        <v>78786</v>
      </c>
      <c r="H5" s="31">
        <v>44292</v>
      </c>
      <c r="I5" s="32">
        <v>535</v>
      </c>
      <c r="J5" s="33"/>
      <c r="K5" s="34"/>
      <c r="L5" s="10"/>
      <c r="M5" s="35">
        <v>76893</v>
      </c>
      <c r="N5" s="36">
        <v>6489</v>
      </c>
      <c r="O5" s="168"/>
    </row>
    <row r="6" spans="1:15" ht="16.5" thickBot="1" x14ac:dyDescent="0.3">
      <c r="A6" s="25"/>
      <c r="B6" s="26">
        <v>44293</v>
      </c>
      <c r="C6" s="27">
        <v>16227</v>
      </c>
      <c r="D6" s="37" t="s">
        <v>298</v>
      </c>
      <c r="E6" s="29">
        <v>44293</v>
      </c>
      <c r="F6" s="30">
        <v>91544</v>
      </c>
      <c r="H6" s="31">
        <v>44293</v>
      </c>
      <c r="I6" s="38">
        <v>495</v>
      </c>
      <c r="J6" s="39"/>
      <c r="K6" s="40"/>
      <c r="L6" s="41"/>
      <c r="M6" s="35">
        <v>110430</v>
      </c>
      <c r="N6" s="36">
        <v>3411</v>
      </c>
      <c r="O6" s="170" t="s">
        <v>299</v>
      </c>
    </row>
    <row r="7" spans="1:15" ht="15.75" thickBot="1" x14ac:dyDescent="0.3">
      <c r="A7" s="25"/>
      <c r="B7" s="26">
        <v>44294</v>
      </c>
      <c r="C7" s="27">
        <v>6813</v>
      </c>
      <c r="D7" s="42" t="s">
        <v>300</v>
      </c>
      <c r="E7" s="29">
        <v>44294</v>
      </c>
      <c r="F7" s="30">
        <v>181751</v>
      </c>
      <c r="H7" s="31">
        <v>44294</v>
      </c>
      <c r="I7" s="43">
        <v>495</v>
      </c>
      <c r="J7" s="39"/>
      <c r="K7" s="44"/>
      <c r="L7" s="41"/>
      <c r="M7" s="35">
        <v>174952</v>
      </c>
      <c r="N7" s="36">
        <v>3153</v>
      </c>
      <c r="O7" s="213" t="s">
        <v>301</v>
      </c>
    </row>
    <row r="8" spans="1:15" ht="15.75" thickBot="1" x14ac:dyDescent="0.3">
      <c r="A8" s="25"/>
      <c r="B8" s="26">
        <v>44295</v>
      </c>
      <c r="C8" s="27">
        <v>2299.5</v>
      </c>
      <c r="D8" s="45" t="s">
        <v>14</v>
      </c>
      <c r="E8" s="29">
        <v>44295</v>
      </c>
      <c r="F8" s="30">
        <v>161779</v>
      </c>
      <c r="H8" s="31">
        <v>44295</v>
      </c>
      <c r="I8" s="43">
        <v>10570</v>
      </c>
      <c r="J8" s="46"/>
      <c r="K8" s="44"/>
      <c r="L8" s="41"/>
      <c r="M8" s="35">
        <f>145398+854</f>
        <v>146252</v>
      </c>
      <c r="N8" s="36">
        <v>3483</v>
      </c>
      <c r="O8" s="214" t="s">
        <v>301</v>
      </c>
    </row>
    <row r="9" spans="1:15" ht="15.75" thickBot="1" x14ac:dyDescent="0.3">
      <c r="A9" s="25"/>
      <c r="B9" s="26">
        <v>44296</v>
      </c>
      <c r="C9" s="27">
        <v>1500</v>
      </c>
      <c r="D9" s="45" t="s">
        <v>14</v>
      </c>
      <c r="E9" s="29">
        <v>44296</v>
      </c>
      <c r="F9" s="30">
        <v>133429</v>
      </c>
      <c r="H9" s="31">
        <v>44296</v>
      </c>
      <c r="I9" s="43">
        <v>550</v>
      </c>
      <c r="J9" s="48">
        <v>44296</v>
      </c>
      <c r="K9" s="49" t="s">
        <v>302</v>
      </c>
      <c r="L9" s="41">
        <f>17039.89+400+4000</f>
        <v>21439.89</v>
      </c>
      <c r="M9" s="35">
        <v>115775</v>
      </c>
      <c r="N9" s="36">
        <v>3018</v>
      </c>
      <c r="O9" s="170" t="s">
        <v>299</v>
      </c>
    </row>
    <row r="10" spans="1:15" ht="15.75" thickBot="1" x14ac:dyDescent="0.3">
      <c r="A10" s="25"/>
      <c r="B10" s="26">
        <v>44297</v>
      </c>
      <c r="C10" s="27">
        <v>11542</v>
      </c>
      <c r="D10" s="42" t="s">
        <v>303</v>
      </c>
      <c r="E10" s="29">
        <v>44297</v>
      </c>
      <c r="F10" s="30">
        <v>112601</v>
      </c>
      <c r="H10" s="31">
        <v>44297</v>
      </c>
      <c r="I10" s="43">
        <v>550</v>
      </c>
      <c r="J10" s="48"/>
      <c r="K10" s="50"/>
      <c r="L10" s="51"/>
      <c r="M10" s="35">
        <v>93297</v>
      </c>
      <c r="N10" s="36">
        <v>7212</v>
      </c>
      <c r="O10" s="170"/>
    </row>
    <row r="11" spans="1:15" ht="15.75" thickBot="1" x14ac:dyDescent="0.3">
      <c r="A11" s="25"/>
      <c r="B11" s="26">
        <v>44298</v>
      </c>
      <c r="C11" s="27">
        <v>9207</v>
      </c>
      <c r="D11" s="37" t="s">
        <v>304</v>
      </c>
      <c r="E11" s="29">
        <v>44298</v>
      </c>
      <c r="F11" s="30">
        <v>143690</v>
      </c>
      <c r="H11" s="31">
        <v>44298</v>
      </c>
      <c r="I11" s="43">
        <v>440</v>
      </c>
      <c r="J11" s="52"/>
      <c r="K11" s="53"/>
      <c r="L11" s="41"/>
      <c r="M11" s="35">
        <v>130790</v>
      </c>
      <c r="N11" s="36">
        <v>3253</v>
      </c>
      <c r="O11" s="170"/>
    </row>
    <row r="12" spans="1:15" ht="15.75" thickBot="1" x14ac:dyDescent="0.3">
      <c r="A12" s="25"/>
      <c r="B12" s="26">
        <v>44299</v>
      </c>
      <c r="C12" s="27">
        <v>8025</v>
      </c>
      <c r="D12" s="37" t="s">
        <v>40</v>
      </c>
      <c r="E12" s="29">
        <v>44299</v>
      </c>
      <c r="F12" s="30">
        <v>99486</v>
      </c>
      <c r="H12" s="31">
        <v>44299</v>
      </c>
      <c r="I12" s="43">
        <v>637</v>
      </c>
      <c r="J12" s="39"/>
      <c r="K12" s="44"/>
      <c r="L12" s="41"/>
      <c r="M12" s="35">
        <v>77753</v>
      </c>
      <c r="N12" s="36">
        <v>13071</v>
      </c>
      <c r="O12" s="170"/>
    </row>
    <row r="13" spans="1:15" ht="15.75" thickBot="1" x14ac:dyDescent="0.3">
      <c r="A13" s="25"/>
      <c r="B13" s="26">
        <v>44300</v>
      </c>
      <c r="C13" s="27">
        <v>5115</v>
      </c>
      <c r="D13" s="45" t="s">
        <v>305</v>
      </c>
      <c r="E13" s="29">
        <v>44300</v>
      </c>
      <c r="F13" s="30">
        <v>116185</v>
      </c>
      <c r="H13" s="31">
        <v>44300</v>
      </c>
      <c r="I13" s="43">
        <v>6565</v>
      </c>
      <c r="J13" s="39"/>
      <c r="K13" s="44"/>
      <c r="L13" s="41"/>
      <c r="M13" s="35">
        <v>109267</v>
      </c>
      <c r="N13" s="36">
        <v>3368</v>
      </c>
      <c r="O13" s="170" t="s">
        <v>299</v>
      </c>
    </row>
    <row r="14" spans="1:15" ht="15.75" thickBot="1" x14ac:dyDescent="0.3">
      <c r="A14" s="25"/>
      <c r="B14" s="26">
        <v>44301</v>
      </c>
      <c r="C14" s="27">
        <v>3395</v>
      </c>
      <c r="D14" s="42" t="s">
        <v>306</v>
      </c>
      <c r="E14" s="29">
        <v>44301</v>
      </c>
      <c r="F14" s="30">
        <v>92284</v>
      </c>
      <c r="H14" s="31">
        <v>44301</v>
      </c>
      <c r="I14" s="43">
        <v>840</v>
      </c>
      <c r="J14" s="39">
        <v>44301</v>
      </c>
      <c r="K14" s="44" t="s">
        <v>307</v>
      </c>
      <c r="L14" s="41">
        <v>1500</v>
      </c>
      <c r="M14" s="35">
        <v>81092</v>
      </c>
      <c r="N14" s="36">
        <v>5457</v>
      </c>
      <c r="O14" s="170" t="s">
        <v>299</v>
      </c>
    </row>
    <row r="15" spans="1:15" ht="15.75" thickBot="1" x14ac:dyDescent="0.3">
      <c r="A15" s="25"/>
      <c r="B15" s="26">
        <v>44302</v>
      </c>
      <c r="C15" s="27">
        <v>2153</v>
      </c>
      <c r="D15" s="37" t="s">
        <v>14</v>
      </c>
      <c r="E15" s="29">
        <v>44302</v>
      </c>
      <c r="F15" s="30">
        <v>177091</v>
      </c>
      <c r="H15" s="31">
        <v>44302</v>
      </c>
      <c r="I15" s="43">
        <v>10570</v>
      </c>
      <c r="J15" s="39" t="s">
        <v>11</v>
      </c>
      <c r="K15" s="44"/>
      <c r="L15" s="41"/>
      <c r="M15" s="35">
        <f>161959+912</f>
        <v>162871</v>
      </c>
      <c r="N15" s="36">
        <v>2409</v>
      </c>
      <c r="O15" s="170" t="s">
        <v>301</v>
      </c>
    </row>
    <row r="16" spans="1:15" ht="15.75" thickBot="1" x14ac:dyDescent="0.3">
      <c r="A16" s="25"/>
      <c r="B16" s="26">
        <v>44303</v>
      </c>
      <c r="C16" s="27">
        <v>18446</v>
      </c>
      <c r="D16" s="37" t="s">
        <v>308</v>
      </c>
      <c r="E16" s="29">
        <v>44303</v>
      </c>
      <c r="F16" s="30">
        <v>211763</v>
      </c>
      <c r="H16" s="31">
        <v>44303</v>
      </c>
      <c r="I16" s="43">
        <v>10440</v>
      </c>
      <c r="J16" s="39">
        <v>44303</v>
      </c>
      <c r="K16" s="44" t="s">
        <v>309</v>
      </c>
      <c r="L16" s="10">
        <f>13724.27+400+4000</f>
        <v>18124.27</v>
      </c>
      <c r="M16" s="35">
        <v>168118</v>
      </c>
      <c r="N16" s="36">
        <v>4660</v>
      </c>
      <c r="O16" s="170" t="s">
        <v>301</v>
      </c>
    </row>
    <row r="17" spans="1:15" ht="15.75" thickBot="1" x14ac:dyDescent="0.3">
      <c r="A17" s="25"/>
      <c r="B17" s="26">
        <v>44304</v>
      </c>
      <c r="C17" s="27">
        <v>9132</v>
      </c>
      <c r="D17" s="45" t="s">
        <v>310</v>
      </c>
      <c r="E17" s="29">
        <v>44304</v>
      </c>
      <c r="F17" s="30">
        <v>118247</v>
      </c>
      <c r="H17" s="31">
        <v>44304</v>
      </c>
      <c r="I17" s="43">
        <v>440</v>
      </c>
      <c r="J17" s="39"/>
      <c r="K17" s="44"/>
      <c r="L17" s="51"/>
      <c r="M17" s="35">
        <v>104035</v>
      </c>
      <c r="N17" s="36">
        <v>4640</v>
      </c>
      <c r="O17" s="170"/>
    </row>
    <row r="18" spans="1:15" ht="15.75" thickBot="1" x14ac:dyDescent="0.3">
      <c r="A18" s="25"/>
      <c r="B18" s="26">
        <v>44305</v>
      </c>
      <c r="C18" s="27">
        <v>2646</v>
      </c>
      <c r="D18" s="37" t="s">
        <v>311</v>
      </c>
      <c r="E18" s="29">
        <v>44305</v>
      </c>
      <c r="F18" s="30">
        <v>163778</v>
      </c>
      <c r="H18" s="31">
        <v>44305</v>
      </c>
      <c r="I18" s="43">
        <v>440</v>
      </c>
      <c r="J18" s="39">
        <v>44305</v>
      </c>
      <c r="K18" s="215" t="s">
        <v>312</v>
      </c>
      <c r="L18" s="41">
        <v>1143</v>
      </c>
      <c r="M18" s="35">
        <v>154926</v>
      </c>
      <c r="N18" s="36">
        <v>4623</v>
      </c>
      <c r="O18" s="170" t="s">
        <v>299</v>
      </c>
    </row>
    <row r="19" spans="1:15" ht="15.75" thickBot="1" x14ac:dyDescent="0.3">
      <c r="A19" s="25"/>
      <c r="B19" s="26">
        <v>44306</v>
      </c>
      <c r="C19" s="27">
        <v>2188</v>
      </c>
      <c r="D19" s="37" t="s">
        <v>134</v>
      </c>
      <c r="E19" s="29">
        <v>44306</v>
      </c>
      <c r="F19" s="30">
        <v>93195</v>
      </c>
      <c r="H19" s="31">
        <v>44306</v>
      </c>
      <c r="I19" s="43">
        <v>605</v>
      </c>
      <c r="J19" s="39"/>
      <c r="K19" s="55"/>
      <c r="L19" s="56"/>
      <c r="M19" s="35">
        <v>87045</v>
      </c>
      <c r="N19" s="36">
        <v>4192</v>
      </c>
      <c r="O19" s="170"/>
    </row>
    <row r="20" spans="1:15" ht="15.75" thickBot="1" x14ac:dyDescent="0.3">
      <c r="A20" s="25"/>
      <c r="B20" s="26">
        <v>44307</v>
      </c>
      <c r="C20" s="27">
        <v>8911</v>
      </c>
      <c r="D20" s="37" t="s">
        <v>313</v>
      </c>
      <c r="E20" s="29">
        <v>44307</v>
      </c>
      <c r="F20" s="30">
        <v>133404</v>
      </c>
      <c r="H20" s="31">
        <v>44307</v>
      </c>
      <c r="I20" s="43">
        <v>495</v>
      </c>
      <c r="J20" s="39"/>
      <c r="K20" s="57"/>
      <c r="L20" s="51"/>
      <c r="M20" s="35">
        <f>29009+103602</f>
        <v>132611</v>
      </c>
      <c r="N20" s="36">
        <v>4211</v>
      </c>
      <c r="O20" s="170" t="s">
        <v>301</v>
      </c>
    </row>
    <row r="21" spans="1:15" ht="15.75" thickBot="1" x14ac:dyDescent="0.3">
      <c r="A21" s="25"/>
      <c r="B21" s="26">
        <v>44308</v>
      </c>
      <c r="C21" s="27">
        <v>12861.6</v>
      </c>
      <c r="D21" s="37" t="s">
        <v>314</v>
      </c>
      <c r="E21" s="29">
        <v>44308</v>
      </c>
      <c r="F21" s="30">
        <v>139636</v>
      </c>
      <c r="H21" s="31">
        <v>44308</v>
      </c>
      <c r="I21" s="43">
        <v>440</v>
      </c>
      <c r="J21" s="39"/>
      <c r="K21" s="54"/>
      <c r="L21" s="51"/>
      <c r="M21" s="35">
        <v>119687</v>
      </c>
      <c r="N21" s="36">
        <v>6647</v>
      </c>
      <c r="O21" s="170" t="s">
        <v>299</v>
      </c>
    </row>
    <row r="22" spans="1:15" ht="15.75" thickBot="1" x14ac:dyDescent="0.3">
      <c r="A22" s="25"/>
      <c r="B22" s="26">
        <v>44309</v>
      </c>
      <c r="C22" s="27">
        <v>5137</v>
      </c>
      <c r="D22" s="37" t="s">
        <v>315</v>
      </c>
      <c r="E22" s="29">
        <v>44309</v>
      </c>
      <c r="F22" s="30">
        <v>159588</v>
      </c>
      <c r="H22" s="31">
        <v>44309</v>
      </c>
      <c r="I22" s="43">
        <v>12570</v>
      </c>
      <c r="J22" s="48"/>
      <c r="K22" s="58"/>
      <c r="L22" s="59"/>
      <c r="M22" s="35">
        <v>134652</v>
      </c>
      <c r="N22" s="36">
        <v>7229</v>
      </c>
      <c r="O22" s="170" t="s">
        <v>301</v>
      </c>
    </row>
    <row r="23" spans="1:15" ht="15.75" thickBot="1" x14ac:dyDescent="0.3">
      <c r="A23" s="25"/>
      <c r="B23" s="26">
        <v>44310</v>
      </c>
      <c r="C23" s="27">
        <v>821</v>
      </c>
      <c r="D23" s="37" t="s">
        <v>14</v>
      </c>
      <c r="E23" s="29">
        <v>44310</v>
      </c>
      <c r="F23" s="30">
        <v>145555</v>
      </c>
      <c r="H23" s="31">
        <v>44310</v>
      </c>
      <c r="I23" s="43">
        <v>550</v>
      </c>
      <c r="J23" s="60">
        <v>44310</v>
      </c>
      <c r="K23" s="216" t="s">
        <v>316</v>
      </c>
      <c r="L23" s="62">
        <f>16511.32+400+4000</f>
        <v>20911.32</v>
      </c>
      <c r="M23" s="35">
        <v>125392</v>
      </c>
      <c r="N23" s="36">
        <v>6735</v>
      </c>
      <c r="O23" s="170" t="s">
        <v>301</v>
      </c>
    </row>
    <row r="24" spans="1:15" ht="15.75" thickBot="1" x14ac:dyDescent="0.3">
      <c r="A24" s="25"/>
      <c r="B24" s="26">
        <v>44311</v>
      </c>
      <c r="C24" s="27">
        <v>16803</v>
      </c>
      <c r="D24" s="37" t="s">
        <v>317</v>
      </c>
      <c r="E24" s="29">
        <v>44311</v>
      </c>
      <c r="F24" s="30">
        <v>107429</v>
      </c>
      <c r="H24" s="31">
        <v>44311</v>
      </c>
      <c r="I24" s="43">
        <v>550</v>
      </c>
      <c r="J24" s="63"/>
      <c r="K24" s="64"/>
      <c r="L24" s="65"/>
      <c r="M24" s="35">
        <f>79387+519+1189</f>
        <v>81095</v>
      </c>
      <c r="N24" s="36">
        <v>8981</v>
      </c>
      <c r="O24" s="214"/>
    </row>
    <row r="25" spans="1:15" ht="15.75" thickBot="1" x14ac:dyDescent="0.3">
      <c r="A25" s="25"/>
      <c r="B25" s="26">
        <v>44312</v>
      </c>
      <c r="C25" s="27">
        <v>10595</v>
      </c>
      <c r="D25" s="37" t="s">
        <v>318</v>
      </c>
      <c r="E25" s="29">
        <v>44312</v>
      </c>
      <c r="F25" s="30">
        <v>124086</v>
      </c>
      <c r="H25" s="31">
        <v>44312</v>
      </c>
      <c r="I25" s="43">
        <v>440</v>
      </c>
      <c r="J25" s="66"/>
      <c r="K25" s="67"/>
      <c r="L25" s="68"/>
      <c r="M25" s="35">
        <v>99044</v>
      </c>
      <c r="N25" s="36">
        <v>14007</v>
      </c>
      <c r="O25" s="170"/>
    </row>
    <row r="26" spans="1:15" ht="15.75" thickBot="1" x14ac:dyDescent="0.3">
      <c r="A26" s="25"/>
      <c r="B26" s="26">
        <v>44313</v>
      </c>
      <c r="C26" s="27">
        <v>5025</v>
      </c>
      <c r="D26" s="37" t="s">
        <v>134</v>
      </c>
      <c r="E26" s="29">
        <v>44313</v>
      </c>
      <c r="F26" s="30">
        <v>100166</v>
      </c>
      <c r="H26" s="31">
        <v>44313</v>
      </c>
      <c r="I26" s="43">
        <v>535</v>
      </c>
      <c r="J26" s="39"/>
      <c r="K26" s="64"/>
      <c r="L26" s="62"/>
      <c r="M26" s="35">
        <v>90296</v>
      </c>
      <c r="N26" s="36">
        <v>4310</v>
      </c>
      <c r="O26" s="170"/>
    </row>
    <row r="27" spans="1:15" ht="15.75" thickBot="1" x14ac:dyDescent="0.3">
      <c r="A27" s="25"/>
      <c r="B27" s="26">
        <v>44314</v>
      </c>
      <c r="C27" s="27">
        <v>2721</v>
      </c>
      <c r="D27" s="45" t="s">
        <v>319</v>
      </c>
      <c r="E27" s="29">
        <v>44314</v>
      </c>
      <c r="F27" s="30">
        <v>87627</v>
      </c>
      <c r="H27" s="31">
        <v>44314</v>
      </c>
      <c r="I27" s="43">
        <v>495</v>
      </c>
      <c r="J27" s="69"/>
      <c r="K27" s="70"/>
      <c r="L27" s="68"/>
      <c r="M27" s="35">
        <v>80299</v>
      </c>
      <c r="N27" s="36">
        <v>4112</v>
      </c>
      <c r="O27" s="170" t="s">
        <v>299</v>
      </c>
    </row>
    <row r="28" spans="1:15" ht="16.5" thickBot="1" x14ac:dyDescent="0.3">
      <c r="A28" s="25"/>
      <c r="B28" s="26">
        <v>44315</v>
      </c>
      <c r="C28" s="27">
        <v>9246</v>
      </c>
      <c r="D28" s="45" t="s">
        <v>320</v>
      </c>
      <c r="E28" s="29">
        <v>44315</v>
      </c>
      <c r="F28" s="30">
        <v>98596</v>
      </c>
      <c r="H28" s="31">
        <v>44315</v>
      </c>
      <c r="I28" s="43">
        <v>495</v>
      </c>
      <c r="J28" s="175">
        <v>44315</v>
      </c>
      <c r="K28" s="217" t="s">
        <v>39</v>
      </c>
      <c r="L28" s="68">
        <v>20000</v>
      </c>
      <c r="M28" s="35">
        <v>66425</v>
      </c>
      <c r="N28" s="36">
        <v>2430</v>
      </c>
      <c r="O28" s="170"/>
    </row>
    <row r="29" spans="1:15" ht="15.75" thickBot="1" x14ac:dyDescent="0.3">
      <c r="A29" s="25"/>
      <c r="B29" s="26">
        <v>44316</v>
      </c>
      <c r="C29" s="27">
        <v>1549</v>
      </c>
      <c r="D29" s="72" t="s">
        <v>14</v>
      </c>
      <c r="E29" s="29">
        <v>44316</v>
      </c>
      <c r="F29" s="30">
        <v>151345</v>
      </c>
      <c r="H29" s="31">
        <v>44316</v>
      </c>
      <c r="I29" s="43">
        <v>10570</v>
      </c>
      <c r="J29" s="196"/>
      <c r="K29" s="73"/>
      <c r="L29" s="68"/>
      <c r="M29" s="35">
        <v>127532</v>
      </c>
      <c r="N29" s="36">
        <v>11694</v>
      </c>
      <c r="O29" s="170" t="s">
        <v>301</v>
      </c>
    </row>
    <row r="30" spans="1:15" ht="15.75" thickBot="1" x14ac:dyDescent="0.3">
      <c r="A30" s="25"/>
      <c r="B30" s="26">
        <v>44317</v>
      </c>
      <c r="C30" s="27">
        <v>4900</v>
      </c>
      <c r="D30" s="72" t="s">
        <v>321</v>
      </c>
      <c r="E30" s="29">
        <v>44317</v>
      </c>
      <c r="F30" s="30">
        <v>178406</v>
      </c>
      <c r="H30" s="31">
        <v>44317</v>
      </c>
      <c r="I30" s="74">
        <v>14864</v>
      </c>
      <c r="J30" s="69"/>
      <c r="K30" s="44"/>
      <c r="L30" s="41"/>
      <c r="M30" s="35">
        <v>145126</v>
      </c>
      <c r="N30" s="36">
        <v>13516</v>
      </c>
      <c r="O30" s="170" t="s">
        <v>301</v>
      </c>
    </row>
    <row r="31" spans="1:15" ht="15.75" thickBot="1" x14ac:dyDescent="0.3">
      <c r="A31" s="25"/>
      <c r="B31" s="26">
        <v>44318</v>
      </c>
      <c r="C31" s="27">
        <v>31544</v>
      </c>
      <c r="D31" s="72" t="s">
        <v>322</v>
      </c>
      <c r="E31" s="29">
        <v>44318</v>
      </c>
      <c r="F31" s="30">
        <v>163911</v>
      </c>
      <c r="H31" s="31">
        <v>44318</v>
      </c>
      <c r="I31" s="74">
        <v>550</v>
      </c>
      <c r="J31" s="69"/>
      <c r="K31" s="67"/>
      <c r="L31" s="68"/>
      <c r="M31" s="35">
        <v>124630</v>
      </c>
      <c r="N31" s="36">
        <v>7187</v>
      </c>
      <c r="O31" s="170"/>
    </row>
    <row r="32" spans="1:15" ht="15.75" thickBot="1" x14ac:dyDescent="0.3">
      <c r="A32" s="25"/>
      <c r="B32" s="26">
        <v>44319</v>
      </c>
      <c r="C32" s="27">
        <v>1673</v>
      </c>
      <c r="D32" s="72" t="s">
        <v>14</v>
      </c>
      <c r="E32" s="29">
        <v>44319</v>
      </c>
      <c r="F32" s="76">
        <v>154998</v>
      </c>
      <c r="H32" s="31">
        <v>44319</v>
      </c>
      <c r="I32" s="74">
        <v>495</v>
      </c>
      <c r="J32" s="69"/>
      <c r="K32" s="44"/>
      <c r="L32" s="41"/>
      <c r="M32" s="35">
        <v>147445</v>
      </c>
      <c r="N32" s="36">
        <v>5385</v>
      </c>
      <c r="O32" s="170"/>
    </row>
    <row r="33" spans="1:15" ht="16.5" thickBot="1" x14ac:dyDescent="0.3">
      <c r="A33" s="25"/>
      <c r="B33" s="26">
        <v>44320</v>
      </c>
      <c r="C33" s="78">
        <v>12239</v>
      </c>
      <c r="D33" s="185" t="s">
        <v>323</v>
      </c>
      <c r="E33" s="29">
        <v>44320</v>
      </c>
      <c r="F33" s="78">
        <v>117623</v>
      </c>
      <c r="H33" s="31">
        <v>44320</v>
      </c>
      <c r="I33" s="74">
        <v>4575</v>
      </c>
      <c r="J33" s="175"/>
      <c r="K33" s="90"/>
      <c r="L33" s="78"/>
      <c r="M33" s="35">
        <v>89491</v>
      </c>
      <c r="N33" s="36">
        <v>11318</v>
      </c>
      <c r="O33" s="170"/>
    </row>
    <row r="34" spans="1:15" ht="15.75" thickBot="1" x14ac:dyDescent="0.3">
      <c r="A34" s="25"/>
      <c r="B34" s="26"/>
      <c r="C34" s="78"/>
      <c r="D34" s="198"/>
      <c r="E34" s="29"/>
      <c r="F34" s="78"/>
      <c r="H34" s="31"/>
      <c r="I34" s="74"/>
      <c r="J34" s="69"/>
      <c r="K34" s="101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26"/>
      <c r="C35" s="78"/>
      <c r="D35" s="198"/>
      <c r="E35" s="29"/>
      <c r="F35" s="78"/>
      <c r="H35" s="31"/>
      <c r="I35" s="74"/>
      <c r="J35" s="69" t="s">
        <v>324</v>
      </c>
      <c r="K35" s="101" t="s">
        <v>325</v>
      </c>
      <c r="L35" s="10">
        <f>9720+9720+9345+9180</f>
        <v>37965</v>
      </c>
      <c r="M35" s="35">
        <v>0</v>
      </c>
      <c r="N35" s="36">
        <v>0</v>
      </c>
      <c r="O35" s="170"/>
    </row>
    <row r="36" spans="1:15" ht="16.5" thickBot="1" x14ac:dyDescent="0.3">
      <c r="A36" s="25"/>
      <c r="B36" s="79">
        <v>44294</v>
      </c>
      <c r="C36" s="80">
        <v>13233.74</v>
      </c>
      <c r="D36" s="178" t="s">
        <v>236</v>
      </c>
      <c r="E36" s="29"/>
      <c r="F36" s="78"/>
      <c r="H36" s="31"/>
      <c r="I36" s="74"/>
      <c r="J36" s="69" t="s">
        <v>324</v>
      </c>
      <c r="K36" s="201" t="s">
        <v>326</v>
      </c>
      <c r="L36" s="78">
        <v>1395.99</v>
      </c>
      <c r="M36" s="35">
        <v>0</v>
      </c>
      <c r="N36" s="36">
        <v>0</v>
      </c>
      <c r="O36" s="170"/>
    </row>
    <row r="37" spans="1:15" ht="16.5" thickBot="1" x14ac:dyDescent="0.3">
      <c r="A37" s="25"/>
      <c r="B37" s="79">
        <v>44295</v>
      </c>
      <c r="C37" s="80">
        <v>21612.86</v>
      </c>
      <c r="D37" s="178" t="s">
        <v>236</v>
      </c>
      <c r="E37" s="29"/>
      <c r="F37" s="200"/>
      <c r="H37" s="31"/>
      <c r="I37" s="74"/>
      <c r="J37" s="69" t="s">
        <v>324</v>
      </c>
      <c r="K37" s="90" t="s">
        <v>327</v>
      </c>
      <c r="L37" s="78">
        <f>399+399</f>
        <v>798</v>
      </c>
      <c r="M37" s="35">
        <v>0</v>
      </c>
      <c r="N37" s="36">
        <v>0</v>
      </c>
      <c r="O37" s="170"/>
    </row>
    <row r="38" spans="1:15" ht="16.5" thickBot="1" x14ac:dyDescent="0.3">
      <c r="A38" s="25"/>
      <c r="B38" s="79">
        <v>44299</v>
      </c>
      <c r="C38" s="80">
        <v>20359.259999999998</v>
      </c>
      <c r="D38" s="178" t="s">
        <v>236</v>
      </c>
      <c r="E38" s="29"/>
      <c r="F38" s="200"/>
      <c r="H38" s="31"/>
      <c r="I38" s="74"/>
      <c r="J38" s="69" t="s">
        <v>324</v>
      </c>
      <c r="K38" s="218" t="s">
        <v>328</v>
      </c>
      <c r="L38" s="78">
        <v>5003.71</v>
      </c>
      <c r="M38" s="35">
        <v>0</v>
      </c>
      <c r="N38" s="36">
        <v>0</v>
      </c>
      <c r="O38" s="170"/>
    </row>
    <row r="39" spans="1:15" ht="18" thickBot="1" x14ac:dyDescent="0.35">
      <c r="A39" s="25"/>
      <c r="B39" s="79">
        <v>44302</v>
      </c>
      <c r="C39" s="80">
        <v>37148.76</v>
      </c>
      <c r="D39" s="178" t="s">
        <v>236</v>
      </c>
      <c r="E39" s="29"/>
      <c r="F39" s="180"/>
      <c r="H39" s="31"/>
      <c r="I39" s="74"/>
      <c r="J39" s="69" t="s">
        <v>324</v>
      </c>
      <c r="K39" s="90" t="s">
        <v>329</v>
      </c>
      <c r="L39" s="78">
        <v>1347.84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44307</v>
      </c>
      <c r="C40" s="80">
        <v>21785.64</v>
      </c>
      <c r="D40" s="178" t="s">
        <v>236</v>
      </c>
      <c r="E40" s="29"/>
      <c r="F40" s="180"/>
      <c r="H40" s="31"/>
      <c r="I40" s="74"/>
      <c r="J40" s="69" t="s">
        <v>324</v>
      </c>
      <c r="K40" s="90" t="s">
        <v>146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44310</v>
      </c>
      <c r="C41" s="80">
        <v>16324.7</v>
      </c>
      <c r="D41" s="178" t="s">
        <v>236</v>
      </c>
      <c r="E41" s="29"/>
      <c r="F41" s="182"/>
      <c r="H41" s="31"/>
      <c r="I41" s="74"/>
      <c r="J41" s="69" t="s">
        <v>324</v>
      </c>
      <c r="K41" s="103" t="s">
        <v>330</v>
      </c>
      <c r="L41" s="78">
        <f>32057</f>
        <v>32057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44313</v>
      </c>
      <c r="C42" s="203">
        <v>13124.34</v>
      </c>
      <c r="D42" s="178" t="s">
        <v>236</v>
      </c>
      <c r="E42" s="29"/>
      <c r="F42" s="183"/>
      <c r="H42" s="31"/>
      <c r="I42" s="74"/>
      <c r="J42" s="69" t="s">
        <v>324</v>
      </c>
      <c r="K42" s="219" t="s">
        <v>331</v>
      </c>
      <c r="L42" s="78">
        <v>42595.199999999997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44314</v>
      </c>
      <c r="C43" s="80">
        <v>23851.29</v>
      </c>
      <c r="D43" s="178" t="s">
        <v>236</v>
      </c>
      <c r="E43" s="29"/>
      <c r="F43" s="183"/>
      <c r="H43" s="31"/>
      <c r="I43" s="74"/>
      <c r="J43" s="69" t="s">
        <v>324</v>
      </c>
      <c r="K43" s="220" t="s">
        <v>51</v>
      </c>
      <c r="L43" s="78">
        <v>25101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44317</v>
      </c>
      <c r="C44" s="80">
        <v>12605.67</v>
      </c>
      <c r="D44" s="178" t="s">
        <v>236</v>
      </c>
      <c r="E44" s="29"/>
      <c r="F44" s="40"/>
      <c r="H44" s="31"/>
      <c r="I44" s="74"/>
      <c r="J44" s="69" t="s">
        <v>324</v>
      </c>
      <c r="K44" s="101" t="s">
        <v>332</v>
      </c>
      <c r="L44" s="78">
        <v>798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44320</v>
      </c>
      <c r="C45" s="80">
        <v>13884.75</v>
      </c>
      <c r="D45" s="178" t="s">
        <v>236</v>
      </c>
      <c r="E45" s="29"/>
      <c r="F45" s="40"/>
      <c r="H45" s="31"/>
      <c r="I45" s="74"/>
      <c r="J45" s="69" t="s">
        <v>324</v>
      </c>
      <c r="K45" s="221" t="s">
        <v>333</v>
      </c>
      <c r="L45" s="89">
        <f>1394.81+986.84</f>
        <v>2381.65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96"/>
      <c r="C46" s="78"/>
      <c r="D46" s="185"/>
      <c r="E46" s="29"/>
      <c r="F46" s="40"/>
      <c r="H46" s="31"/>
      <c r="I46" s="74"/>
      <c r="J46" s="69" t="s">
        <v>324</v>
      </c>
      <c r="K46" s="90" t="s">
        <v>53</v>
      </c>
      <c r="L46" s="89">
        <f>398.99+429.26+498.99+398.99</f>
        <v>1726.23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96"/>
      <c r="C47" s="78"/>
      <c r="D47" s="185"/>
      <c r="E47" s="29"/>
      <c r="F47" s="40"/>
      <c r="H47" s="31"/>
      <c r="I47" s="74"/>
      <c r="J47" s="69" t="s">
        <v>324</v>
      </c>
      <c r="K47" s="101" t="s">
        <v>334</v>
      </c>
      <c r="L47" s="92">
        <v>6960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96"/>
      <c r="C48" s="78"/>
      <c r="D48" s="185"/>
      <c r="E48" s="88"/>
      <c r="F48" s="86"/>
      <c r="H48" s="31"/>
      <c r="I48" s="74"/>
      <c r="J48" s="69" t="s">
        <v>324</v>
      </c>
      <c r="K48" s="101" t="s">
        <v>335</v>
      </c>
      <c r="L48" s="222">
        <v>6267.95</v>
      </c>
      <c r="M48" s="93"/>
      <c r="N48" s="36"/>
      <c r="O48" s="170"/>
    </row>
    <row r="49" spans="1:15" ht="16.5" thickBot="1" x14ac:dyDescent="0.3">
      <c r="A49" s="25"/>
      <c r="B49" s="96"/>
      <c r="C49" s="78"/>
      <c r="D49" s="185"/>
      <c r="E49" s="88"/>
      <c r="F49" s="86"/>
      <c r="H49" s="31"/>
      <c r="I49" s="74"/>
      <c r="J49" s="69" t="s">
        <v>324</v>
      </c>
      <c r="K49" s="90" t="s">
        <v>336</v>
      </c>
      <c r="L49" s="89">
        <v>9014.9699999999993</v>
      </c>
      <c r="M49" s="93"/>
      <c r="N49" s="36"/>
      <c r="O49" s="170"/>
    </row>
    <row r="50" spans="1:15" ht="16.5" thickBot="1" x14ac:dyDescent="0.3">
      <c r="A50" s="25"/>
      <c r="B50" s="96"/>
      <c r="C50" s="78"/>
      <c r="D50" s="185"/>
      <c r="E50" s="85"/>
      <c r="F50" s="86"/>
      <c r="H50" s="31"/>
      <c r="I50" s="74"/>
      <c r="J50" s="69" t="s">
        <v>324</v>
      </c>
      <c r="K50" s="223" t="s">
        <v>337</v>
      </c>
      <c r="L50" s="89">
        <v>1059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69" t="s">
        <v>324</v>
      </c>
      <c r="K51" s="224" t="s">
        <v>338</v>
      </c>
      <c r="L51" s="89">
        <v>4224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69">
        <v>44320</v>
      </c>
      <c r="K52" s="101" t="s">
        <v>151</v>
      </c>
      <c r="L52" s="89">
        <v>10000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324</v>
      </c>
      <c r="K53" s="34" t="s">
        <v>339</v>
      </c>
      <c r="L53" s="89">
        <v>5750.33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34"/>
      <c r="L54" s="89"/>
      <c r="M54" s="35"/>
      <c r="N54" s="36"/>
      <c r="O54" s="170"/>
    </row>
    <row r="55" spans="1:15" ht="15.75" thickBot="1" x14ac:dyDescent="0.3">
      <c r="A55" s="25"/>
      <c r="B55" s="26"/>
      <c r="C55" s="27">
        <v>0</v>
      </c>
      <c r="D55" s="102"/>
      <c r="E55" s="98"/>
      <c r="F55" s="99"/>
      <c r="H55" s="91"/>
      <c r="I55" s="100"/>
      <c r="J55" s="69"/>
      <c r="K55" s="103"/>
      <c r="L55" s="10"/>
      <c r="M55" s="35">
        <v>0</v>
      </c>
      <c r="N55" s="36">
        <v>0</v>
      </c>
      <c r="O55" s="170"/>
    </row>
    <row r="56" spans="1:15" ht="16.5" thickBot="1" x14ac:dyDescent="0.3">
      <c r="B56" s="104" t="s">
        <v>57</v>
      </c>
      <c r="C56" s="105">
        <f>SUM(C5:C55)</f>
        <v>418915.11000000004</v>
      </c>
      <c r="D56" s="106"/>
      <c r="E56" s="107" t="s">
        <v>57</v>
      </c>
      <c r="F56" s="108">
        <f>SUM(F5:F55)</f>
        <v>3837979</v>
      </c>
      <c r="G56" s="106"/>
      <c r="H56" s="109" t="s">
        <v>58</v>
      </c>
      <c r="I56" s="110">
        <f>SUM(I5:I55)</f>
        <v>91796</v>
      </c>
      <c r="J56" s="111"/>
      <c r="K56" s="112" t="s">
        <v>59</v>
      </c>
      <c r="L56" s="113">
        <f>SUM(L5:L55)</f>
        <v>278550.35000000003</v>
      </c>
      <c r="M56" s="114">
        <f>SUM(M5:M55)</f>
        <v>3357221</v>
      </c>
      <c r="N56" s="114">
        <f>SUM(N5:N55)</f>
        <v>180201</v>
      </c>
      <c r="O56" s="186"/>
    </row>
    <row r="57" spans="1:15" ht="16.5" thickTop="1" thickBot="1" x14ac:dyDescent="0.3">
      <c r="C57" s="5" t="s">
        <v>11</v>
      </c>
      <c r="O57" s="186"/>
    </row>
    <row r="58" spans="1:15" ht="19.5" thickBot="1" x14ac:dyDescent="0.3">
      <c r="A58" s="58"/>
      <c r="B58" s="115"/>
      <c r="C58" s="4"/>
      <c r="H58" s="325" t="s">
        <v>60</v>
      </c>
      <c r="I58" s="326"/>
      <c r="J58" s="116"/>
      <c r="K58" s="327">
        <f>I56+L56</f>
        <v>370346.35000000003</v>
      </c>
      <c r="L58" s="334"/>
      <c r="M58" s="315">
        <f>M56+N56</f>
        <v>3537422</v>
      </c>
      <c r="N58" s="316"/>
      <c r="O58" s="187"/>
    </row>
    <row r="59" spans="1:15" ht="15.75" x14ac:dyDescent="0.25">
      <c r="D59" s="317" t="s">
        <v>61</v>
      </c>
      <c r="E59" s="333"/>
      <c r="F59" s="117">
        <f>F56-K58-C56</f>
        <v>3048717.54</v>
      </c>
      <c r="I59" s="118"/>
      <c r="J59" s="119"/>
    </row>
    <row r="60" spans="1:15" ht="18.75" x14ac:dyDescent="0.3">
      <c r="D60" s="318" t="s">
        <v>62</v>
      </c>
      <c r="E60" s="318"/>
      <c r="F60" s="114">
        <v>-3102716.28</v>
      </c>
      <c r="I60" s="319" t="s">
        <v>63</v>
      </c>
      <c r="J60" s="320"/>
      <c r="K60" s="321">
        <f>F62+F63+F64</f>
        <v>216465.62000000023</v>
      </c>
      <c r="L60" s="322"/>
    </row>
    <row r="61" spans="1:15" ht="19.5" thickBot="1" x14ac:dyDescent="0.35">
      <c r="D61" s="120"/>
      <c r="E61" s="58"/>
      <c r="F61" s="121">
        <v>0</v>
      </c>
      <c r="I61" s="122"/>
      <c r="J61" s="123"/>
      <c r="K61" s="124"/>
      <c r="L61" s="125"/>
    </row>
    <row r="62" spans="1:15" ht="19.5" thickTop="1" x14ac:dyDescent="0.3">
      <c r="C62" s="6" t="s">
        <v>11</v>
      </c>
      <c r="E62" s="58" t="s">
        <v>64</v>
      </c>
      <c r="F62" s="114">
        <f>SUM(F59:F61)</f>
        <v>-53998.739999999758</v>
      </c>
      <c r="H62" s="25"/>
      <c r="I62" s="126" t="s">
        <v>65</v>
      </c>
      <c r="J62" s="127"/>
      <c r="K62" s="323">
        <f>-C4</f>
        <v>-215362.9</v>
      </c>
      <c r="L62" s="324"/>
      <c r="M62" s="128"/>
    </row>
    <row r="63" spans="1:15" ht="16.5" thickBot="1" x14ac:dyDescent="0.3">
      <c r="D63" s="87" t="s">
        <v>66</v>
      </c>
      <c r="E63" s="58" t="s">
        <v>67</v>
      </c>
      <c r="F63" s="129">
        <v>21153</v>
      </c>
    </row>
    <row r="64" spans="1:15" ht="20.25" thickTop="1" thickBot="1" x14ac:dyDescent="0.35">
      <c r="C64" s="130">
        <v>44320</v>
      </c>
      <c r="D64" s="309" t="s">
        <v>68</v>
      </c>
      <c r="E64" s="310"/>
      <c r="F64" s="131">
        <v>249311.35999999999</v>
      </c>
      <c r="I64" s="311" t="s">
        <v>69</v>
      </c>
      <c r="J64" s="312"/>
      <c r="K64" s="313">
        <f>K60+K62</f>
        <v>1102.720000000234</v>
      </c>
      <c r="L64" s="314"/>
    </row>
    <row r="65" spans="2:15" ht="18.75" x14ac:dyDescent="0.3">
      <c r="C65" s="132"/>
      <c r="D65" s="133"/>
      <c r="E65" s="134"/>
      <c r="F65" s="135"/>
      <c r="J65" s="136"/>
      <c r="M65" s="137"/>
    </row>
    <row r="67" spans="2:15" ht="15.75" x14ac:dyDescent="0.25">
      <c r="B67" s="138"/>
      <c r="C67" s="139"/>
      <c r="D67" s="140"/>
      <c r="E67" s="141"/>
      <c r="M67" s="2"/>
      <c r="N67" s="58"/>
    </row>
    <row r="68" spans="2:15" ht="15.75" x14ac:dyDescent="0.25">
      <c r="B68" s="138"/>
      <c r="C68" s="142"/>
      <c r="E68" s="141"/>
      <c r="M68" s="2"/>
      <c r="N68" s="58"/>
      <c r="O68" s="188"/>
    </row>
    <row r="69" spans="2:15" ht="15.75" x14ac:dyDescent="0.25">
      <c r="B69" s="138"/>
      <c r="C69" s="142"/>
      <c r="E69" s="141"/>
      <c r="F69" s="143"/>
      <c r="L69" s="144"/>
      <c r="M69" s="4"/>
      <c r="O69" s="188"/>
    </row>
    <row r="70" spans="2:15" ht="15.75" x14ac:dyDescent="0.25">
      <c r="B70" s="138"/>
      <c r="C70" s="142"/>
      <c r="E70" s="141"/>
      <c r="M70" s="4"/>
    </row>
    <row r="71" spans="2:15" ht="15.75" x14ac:dyDescent="0.25">
      <c r="B71" s="138"/>
      <c r="C71" s="142"/>
      <c r="E71" s="141"/>
      <c r="F71" s="208"/>
      <c r="M71" s="4"/>
    </row>
    <row r="72" spans="2:15" x14ac:dyDescent="0.25">
      <c r="E72" s="209"/>
      <c r="F72" s="141"/>
      <c r="M72" s="4"/>
    </row>
    <row r="73" spans="2:15" x14ac:dyDescent="0.25">
      <c r="E73" s="209"/>
      <c r="F73" s="141"/>
      <c r="M73" s="4"/>
    </row>
    <row r="74" spans="2:15" x14ac:dyDescent="0.25">
      <c r="E74" s="209"/>
      <c r="F74" s="141"/>
      <c r="M74" s="4"/>
    </row>
    <row r="75" spans="2:15" x14ac:dyDescent="0.25">
      <c r="E75" s="209"/>
      <c r="F75" s="141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</row>
    <row r="84" spans="5:13" x14ac:dyDescent="0.25">
      <c r="F84" s="208"/>
    </row>
    <row r="85" spans="5:13" x14ac:dyDescent="0.25">
      <c r="F85" s="208"/>
    </row>
    <row r="86" spans="5:13" x14ac:dyDescent="0.25">
      <c r="F86" s="208"/>
    </row>
  </sheetData>
  <mergeCells count="16">
    <mergeCell ref="C1:K1"/>
    <mergeCell ref="B3:C3"/>
    <mergeCell ref="H3:I3"/>
    <mergeCell ref="E4:F4"/>
    <mergeCell ref="H4:I4"/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H58:I58"/>
    <mergeCell ref="K58:L5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"/>
  <sheetViews>
    <sheetView workbookViewId="0">
      <selection activeCell="H18" sqref="H17:H18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44292</v>
      </c>
      <c r="B3" s="152" t="s">
        <v>340</v>
      </c>
      <c r="C3" s="78">
        <v>33238.699999999997</v>
      </c>
      <c r="D3" s="153"/>
      <c r="E3" s="10"/>
      <c r="F3" s="154">
        <f>C3-E3</f>
        <v>33238.699999999997</v>
      </c>
    </row>
    <row r="4" spans="1:7" ht="18.75" x14ac:dyDescent="0.3">
      <c r="A4" s="151">
        <v>44292</v>
      </c>
      <c r="B4" s="152" t="s">
        <v>341</v>
      </c>
      <c r="C4" s="78">
        <v>78993.2</v>
      </c>
      <c r="D4" s="155"/>
      <c r="E4" s="78"/>
      <c r="F4" s="156">
        <f>F3+C4-E4</f>
        <v>112231.9</v>
      </c>
      <c r="G4" s="157"/>
    </row>
    <row r="5" spans="1:7" ht="15.75" x14ac:dyDescent="0.25">
      <c r="A5" s="155">
        <v>44292</v>
      </c>
      <c r="B5" s="152" t="s">
        <v>342</v>
      </c>
      <c r="C5" s="78">
        <v>37778.400000000001</v>
      </c>
      <c r="D5" s="155"/>
      <c r="E5" s="78"/>
      <c r="F5" s="156">
        <f t="shared" ref="F5:F35" si="0">F4+C5-E5</f>
        <v>150010.29999999999</v>
      </c>
    </row>
    <row r="6" spans="1:7" ht="15.75" x14ac:dyDescent="0.25">
      <c r="A6" s="155">
        <v>44293</v>
      </c>
      <c r="B6" s="152" t="s">
        <v>343</v>
      </c>
      <c r="C6" s="78">
        <v>198792.82</v>
      </c>
      <c r="D6" s="155"/>
      <c r="E6" s="78"/>
      <c r="F6" s="156">
        <f t="shared" si="0"/>
        <v>348803.12</v>
      </c>
    </row>
    <row r="7" spans="1:7" ht="15.75" x14ac:dyDescent="0.25">
      <c r="A7" s="155">
        <v>44294</v>
      </c>
      <c r="B7" s="152" t="s">
        <v>344</v>
      </c>
      <c r="C7" s="78">
        <v>37768.5</v>
      </c>
      <c r="D7" s="155"/>
      <c r="E7" s="78"/>
      <c r="F7" s="156">
        <f t="shared" si="0"/>
        <v>386571.62</v>
      </c>
    </row>
    <row r="8" spans="1:7" ht="15.75" x14ac:dyDescent="0.25">
      <c r="A8" s="155">
        <v>44294</v>
      </c>
      <c r="B8" s="152" t="s">
        <v>345</v>
      </c>
      <c r="C8" s="78">
        <v>123719.2</v>
      </c>
      <c r="D8" s="155">
        <v>44295</v>
      </c>
      <c r="E8" s="78">
        <v>482074.82</v>
      </c>
      <c r="F8" s="156">
        <f t="shared" si="0"/>
        <v>28216</v>
      </c>
    </row>
    <row r="9" spans="1:7" ht="15.75" x14ac:dyDescent="0.25">
      <c r="A9" s="155">
        <v>44295</v>
      </c>
      <c r="B9" s="152" t="s">
        <v>346</v>
      </c>
      <c r="C9" s="78">
        <v>131297</v>
      </c>
      <c r="D9" s="155"/>
      <c r="E9" s="78"/>
      <c r="F9" s="156">
        <f t="shared" si="0"/>
        <v>159513</v>
      </c>
    </row>
    <row r="10" spans="1:7" ht="18.75" x14ac:dyDescent="0.3">
      <c r="A10" s="155">
        <v>44296</v>
      </c>
      <c r="B10" s="152" t="s">
        <v>347</v>
      </c>
      <c r="C10" s="78">
        <v>150441.4</v>
      </c>
      <c r="D10" s="155"/>
      <c r="E10" s="78"/>
      <c r="F10" s="156">
        <f t="shared" si="0"/>
        <v>309954.40000000002</v>
      </c>
      <c r="G10" s="157"/>
    </row>
    <row r="11" spans="1:7" ht="15.75" x14ac:dyDescent="0.25">
      <c r="A11" s="151">
        <v>44298</v>
      </c>
      <c r="B11" s="152" t="s">
        <v>348</v>
      </c>
      <c r="C11" s="78">
        <v>99189.07</v>
      </c>
      <c r="D11" s="155"/>
      <c r="E11" s="78"/>
      <c r="F11" s="156">
        <f t="shared" si="0"/>
        <v>409143.47000000003</v>
      </c>
    </row>
    <row r="12" spans="1:7" ht="15.75" x14ac:dyDescent="0.25">
      <c r="A12" s="155">
        <v>44299</v>
      </c>
      <c r="B12" s="152" t="s">
        <v>349</v>
      </c>
      <c r="C12" s="78">
        <v>79881.2</v>
      </c>
      <c r="D12" s="155"/>
      <c r="E12" s="78"/>
      <c r="F12" s="156">
        <f t="shared" si="0"/>
        <v>489024.67000000004</v>
      </c>
    </row>
    <row r="13" spans="1:7" ht="15.75" x14ac:dyDescent="0.25">
      <c r="A13" s="155">
        <v>44300</v>
      </c>
      <c r="B13" s="152" t="s">
        <v>350</v>
      </c>
      <c r="C13" s="78">
        <v>84325.5</v>
      </c>
      <c r="D13" s="155"/>
      <c r="E13" s="78"/>
      <c r="F13" s="156">
        <f t="shared" si="0"/>
        <v>573350.17000000004</v>
      </c>
    </row>
    <row r="14" spans="1:7" ht="15.75" x14ac:dyDescent="0.25">
      <c r="A14" s="155">
        <v>44300</v>
      </c>
      <c r="B14" s="152" t="s">
        <v>351</v>
      </c>
      <c r="C14" s="78">
        <v>39987</v>
      </c>
      <c r="D14" s="155"/>
      <c r="E14" s="78"/>
      <c r="F14" s="156">
        <f t="shared" si="0"/>
        <v>613337.17000000004</v>
      </c>
    </row>
    <row r="15" spans="1:7" ht="15.75" x14ac:dyDescent="0.25">
      <c r="A15" s="155">
        <v>44301</v>
      </c>
      <c r="B15" s="152" t="s">
        <v>352</v>
      </c>
      <c r="C15" s="78">
        <v>1800</v>
      </c>
      <c r="D15" s="155"/>
      <c r="E15" s="78"/>
      <c r="F15" s="156">
        <f t="shared" si="0"/>
        <v>615137.17000000004</v>
      </c>
    </row>
    <row r="16" spans="1:7" ht="15.75" x14ac:dyDescent="0.25">
      <c r="A16" s="155">
        <v>44301</v>
      </c>
      <c r="B16" s="152" t="s">
        <v>353</v>
      </c>
      <c r="C16" s="78">
        <v>110796.5</v>
      </c>
      <c r="D16" s="155"/>
      <c r="E16" s="78"/>
      <c r="F16" s="156">
        <f t="shared" si="0"/>
        <v>725933.67</v>
      </c>
    </row>
    <row r="17" spans="1:7" ht="15.75" x14ac:dyDescent="0.25">
      <c r="A17" s="155">
        <v>44301</v>
      </c>
      <c r="B17" s="152" t="s">
        <v>354</v>
      </c>
      <c r="C17" s="78">
        <v>43027.65</v>
      </c>
      <c r="D17" s="155">
        <v>44303</v>
      </c>
      <c r="E17" s="78">
        <v>768961.32</v>
      </c>
      <c r="F17" s="156">
        <f t="shared" si="0"/>
        <v>0</v>
      </c>
    </row>
    <row r="18" spans="1:7" ht="15.75" x14ac:dyDescent="0.25">
      <c r="A18" s="155">
        <v>44302</v>
      </c>
      <c r="B18" s="152" t="s">
        <v>355</v>
      </c>
      <c r="C18" s="78">
        <v>79974</v>
      </c>
      <c r="D18" s="155"/>
      <c r="E18" s="78"/>
      <c r="F18" s="156">
        <f t="shared" si="0"/>
        <v>79974</v>
      </c>
    </row>
    <row r="19" spans="1:7" ht="15.75" x14ac:dyDescent="0.25">
      <c r="A19" s="155">
        <v>44303</v>
      </c>
      <c r="B19" s="152" t="s">
        <v>356</v>
      </c>
      <c r="C19" s="78">
        <v>171550.5</v>
      </c>
      <c r="D19" s="155"/>
      <c r="E19" s="78"/>
      <c r="F19" s="156">
        <f t="shared" si="0"/>
        <v>251524.5</v>
      </c>
    </row>
    <row r="20" spans="1:7" ht="15.75" x14ac:dyDescent="0.25">
      <c r="A20" s="155">
        <v>44305</v>
      </c>
      <c r="B20" s="152" t="s">
        <v>357</v>
      </c>
      <c r="C20" s="78">
        <v>235903.78</v>
      </c>
      <c r="D20" s="155"/>
      <c r="E20" s="78"/>
      <c r="F20" s="156">
        <f t="shared" si="0"/>
        <v>487428.28</v>
      </c>
    </row>
    <row r="21" spans="1:7" ht="15.75" x14ac:dyDescent="0.25">
      <c r="A21" s="155">
        <v>44307</v>
      </c>
      <c r="B21" s="152" t="s">
        <v>358</v>
      </c>
      <c r="C21" s="78">
        <v>149978.79999999999</v>
      </c>
      <c r="D21" s="155"/>
      <c r="E21" s="78"/>
      <c r="F21" s="156">
        <f t="shared" si="0"/>
        <v>637407.08000000007</v>
      </c>
    </row>
    <row r="22" spans="1:7" ht="18.75" x14ac:dyDescent="0.3">
      <c r="A22" s="155">
        <v>44308</v>
      </c>
      <c r="B22" s="152" t="s">
        <v>359</v>
      </c>
      <c r="C22" s="78">
        <v>142323.70000000001</v>
      </c>
      <c r="D22" s="155">
        <v>44310</v>
      </c>
      <c r="E22" s="78">
        <v>779730.78</v>
      </c>
      <c r="F22" s="156">
        <f t="shared" si="0"/>
        <v>0</v>
      </c>
      <c r="G22" s="157"/>
    </row>
    <row r="23" spans="1:7" ht="15.75" x14ac:dyDescent="0.25">
      <c r="A23" s="155">
        <v>44310</v>
      </c>
      <c r="B23" s="152" t="s">
        <v>360</v>
      </c>
      <c r="C23" s="78">
        <v>267999</v>
      </c>
      <c r="D23" s="155"/>
      <c r="E23" s="78"/>
      <c r="F23" s="156">
        <f t="shared" si="0"/>
        <v>267999</v>
      </c>
    </row>
    <row r="24" spans="1:7" ht="15.75" x14ac:dyDescent="0.25">
      <c r="A24" s="155">
        <v>44312</v>
      </c>
      <c r="B24" s="152" t="s">
        <v>361</v>
      </c>
      <c r="C24" s="78">
        <v>166894.43</v>
      </c>
      <c r="D24" s="155"/>
      <c r="E24" s="78"/>
      <c r="F24" s="156">
        <f t="shared" si="0"/>
        <v>434893.43</v>
      </c>
    </row>
    <row r="25" spans="1:7" ht="15.75" x14ac:dyDescent="0.25">
      <c r="A25" s="155">
        <v>44312</v>
      </c>
      <c r="B25" s="152" t="s">
        <v>362</v>
      </c>
      <c r="C25" s="78">
        <v>5313</v>
      </c>
      <c r="D25" s="155"/>
      <c r="E25" s="78"/>
      <c r="F25" s="156">
        <f t="shared" si="0"/>
        <v>440206.43</v>
      </c>
    </row>
    <row r="26" spans="1:7" ht="15.75" x14ac:dyDescent="0.25">
      <c r="A26" s="155">
        <v>44313</v>
      </c>
      <c r="B26" s="152" t="s">
        <v>363</v>
      </c>
      <c r="C26" s="78">
        <v>4174.1000000000004</v>
      </c>
      <c r="D26" s="155"/>
      <c r="E26" s="78"/>
      <c r="F26" s="156">
        <f t="shared" si="0"/>
        <v>444380.52999999997</v>
      </c>
    </row>
    <row r="27" spans="1:7" ht="15.75" x14ac:dyDescent="0.25">
      <c r="A27" s="155">
        <v>44314</v>
      </c>
      <c r="B27" s="152" t="s">
        <v>364</v>
      </c>
      <c r="C27" s="78">
        <v>15599.55</v>
      </c>
      <c r="D27" s="155"/>
      <c r="E27" s="78"/>
      <c r="F27" s="156">
        <f t="shared" si="0"/>
        <v>459980.07999999996</v>
      </c>
    </row>
    <row r="28" spans="1:7" ht="15.75" x14ac:dyDescent="0.25">
      <c r="A28" s="155">
        <v>44315</v>
      </c>
      <c r="B28" s="152" t="s">
        <v>365</v>
      </c>
      <c r="C28" s="78">
        <v>173324.2</v>
      </c>
      <c r="D28" s="155">
        <v>44317</v>
      </c>
      <c r="E28" s="78">
        <v>633304.28</v>
      </c>
      <c r="F28" s="156">
        <f t="shared" si="0"/>
        <v>0</v>
      </c>
    </row>
    <row r="29" spans="1:7" ht="15.75" x14ac:dyDescent="0.25">
      <c r="A29" s="155">
        <v>44317</v>
      </c>
      <c r="B29" s="152" t="s">
        <v>366</v>
      </c>
      <c r="C29" s="78">
        <v>133396.79999999999</v>
      </c>
      <c r="D29" s="155"/>
      <c r="E29" s="78"/>
      <c r="F29" s="156">
        <f t="shared" si="0"/>
        <v>133396.79999999999</v>
      </c>
    </row>
    <row r="30" spans="1:7" ht="18.75" x14ac:dyDescent="0.3">
      <c r="A30" s="155">
        <v>44317</v>
      </c>
      <c r="B30" s="152" t="s">
        <v>367</v>
      </c>
      <c r="C30" s="78">
        <v>43673.7</v>
      </c>
      <c r="D30" s="155"/>
      <c r="E30" s="78"/>
      <c r="F30" s="156">
        <f t="shared" si="0"/>
        <v>177070.5</v>
      </c>
      <c r="G30" s="157"/>
    </row>
    <row r="31" spans="1:7" ht="15.75" x14ac:dyDescent="0.25">
      <c r="A31" s="155">
        <v>44317</v>
      </c>
      <c r="B31" s="152" t="s">
        <v>368</v>
      </c>
      <c r="C31" s="78">
        <v>147278.18</v>
      </c>
      <c r="D31" s="155"/>
      <c r="E31" s="78"/>
      <c r="F31" s="156">
        <f t="shared" si="0"/>
        <v>324348.68</v>
      </c>
    </row>
    <row r="32" spans="1:7" ht="15.75" x14ac:dyDescent="0.25">
      <c r="A32" s="151">
        <v>44319</v>
      </c>
      <c r="B32" s="152" t="s">
        <v>369</v>
      </c>
      <c r="C32" s="78">
        <v>62504.4</v>
      </c>
      <c r="D32" s="155"/>
      <c r="E32" s="78"/>
      <c r="F32" s="156">
        <f t="shared" si="0"/>
        <v>386853.08</v>
      </c>
    </row>
    <row r="33" spans="1:6" ht="15.75" x14ac:dyDescent="0.25">
      <c r="A33" s="151">
        <v>44320</v>
      </c>
      <c r="B33" s="152" t="s">
        <v>370</v>
      </c>
      <c r="C33" s="78">
        <v>51792</v>
      </c>
      <c r="D33" s="155">
        <v>44323</v>
      </c>
      <c r="E33" s="78">
        <v>438645.08</v>
      </c>
      <c r="F33" s="156">
        <f t="shared" si="0"/>
        <v>0</v>
      </c>
    </row>
    <row r="34" spans="1:6" ht="15.75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6.5" thickBot="1" x14ac:dyDescent="0.3">
      <c r="A35" s="161"/>
      <c r="B35" s="162"/>
      <c r="C35" s="163">
        <v>0</v>
      </c>
      <c r="D35" s="164"/>
      <c r="E35" s="163"/>
      <c r="F35" s="156">
        <f t="shared" si="0"/>
        <v>0</v>
      </c>
    </row>
    <row r="36" spans="1:6" ht="19.5" thickTop="1" x14ac:dyDescent="0.3">
      <c r="B36" s="58"/>
      <c r="C36" s="4">
        <f>SUM(C3:C35)</f>
        <v>3102716.2800000003</v>
      </c>
      <c r="D36" s="1"/>
      <c r="E36" s="4">
        <f>SUM(E3:E35)</f>
        <v>3102716.2800000003</v>
      </c>
      <c r="F36" s="165">
        <f>C36-E36</f>
        <v>0</v>
      </c>
    </row>
    <row r="37" spans="1:6" x14ac:dyDescent="0.25">
      <c r="B37" s="58"/>
      <c r="C37" s="4"/>
      <c r="D37" s="1"/>
      <c r="E37" s="5"/>
      <c r="F37" s="4"/>
    </row>
    <row r="38" spans="1:6" x14ac:dyDescent="0.25">
      <c r="B38" s="58"/>
      <c r="C38" s="4"/>
      <c r="D38" s="1"/>
      <c r="E38" s="5"/>
      <c r="F38" s="4"/>
    </row>
    <row r="39" spans="1:6" x14ac:dyDescent="0.25">
      <c r="A39"/>
      <c r="B39" s="25"/>
      <c r="D39" s="25"/>
    </row>
    <row r="40" spans="1:6" x14ac:dyDescent="0.25">
      <c r="A40"/>
      <c r="B40" s="25"/>
      <c r="D40" s="25"/>
    </row>
    <row r="41" spans="1:6" x14ac:dyDescent="0.25">
      <c r="A41"/>
      <c r="B41" s="25"/>
      <c r="D41" s="25"/>
    </row>
    <row r="42" spans="1:6" x14ac:dyDescent="0.25">
      <c r="A42"/>
      <c r="B42" s="25"/>
      <c r="D42" s="25"/>
      <c r="F42"/>
    </row>
    <row r="43" spans="1:6" x14ac:dyDescent="0.25">
      <c r="A43"/>
      <c r="B43" s="25"/>
      <c r="D43" s="25"/>
      <c r="F43"/>
    </row>
    <row r="44" spans="1:6" x14ac:dyDescent="0.25">
      <c r="A44"/>
      <c r="B44" s="25"/>
      <c r="D44" s="25"/>
      <c r="F44"/>
    </row>
    <row r="45" spans="1:6" x14ac:dyDescent="0.25">
      <c r="A45"/>
      <c r="B45" s="25"/>
      <c r="D45" s="25"/>
      <c r="F45"/>
    </row>
    <row r="46" spans="1:6" x14ac:dyDescent="0.25">
      <c r="A46"/>
      <c r="B46" s="25"/>
      <c r="D46" s="25"/>
      <c r="F46"/>
    </row>
    <row r="47" spans="1:6" x14ac:dyDescent="0.25">
      <c r="A47"/>
      <c r="B47" s="25"/>
      <c r="D47" s="25"/>
      <c r="F47"/>
    </row>
    <row r="48" spans="1:6" x14ac:dyDescent="0.25">
      <c r="A48"/>
      <c r="B48" s="25"/>
      <c r="D48" s="25"/>
      <c r="F48"/>
    </row>
    <row r="49" spans="1:6" x14ac:dyDescent="0.25">
      <c r="A49"/>
      <c r="B49" s="25"/>
      <c r="D49" s="25"/>
      <c r="F49"/>
    </row>
    <row r="50" spans="1:6" x14ac:dyDescent="0.25">
      <c r="A50"/>
      <c r="B50" s="25"/>
      <c r="D50" s="25"/>
      <c r="F50"/>
    </row>
    <row r="51" spans="1:6" x14ac:dyDescent="0.25">
      <c r="A51"/>
      <c r="B51" s="25"/>
      <c r="D51" s="25"/>
      <c r="E51"/>
      <c r="F51"/>
    </row>
    <row r="52" spans="1:6" x14ac:dyDescent="0.25">
      <c r="A52"/>
      <c r="B52" s="25"/>
      <c r="D52" s="25"/>
      <c r="E52"/>
      <c r="F52"/>
    </row>
    <row r="53" spans="1:6" x14ac:dyDescent="0.25">
      <c r="A53"/>
      <c r="B53" s="25"/>
      <c r="D53" s="25"/>
      <c r="E53"/>
      <c r="F53"/>
    </row>
    <row r="54" spans="1:6" x14ac:dyDescent="0.25">
      <c r="A54"/>
      <c r="B54" s="25"/>
      <c r="D54" s="25"/>
      <c r="E54"/>
      <c r="F54"/>
    </row>
    <row r="55" spans="1:6" x14ac:dyDescent="0.25">
      <c r="A55"/>
      <c r="B55" s="25"/>
      <c r="D55" s="25"/>
      <c r="E55"/>
      <c r="F55"/>
    </row>
    <row r="56" spans="1:6" x14ac:dyDescent="0.25">
      <c r="A56"/>
      <c r="B56" s="25"/>
      <c r="D56" s="25"/>
      <c r="E56"/>
      <c r="F56"/>
    </row>
    <row r="57" spans="1:6" x14ac:dyDescent="0.25">
      <c r="B57" s="25"/>
      <c r="D57" s="25"/>
      <c r="E57"/>
    </row>
    <row r="58" spans="1:6" x14ac:dyDescent="0.25">
      <c r="B58" s="25"/>
      <c r="D58" s="25"/>
      <c r="E58"/>
    </row>
    <row r="59" spans="1:6" x14ac:dyDescent="0.25">
      <c r="B59" s="25"/>
      <c r="D59" s="25"/>
      <c r="E59"/>
    </row>
    <row r="60" spans="1:6" x14ac:dyDescent="0.25">
      <c r="B60" s="25"/>
      <c r="D60" s="25"/>
      <c r="E60"/>
    </row>
    <row r="61" spans="1:6" x14ac:dyDescent="0.25">
      <c r="B61" s="25"/>
      <c r="D61" s="25"/>
      <c r="E61"/>
    </row>
    <row r="62" spans="1:6" x14ac:dyDescent="0.25">
      <c r="B62" s="25"/>
      <c r="D62" s="25"/>
      <c r="E62"/>
    </row>
    <row r="63" spans="1:6" x14ac:dyDescent="0.25">
      <c r="B63" s="25"/>
      <c r="D63" s="25"/>
      <c r="E63"/>
    </row>
    <row r="64" spans="1:6" x14ac:dyDescent="0.25">
      <c r="B64" s="25"/>
      <c r="D64" s="25"/>
      <c r="E64"/>
    </row>
    <row r="65" spans="2:5" x14ac:dyDescent="0.25">
      <c r="B65" s="25"/>
      <c r="D65" s="25"/>
      <c r="E65"/>
    </row>
    <row r="66" spans="2:5" x14ac:dyDescent="0.25">
      <c r="B66" s="25"/>
    </row>
    <row r="67" spans="2:5" x14ac:dyDescent="0.25">
      <c r="B67" s="25"/>
    </row>
    <row r="68" spans="2:5" x14ac:dyDescent="0.25">
      <c r="B68" s="25"/>
      <c r="D68" s="25"/>
    </row>
    <row r="69" spans="2:5" x14ac:dyDescent="0.25">
      <c r="B69" s="25"/>
    </row>
    <row r="70" spans="2:5" x14ac:dyDescent="0.25">
      <c r="B70" s="25"/>
    </row>
    <row r="71" spans="2:5" x14ac:dyDescent="0.25">
      <c r="B71" s="25"/>
    </row>
    <row r="72" spans="2:5" ht="18.75" x14ac:dyDescent="0.3">
      <c r="C72" s="1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O92"/>
  <sheetViews>
    <sheetView topLeftCell="A52" workbookViewId="0">
      <selection activeCell="M10" sqref="M1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301" t="s">
        <v>372</v>
      </c>
      <c r="D1" s="301"/>
      <c r="E1" s="301"/>
      <c r="F1" s="301"/>
      <c r="G1" s="301"/>
      <c r="H1" s="301"/>
      <c r="I1" s="301"/>
      <c r="J1" s="301"/>
      <c r="K1" s="301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302" t="s">
        <v>2</v>
      </c>
      <c r="C3" s="303"/>
      <c r="D3" s="11"/>
      <c r="E3" s="12"/>
      <c r="F3" s="12"/>
      <c r="H3" s="304" t="s">
        <v>3</v>
      </c>
      <c r="I3" s="304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249311.35999999999</v>
      </c>
      <c r="D4" s="19">
        <v>44320</v>
      </c>
      <c r="E4" s="305" t="s">
        <v>7</v>
      </c>
      <c r="F4" s="306"/>
      <c r="H4" s="307" t="s">
        <v>8</v>
      </c>
      <c r="I4" s="308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44321</v>
      </c>
      <c r="C5" s="27">
        <v>7012.81</v>
      </c>
      <c r="D5" s="28" t="s">
        <v>373</v>
      </c>
      <c r="E5" s="29">
        <v>44321</v>
      </c>
      <c r="F5" s="30">
        <v>95578</v>
      </c>
      <c r="H5" s="31">
        <v>44321</v>
      </c>
      <c r="I5" s="32">
        <v>495</v>
      </c>
      <c r="J5" s="33"/>
      <c r="K5" s="34"/>
      <c r="L5" s="10"/>
      <c r="M5" s="35">
        <f>81959+2217</f>
        <v>84176</v>
      </c>
      <c r="N5" s="36">
        <v>3894</v>
      </c>
      <c r="O5" s="168"/>
    </row>
    <row r="6" spans="1:15" ht="16.5" thickBot="1" x14ac:dyDescent="0.3">
      <c r="A6" s="25"/>
      <c r="B6" s="26">
        <v>44322</v>
      </c>
      <c r="C6" s="27">
        <v>6238</v>
      </c>
      <c r="D6" s="37" t="s">
        <v>304</v>
      </c>
      <c r="E6" s="29">
        <v>44322</v>
      </c>
      <c r="F6" s="30">
        <v>128352</v>
      </c>
      <c r="H6" s="31">
        <v>44322</v>
      </c>
      <c r="I6" s="38">
        <v>495</v>
      </c>
      <c r="J6" s="48"/>
      <c r="K6" s="40"/>
      <c r="L6" s="41"/>
      <c r="M6" s="35">
        <v>119547</v>
      </c>
      <c r="N6" s="36">
        <v>2072</v>
      </c>
      <c r="O6" s="170" t="s">
        <v>299</v>
      </c>
    </row>
    <row r="7" spans="1:15" ht="15.75" thickBot="1" x14ac:dyDescent="0.3">
      <c r="A7" s="25"/>
      <c r="B7" s="26">
        <v>44323</v>
      </c>
      <c r="C7" s="27">
        <v>1140</v>
      </c>
      <c r="D7" s="42" t="s">
        <v>14</v>
      </c>
      <c r="E7" s="29">
        <v>44323</v>
      </c>
      <c r="F7" s="30">
        <v>145929</v>
      </c>
      <c r="H7" s="31">
        <v>44323</v>
      </c>
      <c r="I7" s="43">
        <v>10570</v>
      </c>
      <c r="J7" s="48"/>
      <c r="K7" s="44"/>
      <c r="L7" s="41"/>
      <c r="M7" s="35">
        <v>120453</v>
      </c>
      <c r="N7" s="36">
        <v>16799</v>
      </c>
      <c r="O7" s="213" t="s">
        <v>299</v>
      </c>
    </row>
    <row r="8" spans="1:15" ht="15.75" thickBot="1" x14ac:dyDescent="0.3">
      <c r="A8" s="25"/>
      <c r="B8" s="26">
        <v>44324</v>
      </c>
      <c r="C8" s="27">
        <v>5693</v>
      </c>
      <c r="D8" s="45" t="s">
        <v>374</v>
      </c>
      <c r="E8" s="29">
        <v>44324</v>
      </c>
      <c r="F8" s="30">
        <v>230776</v>
      </c>
      <c r="H8" s="31">
        <v>44324</v>
      </c>
      <c r="I8" s="43">
        <v>550</v>
      </c>
      <c r="J8" s="225">
        <v>44324</v>
      </c>
      <c r="K8" s="44" t="s">
        <v>375</v>
      </c>
      <c r="L8" s="41">
        <f>16387.84+400+4000</f>
        <v>20787.84</v>
      </c>
      <c r="M8" s="35">
        <v>195553</v>
      </c>
      <c r="N8" s="36">
        <v>16894</v>
      </c>
      <c r="O8" s="214" t="s">
        <v>248</v>
      </c>
    </row>
    <row r="9" spans="1:15" ht="15.75" thickBot="1" x14ac:dyDescent="0.3">
      <c r="A9" s="25"/>
      <c r="B9" s="26">
        <v>44325</v>
      </c>
      <c r="C9" s="27">
        <v>14613</v>
      </c>
      <c r="D9" s="45" t="s">
        <v>376</v>
      </c>
      <c r="E9" s="29">
        <v>44325</v>
      </c>
      <c r="F9" s="30">
        <v>110367</v>
      </c>
      <c r="H9" s="31">
        <v>44325</v>
      </c>
      <c r="I9" s="43">
        <v>550</v>
      </c>
      <c r="J9" s="48"/>
      <c r="K9" s="49"/>
      <c r="L9" s="41"/>
      <c r="M9" s="35">
        <v>87079</v>
      </c>
      <c r="N9" s="36">
        <v>8125</v>
      </c>
      <c r="O9" s="170"/>
    </row>
    <row r="10" spans="1:15" ht="15.75" thickBot="1" x14ac:dyDescent="0.3">
      <c r="A10" s="25"/>
      <c r="B10" s="26">
        <v>44326</v>
      </c>
      <c r="C10" s="27">
        <v>11047</v>
      </c>
      <c r="D10" s="42" t="s">
        <v>377</v>
      </c>
      <c r="E10" s="29">
        <v>44326</v>
      </c>
      <c r="F10" s="30">
        <v>180626</v>
      </c>
      <c r="H10" s="31">
        <v>44326</v>
      </c>
      <c r="I10" s="43">
        <v>975</v>
      </c>
      <c r="J10" s="48">
        <v>44326</v>
      </c>
      <c r="K10" s="50" t="s">
        <v>378</v>
      </c>
      <c r="L10" s="51">
        <v>3750</v>
      </c>
      <c r="M10" s="35">
        <v>164674</v>
      </c>
      <c r="N10" s="36">
        <v>2339</v>
      </c>
      <c r="O10" s="170"/>
    </row>
    <row r="11" spans="1:15" ht="15.75" thickBot="1" x14ac:dyDescent="0.3">
      <c r="A11" s="25"/>
      <c r="B11" s="26">
        <v>44327</v>
      </c>
      <c r="C11" s="27">
        <v>3360</v>
      </c>
      <c r="D11" s="37" t="s">
        <v>379</v>
      </c>
      <c r="E11" s="29">
        <v>44327</v>
      </c>
      <c r="F11" s="30">
        <v>93500</v>
      </c>
      <c r="H11" s="31">
        <v>44327</v>
      </c>
      <c r="I11" s="43">
        <v>659</v>
      </c>
      <c r="J11" s="226"/>
      <c r="K11" s="53"/>
      <c r="L11" s="41"/>
      <c r="M11" s="35">
        <v>86234</v>
      </c>
      <c r="N11" s="36">
        <v>3247</v>
      </c>
      <c r="O11" s="170"/>
    </row>
    <row r="12" spans="1:15" ht="15.75" thickBot="1" x14ac:dyDescent="0.3">
      <c r="A12" s="25"/>
      <c r="B12" s="26">
        <v>44328</v>
      </c>
      <c r="C12" s="27">
        <v>4614</v>
      </c>
      <c r="D12" s="37" t="s">
        <v>380</v>
      </c>
      <c r="E12" s="29">
        <v>44328</v>
      </c>
      <c r="F12" s="30">
        <v>85798</v>
      </c>
      <c r="H12" s="31">
        <v>44328</v>
      </c>
      <c r="I12" s="43">
        <v>440</v>
      </c>
      <c r="J12" s="48"/>
      <c r="K12" s="44"/>
      <c r="L12" s="41"/>
      <c r="M12" s="35">
        <v>73736</v>
      </c>
      <c r="N12" s="36">
        <v>7007</v>
      </c>
      <c r="O12" s="170"/>
    </row>
    <row r="13" spans="1:15" ht="15.75" thickBot="1" x14ac:dyDescent="0.3">
      <c r="A13" s="25"/>
      <c r="B13" s="26">
        <v>44329</v>
      </c>
      <c r="C13" s="27">
        <v>1712</v>
      </c>
      <c r="D13" s="45" t="s">
        <v>14</v>
      </c>
      <c r="E13" s="29">
        <v>44329</v>
      </c>
      <c r="F13" s="30">
        <v>162831</v>
      </c>
      <c r="H13" s="31">
        <v>44329</v>
      </c>
      <c r="I13" s="43">
        <v>495</v>
      </c>
      <c r="J13" s="48"/>
      <c r="K13" s="44"/>
      <c r="L13" s="41"/>
      <c r="M13" s="35">
        <v>155876</v>
      </c>
      <c r="N13" s="36">
        <v>4748</v>
      </c>
      <c r="O13" s="170"/>
    </row>
    <row r="14" spans="1:15" ht="15.75" thickBot="1" x14ac:dyDescent="0.3">
      <c r="A14" s="25"/>
      <c r="B14" s="26">
        <v>44330</v>
      </c>
      <c r="C14" s="27">
        <v>4933</v>
      </c>
      <c r="D14" s="42" t="s">
        <v>381</v>
      </c>
      <c r="E14" s="29">
        <v>44330</v>
      </c>
      <c r="F14" s="30">
        <v>149977</v>
      </c>
      <c r="H14" s="31">
        <v>44330</v>
      </c>
      <c r="I14" s="43">
        <v>12570</v>
      </c>
      <c r="J14" s="48"/>
      <c r="K14" s="44"/>
      <c r="L14" s="41"/>
      <c r="M14" s="35">
        <f>117640+2196</f>
        <v>119836</v>
      </c>
      <c r="N14" s="36">
        <v>12638</v>
      </c>
      <c r="O14" s="170"/>
    </row>
    <row r="15" spans="1:15" ht="15.75" thickBot="1" x14ac:dyDescent="0.3">
      <c r="A15" s="25"/>
      <c r="B15" s="26">
        <v>44331</v>
      </c>
      <c r="C15" s="27">
        <v>11142</v>
      </c>
      <c r="D15" s="37" t="s">
        <v>382</v>
      </c>
      <c r="E15" s="29">
        <v>44331</v>
      </c>
      <c r="F15" s="30">
        <v>169138</v>
      </c>
      <c r="H15" s="31">
        <v>44331</v>
      </c>
      <c r="I15" s="43">
        <v>895</v>
      </c>
      <c r="J15" s="48">
        <v>44331</v>
      </c>
      <c r="K15" s="44" t="s">
        <v>383</v>
      </c>
      <c r="L15" s="41">
        <f>15306.71+400+4000</f>
        <v>19706.71</v>
      </c>
      <c r="M15" s="35">
        <v>147190</v>
      </c>
      <c r="N15" s="36">
        <v>5582</v>
      </c>
      <c r="O15" s="170" t="s">
        <v>248</v>
      </c>
    </row>
    <row r="16" spans="1:15" ht="15.75" thickBot="1" x14ac:dyDescent="0.3">
      <c r="A16" s="25"/>
      <c r="B16" s="26">
        <v>44332</v>
      </c>
      <c r="C16" s="27">
        <v>23261</v>
      </c>
      <c r="D16" s="37" t="s">
        <v>384</v>
      </c>
      <c r="E16" s="29">
        <v>44332</v>
      </c>
      <c r="F16" s="30">
        <v>128866</v>
      </c>
      <c r="H16" s="31">
        <v>44332</v>
      </c>
      <c r="I16" s="43">
        <v>1430</v>
      </c>
      <c r="J16" s="48"/>
      <c r="K16" s="44"/>
      <c r="L16" s="10"/>
      <c r="M16" s="35">
        <v>92949</v>
      </c>
      <c r="N16" s="36">
        <v>11226</v>
      </c>
      <c r="O16" s="170"/>
    </row>
    <row r="17" spans="1:15" ht="15.75" thickBot="1" x14ac:dyDescent="0.3">
      <c r="A17" s="25"/>
      <c r="B17" s="26">
        <v>44333</v>
      </c>
      <c r="C17" s="27">
        <v>6966</v>
      </c>
      <c r="D17" s="45" t="s">
        <v>385</v>
      </c>
      <c r="E17" s="29">
        <v>44333</v>
      </c>
      <c r="F17" s="30">
        <v>133988</v>
      </c>
      <c r="H17" s="31">
        <v>44333</v>
      </c>
      <c r="I17" s="43">
        <v>495</v>
      </c>
      <c r="J17" s="48"/>
      <c r="K17" s="44"/>
      <c r="L17" s="51"/>
      <c r="M17" s="35">
        <v>124042</v>
      </c>
      <c r="N17" s="36">
        <v>2485</v>
      </c>
      <c r="O17" s="170" t="s">
        <v>299</v>
      </c>
    </row>
    <row r="18" spans="1:15" ht="15.75" thickBot="1" x14ac:dyDescent="0.3">
      <c r="A18" s="25"/>
      <c r="B18" s="26">
        <v>44334</v>
      </c>
      <c r="C18" s="27">
        <v>391</v>
      </c>
      <c r="D18" s="37" t="s">
        <v>386</v>
      </c>
      <c r="E18" s="29">
        <v>44334</v>
      </c>
      <c r="F18" s="30">
        <v>99312</v>
      </c>
      <c r="H18" s="31">
        <v>44334</v>
      </c>
      <c r="I18" s="43">
        <v>799.2</v>
      </c>
      <c r="J18" s="48"/>
      <c r="K18" s="215"/>
      <c r="L18" s="41"/>
      <c r="M18" s="35">
        <v>90444</v>
      </c>
      <c r="N18" s="36">
        <v>7677</v>
      </c>
      <c r="O18" s="170"/>
    </row>
    <row r="19" spans="1:15" ht="15.75" thickBot="1" x14ac:dyDescent="0.3">
      <c r="A19" s="25"/>
      <c r="B19" s="26">
        <v>44335</v>
      </c>
      <c r="C19" s="27">
        <v>9909</v>
      </c>
      <c r="D19" s="37" t="s">
        <v>387</v>
      </c>
      <c r="E19" s="29">
        <v>44335</v>
      </c>
      <c r="F19" s="30">
        <v>126992</v>
      </c>
      <c r="H19" s="31">
        <v>44335</v>
      </c>
      <c r="I19" s="43">
        <v>553</v>
      </c>
      <c r="J19" s="48"/>
      <c r="K19" s="55"/>
      <c r="L19" s="56"/>
      <c r="M19" s="35">
        <f>113103+400</f>
        <v>113503</v>
      </c>
      <c r="N19" s="36">
        <v>3027</v>
      </c>
      <c r="O19" s="170" t="s">
        <v>299</v>
      </c>
    </row>
    <row r="20" spans="1:15" ht="15.75" thickBot="1" x14ac:dyDescent="0.3">
      <c r="A20" s="25"/>
      <c r="B20" s="26">
        <v>44336</v>
      </c>
      <c r="C20" s="27">
        <v>7182</v>
      </c>
      <c r="D20" s="37" t="s">
        <v>388</v>
      </c>
      <c r="E20" s="29">
        <v>44336</v>
      </c>
      <c r="F20" s="30">
        <v>110225</v>
      </c>
      <c r="H20" s="31">
        <v>44336</v>
      </c>
      <c r="I20" s="43">
        <v>650</v>
      </c>
      <c r="J20" s="48"/>
      <c r="K20" s="57"/>
      <c r="L20" s="51"/>
      <c r="M20" s="35">
        <v>99760</v>
      </c>
      <c r="N20" s="36">
        <v>2633</v>
      </c>
      <c r="O20" s="170"/>
    </row>
    <row r="21" spans="1:15" ht="15.75" thickBot="1" x14ac:dyDescent="0.3">
      <c r="A21" s="25"/>
      <c r="B21" s="26">
        <v>44337</v>
      </c>
      <c r="C21" s="27">
        <v>7034</v>
      </c>
      <c r="D21" s="37" t="s">
        <v>389</v>
      </c>
      <c r="E21" s="29">
        <v>44337</v>
      </c>
      <c r="F21" s="30">
        <v>188814</v>
      </c>
      <c r="H21" s="31">
        <v>44337</v>
      </c>
      <c r="I21" s="43">
        <v>7560</v>
      </c>
      <c r="J21" s="48"/>
      <c r="K21" s="54"/>
      <c r="L21" s="51"/>
      <c r="M21" s="35">
        <v>163129</v>
      </c>
      <c r="N21" s="36">
        <v>11091</v>
      </c>
      <c r="O21" s="170" t="s">
        <v>248</v>
      </c>
    </row>
    <row r="22" spans="1:15" ht="15.75" thickBot="1" x14ac:dyDescent="0.3">
      <c r="A22" s="25"/>
      <c r="B22" s="26">
        <v>44338</v>
      </c>
      <c r="C22" s="27">
        <v>1580</v>
      </c>
      <c r="D22" s="37" t="s">
        <v>390</v>
      </c>
      <c r="E22" s="29">
        <v>44338</v>
      </c>
      <c r="F22" s="30">
        <v>176430</v>
      </c>
      <c r="H22" s="31">
        <v>44338</v>
      </c>
      <c r="I22" s="43">
        <v>5550</v>
      </c>
      <c r="J22" s="48">
        <v>44338</v>
      </c>
      <c r="K22" s="58" t="s">
        <v>391</v>
      </c>
      <c r="L22" s="59">
        <f>16782.75+400+4000</f>
        <v>21182.75</v>
      </c>
      <c r="M22" s="35">
        <v>145895</v>
      </c>
      <c r="N22" s="36">
        <v>11076</v>
      </c>
      <c r="O22" s="170" t="s">
        <v>299</v>
      </c>
    </row>
    <row r="23" spans="1:15" ht="15.75" thickBot="1" x14ac:dyDescent="0.3">
      <c r="A23" s="25"/>
      <c r="B23" s="26">
        <v>44339</v>
      </c>
      <c r="C23" s="27">
        <v>9277</v>
      </c>
      <c r="D23" s="37" t="s">
        <v>392</v>
      </c>
      <c r="E23" s="29">
        <v>44339</v>
      </c>
      <c r="F23" s="30">
        <v>107356</v>
      </c>
      <c r="H23" s="31">
        <v>44339</v>
      </c>
      <c r="I23" s="43">
        <v>550</v>
      </c>
      <c r="J23" s="227"/>
      <c r="K23" s="216"/>
      <c r="L23" s="51"/>
      <c r="M23" s="35">
        <v>90752</v>
      </c>
      <c r="N23" s="36">
        <v>6777</v>
      </c>
      <c r="O23" s="170"/>
    </row>
    <row r="24" spans="1:15" ht="15.75" thickBot="1" x14ac:dyDescent="0.3">
      <c r="A24" s="25"/>
      <c r="B24" s="26">
        <v>44340</v>
      </c>
      <c r="C24" s="27">
        <v>11229</v>
      </c>
      <c r="D24" s="37" t="s">
        <v>393</v>
      </c>
      <c r="E24" s="29">
        <v>44340</v>
      </c>
      <c r="F24" s="30">
        <v>122641</v>
      </c>
      <c r="H24" s="31">
        <v>44340</v>
      </c>
      <c r="I24" s="43">
        <v>440</v>
      </c>
      <c r="J24" s="228"/>
      <c r="K24" s="229"/>
      <c r="L24" s="230"/>
      <c r="M24" s="35">
        <f>23627+89335</f>
        <v>112962</v>
      </c>
      <c r="N24" s="36">
        <v>6693</v>
      </c>
      <c r="O24" s="214"/>
    </row>
    <row r="25" spans="1:15" ht="15.75" thickBot="1" x14ac:dyDescent="0.3">
      <c r="A25" s="25"/>
      <c r="B25" s="26">
        <v>44341</v>
      </c>
      <c r="C25" s="27">
        <v>4562</v>
      </c>
      <c r="D25" s="37" t="s">
        <v>394</v>
      </c>
      <c r="E25" s="29">
        <v>44341</v>
      </c>
      <c r="F25" s="30">
        <v>117468</v>
      </c>
      <c r="H25" s="31">
        <v>44341</v>
      </c>
      <c r="I25" s="43">
        <v>646</v>
      </c>
      <c r="J25" s="231"/>
      <c r="K25" s="90"/>
      <c r="L25" s="89"/>
      <c r="M25" s="35">
        <v>106688</v>
      </c>
      <c r="N25" s="36">
        <v>5572</v>
      </c>
      <c r="O25" s="170"/>
    </row>
    <row r="26" spans="1:15" ht="15.75" thickBot="1" x14ac:dyDescent="0.3">
      <c r="A26" s="25"/>
      <c r="B26" s="26">
        <v>44342</v>
      </c>
      <c r="C26" s="27">
        <v>2350</v>
      </c>
      <c r="D26" s="37" t="s">
        <v>30</v>
      </c>
      <c r="E26" s="29">
        <v>44342</v>
      </c>
      <c r="F26" s="30">
        <v>83721</v>
      </c>
      <c r="H26" s="31">
        <v>44342</v>
      </c>
      <c r="I26" s="43">
        <v>2440</v>
      </c>
      <c r="J26" s="48"/>
      <c r="K26" s="229"/>
      <c r="L26" s="51"/>
      <c r="M26" s="35">
        <v>78008</v>
      </c>
      <c r="N26" s="36">
        <v>923</v>
      </c>
      <c r="O26" s="170"/>
    </row>
    <row r="27" spans="1:15" ht="15.75" thickBot="1" x14ac:dyDescent="0.3">
      <c r="A27" s="25"/>
      <c r="B27" s="26">
        <v>44343</v>
      </c>
      <c r="C27" s="27">
        <v>7850</v>
      </c>
      <c r="D27" s="45" t="s">
        <v>40</v>
      </c>
      <c r="E27" s="29">
        <v>44343</v>
      </c>
      <c r="F27" s="30">
        <v>107095</v>
      </c>
      <c r="H27" s="31">
        <v>44343</v>
      </c>
      <c r="I27" s="43">
        <v>495</v>
      </c>
      <c r="J27" s="232"/>
      <c r="K27" s="204"/>
      <c r="L27" s="89"/>
      <c r="M27" s="35">
        <f>81656+459+2233</f>
        <v>84348</v>
      </c>
      <c r="N27" s="36">
        <v>14401</v>
      </c>
      <c r="O27" s="170" t="s">
        <v>299</v>
      </c>
    </row>
    <row r="28" spans="1:15" ht="16.5" thickBot="1" x14ac:dyDescent="0.3">
      <c r="A28" s="25"/>
      <c r="B28" s="26">
        <v>44344</v>
      </c>
      <c r="C28" s="27">
        <v>290</v>
      </c>
      <c r="D28" s="45" t="s">
        <v>395</v>
      </c>
      <c r="E28" s="29">
        <v>44344</v>
      </c>
      <c r="F28" s="30">
        <v>184038</v>
      </c>
      <c r="H28" s="31">
        <v>44344</v>
      </c>
      <c r="I28" s="43">
        <v>5505</v>
      </c>
      <c r="J28" s="233"/>
      <c r="K28" s="40"/>
      <c r="L28" s="89"/>
      <c r="M28" s="35">
        <v>172868</v>
      </c>
      <c r="N28" s="36">
        <v>5375</v>
      </c>
      <c r="O28" s="170" t="s">
        <v>248</v>
      </c>
    </row>
    <row r="29" spans="1:15" ht="15.75" thickBot="1" x14ac:dyDescent="0.3">
      <c r="A29" s="25"/>
      <c r="B29" s="26">
        <v>44345</v>
      </c>
      <c r="C29" s="27">
        <v>6801</v>
      </c>
      <c r="D29" s="72" t="s">
        <v>396</v>
      </c>
      <c r="E29" s="29">
        <v>44345</v>
      </c>
      <c r="F29" s="30">
        <v>188105</v>
      </c>
      <c r="H29" s="31">
        <v>44345</v>
      </c>
      <c r="I29" s="43">
        <v>17178.34</v>
      </c>
      <c r="J29" s="234"/>
      <c r="K29" s="73"/>
      <c r="L29" s="89"/>
      <c r="M29" s="35">
        <v>157374</v>
      </c>
      <c r="N29" s="36">
        <v>6751</v>
      </c>
      <c r="O29" s="170" t="s">
        <v>248</v>
      </c>
    </row>
    <row r="30" spans="1:15" ht="15.75" thickBot="1" x14ac:dyDescent="0.3">
      <c r="A30" s="25"/>
      <c r="B30" s="26">
        <v>44346</v>
      </c>
      <c r="C30" s="27">
        <v>20794</v>
      </c>
      <c r="D30" s="72" t="s">
        <v>397</v>
      </c>
      <c r="E30" s="29">
        <v>44346</v>
      </c>
      <c r="F30" s="30">
        <v>116257</v>
      </c>
      <c r="H30" s="31">
        <v>44346</v>
      </c>
      <c r="I30" s="74">
        <v>550</v>
      </c>
      <c r="J30" s="232"/>
      <c r="K30" s="44"/>
      <c r="L30" s="41"/>
      <c r="M30" s="35">
        <v>83078</v>
      </c>
      <c r="N30" s="36">
        <v>11835</v>
      </c>
      <c r="O30" s="170"/>
    </row>
    <row r="31" spans="1:15" ht="15.75" thickBot="1" x14ac:dyDescent="0.3">
      <c r="A31" s="25"/>
      <c r="B31" s="26">
        <v>44347</v>
      </c>
      <c r="C31" s="27">
        <v>12561</v>
      </c>
      <c r="D31" s="72" t="s">
        <v>398</v>
      </c>
      <c r="E31" s="29">
        <v>44347</v>
      </c>
      <c r="F31" s="30">
        <v>196621</v>
      </c>
      <c r="H31" s="31">
        <v>44347</v>
      </c>
      <c r="I31" s="74">
        <v>2495</v>
      </c>
      <c r="J31" s="232">
        <v>44347</v>
      </c>
      <c r="K31" s="235" t="s">
        <v>399</v>
      </c>
      <c r="L31" s="89">
        <v>31015</v>
      </c>
      <c r="M31" s="35">
        <f>118766+16887+2227</f>
        <v>137880</v>
      </c>
      <c r="N31" s="36">
        <v>12670</v>
      </c>
      <c r="O31" s="170" t="s">
        <v>299</v>
      </c>
    </row>
    <row r="32" spans="1:15" ht="15.75" thickBot="1" x14ac:dyDescent="0.3">
      <c r="A32" s="25"/>
      <c r="B32" s="26">
        <v>44348</v>
      </c>
      <c r="C32" s="27">
        <v>1705</v>
      </c>
      <c r="D32" s="72" t="s">
        <v>14</v>
      </c>
      <c r="E32" s="29">
        <v>44348</v>
      </c>
      <c r="F32" s="76">
        <v>171645</v>
      </c>
      <c r="H32" s="31">
        <v>44348</v>
      </c>
      <c r="I32" s="74">
        <v>495</v>
      </c>
      <c r="J32" s="232"/>
      <c r="K32" s="44"/>
      <c r="L32" s="41"/>
      <c r="M32" s="35">
        <f>160821+1020</f>
        <v>161841</v>
      </c>
      <c r="N32" s="36">
        <v>7605</v>
      </c>
      <c r="O32" s="170" t="s">
        <v>299</v>
      </c>
    </row>
    <row r="33" spans="1:15" ht="15.75" thickBot="1" x14ac:dyDescent="0.3">
      <c r="A33" s="25"/>
      <c r="B33" s="26">
        <v>44349</v>
      </c>
      <c r="C33" s="78">
        <v>4608</v>
      </c>
      <c r="D33" s="236" t="s">
        <v>400</v>
      </c>
      <c r="E33" s="29">
        <v>44349</v>
      </c>
      <c r="F33" s="78">
        <v>143809</v>
      </c>
      <c r="H33" s="31">
        <v>44349</v>
      </c>
      <c r="I33" s="74">
        <v>440</v>
      </c>
      <c r="J33" s="233">
        <v>44349</v>
      </c>
      <c r="K33" s="90" t="s">
        <v>401</v>
      </c>
      <c r="L33" s="78">
        <v>1647</v>
      </c>
      <c r="M33" s="35">
        <v>124378</v>
      </c>
      <c r="N33" s="36">
        <v>12736</v>
      </c>
      <c r="O33" s="170"/>
    </row>
    <row r="34" spans="1:15" ht="15.75" thickBot="1" x14ac:dyDescent="0.3">
      <c r="A34" s="25"/>
      <c r="B34" s="26">
        <v>44350</v>
      </c>
      <c r="C34" s="78">
        <v>11503</v>
      </c>
      <c r="D34" s="198" t="s">
        <v>402</v>
      </c>
      <c r="E34" s="29">
        <v>44350</v>
      </c>
      <c r="F34" s="78">
        <v>240521</v>
      </c>
      <c r="H34" s="31">
        <v>44350</v>
      </c>
      <c r="I34" s="74">
        <v>572</v>
      </c>
      <c r="J34" s="232"/>
      <c r="K34" s="101"/>
      <c r="L34" s="10"/>
      <c r="M34" s="35">
        <f>227043+90</f>
        <v>227133</v>
      </c>
      <c r="N34" s="36">
        <v>1313</v>
      </c>
      <c r="O34" s="170"/>
    </row>
    <row r="35" spans="1:15" ht="15.75" thickBot="1" x14ac:dyDescent="0.3">
      <c r="A35" s="25"/>
      <c r="B35" s="26">
        <v>44351</v>
      </c>
      <c r="C35" s="78">
        <v>2430</v>
      </c>
      <c r="D35" s="198" t="s">
        <v>14</v>
      </c>
      <c r="E35" s="29">
        <v>44351</v>
      </c>
      <c r="F35" s="78">
        <v>136348</v>
      </c>
      <c r="H35" s="31">
        <v>44351</v>
      </c>
      <c r="I35" s="74">
        <v>5645</v>
      </c>
      <c r="J35" s="232"/>
      <c r="K35" s="90"/>
      <c r="L35" s="78"/>
      <c r="M35" s="35">
        <v>118266</v>
      </c>
      <c r="N35" s="36">
        <v>10007</v>
      </c>
      <c r="O35" s="170"/>
    </row>
    <row r="36" spans="1:15" ht="16.5" thickBot="1" x14ac:dyDescent="0.3">
      <c r="A36" s="25"/>
      <c r="B36" s="26">
        <v>44352</v>
      </c>
      <c r="C36" s="78">
        <v>11553</v>
      </c>
      <c r="D36" s="185" t="s">
        <v>403</v>
      </c>
      <c r="E36" s="29">
        <v>44352</v>
      </c>
      <c r="F36" s="78">
        <v>241786</v>
      </c>
      <c r="H36" s="31">
        <v>44352</v>
      </c>
      <c r="I36" s="74">
        <v>5616</v>
      </c>
      <c r="J36" s="232">
        <v>44352</v>
      </c>
      <c r="K36" s="101" t="s">
        <v>404</v>
      </c>
      <c r="L36" s="10">
        <f>16003.63+4000+400</f>
        <v>20403.629999999997</v>
      </c>
      <c r="M36" s="35">
        <f>120000+87893</f>
        <v>207893</v>
      </c>
      <c r="N36" s="36">
        <v>4724</v>
      </c>
      <c r="O36" s="170"/>
    </row>
    <row r="37" spans="1:15" ht="16.5" thickBot="1" x14ac:dyDescent="0.3">
      <c r="A37" s="25"/>
      <c r="B37" s="26">
        <v>44353</v>
      </c>
      <c r="C37" s="78">
        <v>16130</v>
      </c>
      <c r="D37" s="185" t="s">
        <v>405</v>
      </c>
      <c r="E37" s="29">
        <v>44353</v>
      </c>
      <c r="F37" s="200">
        <v>219234</v>
      </c>
      <c r="H37" s="31">
        <v>44353</v>
      </c>
      <c r="I37" s="74">
        <v>12410</v>
      </c>
      <c r="J37" s="232"/>
      <c r="K37" s="201"/>
      <c r="L37" s="78">
        <f>SUM(L7:L36)</f>
        <v>118492.93</v>
      </c>
      <c r="M37" s="35">
        <f>173167+1492</f>
        <v>174659</v>
      </c>
      <c r="N37" s="36">
        <v>16035</v>
      </c>
      <c r="O37" s="170" t="s">
        <v>406</v>
      </c>
    </row>
    <row r="38" spans="1:15" ht="16.5" thickBot="1" x14ac:dyDescent="0.3">
      <c r="A38" s="25"/>
      <c r="B38" s="96"/>
      <c r="C38" s="78"/>
      <c r="D38" s="185"/>
      <c r="E38" s="29"/>
      <c r="F38" s="200"/>
      <c r="H38" s="31"/>
      <c r="I38" s="74"/>
      <c r="J38" s="232"/>
      <c r="K38" s="90"/>
      <c r="L38" s="78"/>
      <c r="M38" s="35">
        <v>0</v>
      </c>
      <c r="N38" s="36">
        <v>0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237" t="s">
        <v>407</v>
      </c>
      <c r="K39" s="101" t="s">
        <v>408</v>
      </c>
      <c r="L39" s="78">
        <f>9180+10425+10260</f>
        <v>29865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96"/>
      <c r="C40" s="78"/>
      <c r="D40" s="185"/>
      <c r="E40" s="29"/>
      <c r="F40" s="180"/>
      <c r="H40" s="31"/>
      <c r="I40" s="74"/>
      <c r="J40" s="237" t="s">
        <v>407</v>
      </c>
      <c r="K40" s="90" t="s">
        <v>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44321</v>
      </c>
      <c r="C41" s="238">
        <v>24722.91</v>
      </c>
      <c r="D41" s="239">
        <v>393</v>
      </c>
      <c r="E41" s="29" t="s">
        <v>236</v>
      </c>
      <c r="F41" s="182"/>
      <c r="H41" s="31"/>
      <c r="I41" s="74"/>
      <c r="J41" s="237" t="s">
        <v>407</v>
      </c>
      <c r="K41" s="90" t="s">
        <v>240</v>
      </c>
      <c r="L41" s="78">
        <v>9169.4500000000007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44324</v>
      </c>
      <c r="C42" s="80">
        <v>21632.57</v>
      </c>
      <c r="D42" s="239">
        <v>399</v>
      </c>
      <c r="E42" s="29" t="s">
        <v>236</v>
      </c>
      <c r="F42" s="183"/>
      <c r="H42" s="31"/>
      <c r="I42" s="74"/>
      <c r="J42" s="237" t="s">
        <v>407</v>
      </c>
      <c r="K42" s="204" t="s">
        <v>409</v>
      </c>
      <c r="L42" s="78">
        <v>17400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44330</v>
      </c>
      <c r="C43" s="80">
        <v>20844.830000000002</v>
      </c>
      <c r="D43" s="239">
        <v>403</v>
      </c>
      <c r="E43" s="29" t="s">
        <v>236</v>
      </c>
      <c r="F43" s="183"/>
      <c r="H43" s="31"/>
      <c r="I43" s="74"/>
      <c r="J43" s="237" t="s">
        <v>407</v>
      </c>
      <c r="K43" s="90" t="s">
        <v>410</v>
      </c>
      <c r="L43" s="78">
        <v>5046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44333</v>
      </c>
      <c r="C44" s="80">
        <v>22555.26</v>
      </c>
      <c r="D44" s="239">
        <v>406</v>
      </c>
      <c r="E44" s="29" t="s">
        <v>236</v>
      </c>
      <c r="F44" s="40"/>
      <c r="H44" s="31"/>
      <c r="I44" s="74"/>
      <c r="J44" s="237" t="s">
        <v>407</v>
      </c>
      <c r="K44" s="90" t="s">
        <v>411</v>
      </c>
      <c r="L44" s="78">
        <v>11500.24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44337</v>
      </c>
      <c r="C45" s="80">
        <v>12182.63</v>
      </c>
      <c r="D45" s="239">
        <v>413</v>
      </c>
      <c r="E45" s="29" t="s">
        <v>236</v>
      </c>
      <c r="F45" s="40"/>
      <c r="H45" s="31"/>
      <c r="I45" s="74"/>
      <c r="J45" s="237" t="s">
        <v>407</v>
      </c>
      <c r="K45" s="240" t="s">
        <v>412</v>
      </c>
      <c r="L45" s="78">
        <v>357005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241">
        <v>44340</v>
      </c>
      <c r="C46" s="203">
        <v>19134.990000000002</v>
      </c>
      <c r="D46" s="242">
        <v>417</v>
      </c>
      <c r="E46" s="29" t="s">
        <v>236</v>
      </c>
      <c r="F46" s="40"/>
      <c r="H46" s="31"/>
      <c r="I46" s="74"/>
      <c r="J46" s="237" t="s">
        <v>407</v>
      </c>
      <c r="K46" s="204" t="s">
        <v>413</v>
      </c>
      <c r="L46" s="89">
        <v>6095.81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44344</v>
      </c>
      <c r="C47" s="80">
        <v>28230.799999999999</v>
      </c>
      <c r="D47" s="239">
        <v>424</v>
      </c>
      <c r="E47" s="29" t="s">
        <v>236</v>
      </c>
      <c r="F47" s="40"/>
      <c r="H47" s="31"/>
      <c r="I47" s="74"/>
      <c r="J47" s="237" t="s">
        <v>407</v>
      </c>
      <c r="K47" s="240" t="s">
        <v>335</v>
      </c>
      <c r="L47" s="243">
        <v>11746.93</v>
      </c>
      <c r="M47" s="93">
        <v>0</v>
      </c>
      <c r="N47" s="36">
        <v>0</v>
      </c>
      <c r="O47" s="170"/>
    </row>
    <row r="48" spans="1:15" ht="15.75" thickBot="1" x14ac:dyDescent="0.3">
      <c r="A48" s="25"/>
      <c r="B48" s="79">
        <v>44349</v>
      </c>
      <c r="C48" s="80">
        <v>29550.23</v>
      </c>
      <c r="D48" s="239">
        <v>427</v>
      </c>
      <c r="E48" s="29" t="s">
        <v>236</v>
      </c>
      <c r="F48" s="86"/>
      <c r="H48" s="31"/>
      <c r="I48" s="74"/>
      <c r="J48" s="237" t="s">
        <v>407</v>
      </c>
      <c r="K48" s="90" t="s">
        <v>414</v>
      </c>
      <c r="L48" s="89">
        <v>3598</v>
      </c>
      <c r="M48" s="93"/>
      <c r="N48" s="36"/>
      <c r="O48" s="170"/>
    </row>
    <row r="49" spans="1:15" ht="15.75" thickBot="1" x14ac:dyDescent="0.3">
      <c r="A49" s="25"/>
      <c r="B49" s="79">
        <v>44352</v>
      </c>
      <c r="C49" s="80">
        <v>25143.15</v>
      </c>
      <c r="D49" s="239">
        <v>438</v>
      </c>
      <c r="E49" s="29" t="s">
        <v>236</v>
      </c>
      <c r="F49" s="86"/>
      <c r="H49" s="31"/>
      <c r="I49" s="74"/>
      <c r="J49" s="237" t="s">
        <v>407</v>
      </c>
      <c r="K49" s="90" t="s">
        <v>415</v>
      </c>
      <c r="L49" s="89">
        <v>30868.02</v>
      </c>
      <c r="M49" s="93"/>
      <c r="N49" s="36"/>
      <c r="O49" s="170"/>
    </row>
    <row r="50" spans="1:15" ht="16.5" thickBot="1" x14ac:dyDescent="0.3">
      <c r="A50" s="25"/>
      <c r="B50" s="96">
        <v>44351</v>
      </c>
      <c r="C50" s="78">
        <v>56798.82</v>
      </c>
      <c r="D50" s="185" t="s">
        <v>416</v>
      </c>
      <c r="E50" s="85"/>
      <c r="F50" s="86"/>
      <c r="H50" s="31"/>
      <c r="I50" s="74"/>
      <c r="J50" s="237" t="s">
        <v>407</v>
      </c>
      <c r="K50" s="90" t="s">
        <v>417</v>
      </c>
      <c r="L50" s="89">
        <v>798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237" t="s">
        <v>407</v>
      </c>
      <c r="K51" s="90" t="s">
        <v>418</v>
      </c>
      <c r="L51" s="89">
        <f>398.99+421.34+498.99+398.99+199.06</f>
        <v>1917.37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237" t="s">
        <v>407</v>
      </c>
      <c r="K52" s="90" t="s">
        <v>419</v>
      </c>
      <c r="L52" s="89">
        <f>1162.5+186</f>
        <v>1348.5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237" t="s">
        <v>407</v>
      </c>
      <c r="K53" s="90" t="s">
        <v>420</v>
      </c>
      <c r="L53" s="89">
        <v>22386.25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237" t="s">
        <v>407</v>
      </c>
      <c r="K54" s="101" t="s">
        <v>421</v>
      </c>
      <c r="L54" s="89">
        <v>1032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31"/>
      <c r="I55" s="74"/>
      <c r="J55" s="237" t="s">
        <v>407</v>
      </c>
      <c r="K55" s="67" t="s">
        <v>422</v>
      </c>
      <c r="L55" s="89">
        <v>30500</v>
      </c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237" t="s">
        <v>407</v>
      </c>
      <c r="K56" s="103" t="s">
        <v>423</v>
      </c>
      <c r="L56" s="92">
        <v>3875.47</v>
      </c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237" t="s">
        <v>424</v>
      </c>
      <c r="K57" s="34" t="s">
        <v>425</v>
      </c>
      <c r="L57" s="92">
        <v>1264.4000000000001</v>
      </c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 t="s">
        <v>424</v>
      </c>
      <c r="K58" s="101" t="s">
        <v>426</v>
      </c>
      <c r="L58" s="92">
        <f>1394.81+986.84</f>
        <v>2381.65</v>
      </c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 t="s">
        <v>424</v>
      </c>
      <c r="K59" s="101" t="s">
        <v>239</v>
      </c>
      <c r="L59" s="92">
        <f>549</f>
        <v>549</v>
      </c>
      <c r="M59" s="35"/>
      <c r="N59" s="36"/>
      <c r="O59" s="170"/>
    </row>
    <row r="60" spans="1:15" ht="16.5" thickBot="1" x14ac:dyDescent="0.3">
      <c r="A60" s="25"/>
      <c r="B60" s="26"/>
      <c r="C60" s="78"/>
      <c r="D60" s="102"/>
      <c r="E60" s="98"/>
      <c r="F60" s="99"/>
      <c r="H60" s="91"/>
      <c r="I60" s="100"/>
      <c r="J60" s="69" t="s">
        <v>424</v>
      </c>
      <c r="K60" s="244" t="s">
        <v>427</v>
      </c>
      <c r="L60" s="92">
        <v>10000</v>
      </c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512267</v>
      </c>
      <c r="D62" s="106"/>
      <c r="E62" s="107" t="s">
        <v>57</v>
      </c>
      <c r="F62" s="108">
        <f>SUM(F5:F61)</f>
        <v>4894144</v>
      </c>
      <c r="G62" s="106"/>
      <c r="H62" s="109" t="s">
        <v>58</v>
      </c>
      <c r="I62" s="110">
        <f>SUM(I5:I61)</f>
        <v>101208.54</v>
      </c>
      <c r="J62" s="111"/>
      <c r="K62" s="112" t="s">
        <v>59</v>
      </c>
      <c r="L62" s="113">
        <f>SUM(L5:L61)</f>
        <v>796318.95000000019</v>
      </c>
      <c r="M62" s="114">
        <f>SUM(M5:M61)</f>
        <v>4222204</v>
      </c>
      <c r="N62" s="114">
        <f>SUM(N5:N61)</f>
        <v>255977</v>
      </c>
      <c r="O62" s="186"/>
    </row>
    <row r="63" spans="1:15" ht="16.5" thickTop="1" thickBot="1" x14ac:dyDescent="0.3">
      <c r="C63" s="5" t="s">
        <v>11</v>
      </c>
      <c r="O63" s="186"/>
    </row>
    <row r="64" spans="1:15" ht="19.5" thickBot="1" x14ac:dyDescent="0.3">
      <c r="A64" s="58"/>
      <c r="B64" s="115"/>
      <c r="C64" s="4"/>
      <c r="H64" s="325" t="s">
        <v>60</v>
      </c>
      <c r="I64" s="326"/>
      <c r="J64" s="116"/>
      <c r="K64" s="327">
        <f>I62+L62</f>
        <v>897527.49000000022</v>
      </c>
      <c r="L64" s="328"/>
      <c r="M64" s="315">
        <f>M62+N62</f>
        <v>4478181</v>
      </c>
      <c r="N64" s="316"/>
      <c r="O64" s="187"/>
    </row>
    <row r="65" spans="2:15" ht="16.5" thickBot="1" x14ac:dyDescent="0.3">
      <c r="D65" s="317" t="s">
        <v>61</v>
      </c>
      <c r="E65" s="317"/>
      <c r="F65" s="117">
        <f>F62-K64-C62</f>
        <v>3484349.51</v>
      </c>
      <c r="I65" s="118"/>
      <c r="J65" s="119"/>
    </row>
    <row r="66" spans="2:15" ht="18.75" x14ac:dyDescent="0.3">
      <c r="B66" s="340" t="s">
        <v>428</v>
      </c>
      <c r="C66" s="341"/>
      <c r="D66" s="317" t="s">
        <v>429</v>
      </c>
      <c r="E66" s="317"/>
      <c r="F66" s="114">
        <v>-3854423.8</v>
      </c>
      <c r="I66" s="319" t="s">
        <v>63</v>
      </c>
      <c r="J66" s="320"/>
      <c r="K66" s="321">
        <f>F68+F69+F70</f>
        <v>-103494.5</v>
      </c>
      <c r="L66" s="322"/>
    </row>
    <row r="67" spans="2:15" ht="19.5" thickBot="1" x14ac:dyDescent="0.35">
      <c r="B67" s="342"/>
      <c r="C67" s="343"/>
      <c r="D67" s="120"/>
      <c r="E67" s="58"/>
      <c r="F67" s="121">
        <v>0</v>
      </c>
      <c r="I67" s="122"/>
      <c r="J67" s="123"/>
      <c r="K67" s="124"/>
      <c r="L67" s="125"/>
    </row>
    <row r="68" spans="2:15" ht="20.25" thickTop="1" thickBot="1" x14ac:dyDescent="0.35">
      <c r="B68" s="344"/>
      <c r="C68" s="345"/>
      <c r="E68" s="58" t="s">
        <v>64</v>
      </c>
      <c r="F68" s="114">
        <f>SUM(F65:F67)</f>
        <v>-370074.29000000004</v>
      </c>
      <c r="H68" s="25"/>
      <c r="I68" s="126" t="s">
        <v>65</v>
      </c>
      <c r="J68" s="127"/>
      <c r="K68" s="323">
        <f>-C4</f>
        <v>-249311.35999999999</v>
      </c>
      <c r="L68" s="324"/>
      <c r="M68" s="128"/>
    </row>
    <row r="69" spans="2:15" ht="16.5" thickBot="1" x14ac:dyDescent="0.3">
      <c r="D69" s="87" t="s">
        <v>66</v>
      </c>
      <c r="E69" s="58" t="s">
        <v>67</v>
      </c>
      <c r="F69" s="129">
        <v>10815.4</v>
      </c>
    </row>
    <row r="70" spans="2:15" ht="20.25" thickTop="1" thickBot="1" x14ac:dyDescent="0.35">
      <c r="C70" s="130">
        <v>44353</v>
      </c>
      <c r="D70" s="309" t="s">
        <v>68</v>
      </c>
      <c r="E70" s="310"/>
      <c r="F70" s="131">
        <v>255764.39</v>
      </c>
      <c r="I70" s="336" t="s">
        <v>371</v>
      </c>
      <c r="J70" s="337"/>
      <c r="K70" s="338">
        <f>K66+K68</f>
        <v>-352805.86</v>
      </c>
      <c r="L70" s="339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F77" s="208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  <c r="M87" s="4"/>
    </row>
    <row r="88" spans="5:13" x14ac:dyDescent="0.25">
      <c r="E88" s="209"/>
      <c r="F88" s="141"/>
      <c r="M88" s="4"/>
    </row>
    <row r="89" spans="5:13" x14ac:dyDescent="0.25">
      <c r="E89" s="209"/>
      <c r="F89" s="141"/>
    </row>
    <row r="90" spans="5:13" x14ac:dyDescent="0.25">
      <c r="F90" s="208"/>
    </row>
    <row r="91" spans="5:13" x14ac:dyDescent="0.25">
      <c r="F91" s="208"/>
    </row>
    <row r="92" spans="5:13" x14ac:dyDescent="0.25">
      <c r="F92" s="208"/>
    </row>
  </sheetData>
  <mergeCells count="17">
    <mergeCell ref="C1:K1"/>
    <mergeCell ref="B3:C3"/>
    <mergeCell ref="H3:I3"/>
    <mergeCell ref="E4:F4"/>
    <mergeCell ref="H4:I4"/>
    <mergeCell ref="B66:C68"/>
    <mergeCell ref="D66:E66"/>
    <mergeCell ref="I66:J66"/>
    <mergeCell ref="K66:L66"/>
    <mergeCell ref="K68:L68"/>
    <mergeCell ref="D70:E70"/>
    <mergeCell ref="I70:J70"/>
    <mergeCell ref="K70:L70"/>
    <mergeCell ref="M64:N64"/>
    <mergeCell ref="D65:E65"/>
    <mergeCell ref="H64:I64"/>
    <mergeCell ref="K64:L64"/>
  </mergeCells>
  <pageMargins left="0.31496062992125984" right="0.15748031496062992" top="0.43307086614173229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  2021    </vt:lpstr>
      <vt:lpstr>REMISIONES   ENERO 2021   </vt:lpstr>
      <vt:lpstr>FEBRERO   2021    </vt:lpstr>
      <vt:lpstr>REMISIONES  FEBRERO    2021    </vt:lpstr>
      <vt:lpstr>MARZO   2021      </vt:lpstr>
      <vt:lpstr>REMISIONES   MARZO   2021   </vt:lpstr>
      <vt:lpstr>A B R I L      2021      </vt:lpstr>
      <vt:lpstr>REMISIONES   ABRIL   2021  </vt:lpstr>
      <vt:lpstr>M A Y O   2021     </vt:lpstr>
      <vt:lpstr>REMISIONES MAYO  2021   </vt:lpstr>
      <vt:lpstr>J U N I O      2021    </vt:lpstr>
      <vt:lpstr>REMISIONES   JUNIO   2021   </vt:lpstr>
      <vt:lpstr>J U L I O      2 0 2 1      </vt:lpstr>
      <vt:lpstr>REMISIONES  JULIO    2021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2021-07-10T18:22:22Z</cp:lastPrinted>
  <dcterms:created xsi:type="dcterms:W3CDTF">2021-03-19T14:43:53Z</dcterms:created>
  <dcterms:modified xsi:type="dcterms:W3CDTF">2021-08-23T16:20:04Z</dcterms:modified>
</cp:coreProperties>
</file>