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-120" yWindow="-120" windowWidth="20730" windowHeight="11160" tabRatio="604" firstSheet="1" activeTab="3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r:id="rId5"/>
    <sheet name="T A Q U E R A          " sheetId="57" r:id="rId6"/>
    <sheet name=" TAMPIQUEÑA     " sheetId="196" r:id="rId7"/>
    <sheet name="T E X A N A      " sheetId="197" r:id="rId8"/>
    <sheet name="CONTRA EXCEL   pulpa blanca" sheetId="129" r:id="rId9"/>
    <sheet name="PECHO  CON CUERO     " sheetId="179" state="hidden" r:id="rId10"/>
    <sheet name="PULPA    NEGRA     " sheetId="194" state="hidden" r:id="rId11"/>
    <sheet name="FILETE   VAC   CONG      " sheetId="199" r:id="rId12"/>
    <sheet name="FILETE   DE  LOM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CABEZA DE   LOMO    " sheetId="161" r:id="rId42"/>
    <sheet name="P A V O S           " sheetId="156" state="hidden" r:id="rId43"/>
    <sheet name="MANITAS DE CERDO " sheetId="177" r:id="rId44"/>
    <sheet name="CABEZA  C-P   FREE         " sheetId="181" r:id="rId45"/>
    <sheet name="TOCINO      NACIONAL        " sheetId="180" state="hidden" r:id="rId46"/>
    <sheet name="C O R B A T A        " sheetId="174" state="hidden" r:id="rId47"/>
    <sheet name="CUERO PANCETA    " sheetId="189" state="hidden" r:id="rId48"/>
    <sheet name="   CUERO   EN   COMBO   " sheetId="195" r:id="rId49"/>
    <sheet name="Hoja1" sheetId="204" r:id="rId50"/>
    <sheet name="Hoja2" sheetId="206" r:id="rId51"/>
    <sheet name="Hoja3" sheetId="207" r:id="rId5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0" i="117" l="1"/>
  <c r="B10" i="187"/>
  <c r="H4" i="187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Q32" i="38" l="1"/>
  <c r="Q31" i="38"/>
  <c r="P9" i="38" l="1"/>
  <c r="Q33" i="38" l="1"/>
  <c r="Q34" i="38" l="1"/>
  <c r="AB115" i="40" l="1"/>
  <c r="AD118" i="40" s="1"/>
  <c r="AC114" i="40"/>
  <c r="AE114" i="40" s="1"/>
  <c r="AJ114" i="40" s="1"/>
  <c r="AJ113" i="40"/>
  <c r="AC113" i="40"/>
  <c r="AE113" i="40" s="1"/>
  <c r="Z113" i="40"/>
  <c r="AE112" i="40"/>
  <c r="AJ112" i="40" s="1"/>
  <c r="AC112" i="40"/>
  <c r="AC111" i="40"/>
  <c r="AE111" i="40" s="1"/>
  <c r="AJ111" i="40" s="1"/>
  <c r="AC110" i="40"/>
  <c r="AE110" i="40" s="1"/>
  <c r="AJ110" i="40" s="1"/>
  <c r="AJ109" i="40"/>
  <c r="AE109" i="40"/>
  <c r="AC109" i="40"/>
  <c r="AC108" i="40"/>
  <c r="AE108" i="40" s="1"/>
  <c r="AJ108" i="40" s="1"/>
  <c r="AC107" i="40"/>
  <c r="AE107" i="40" s="1"/>
  <c r="AJ107" i="40" s="1"/>
  <c r="AC106" i="40"/>
  <c r="AE106" i="40" s="1"/>
  <c r="AJ106" i="40" s="1"/>
  <c r="AJ105" i="40"/>
  <c r="AE105" i="40"/>
  <c r="AC105" i="40"/>
  <c r="AC104" i="40"/>
  <c r="AE104" i="40" s="1"/>
  <c r="AJ104" i="40" s="1"/>
  <c r="AC103" i="40"/>
  <c r="AE103" i="40" s="1"/>
  <c r="AJ103" i="40" s="1"/>
  <c r="AC102" i="40"/>
  <c r="AE102" i="40" s="1"/>
  <c r="AJ102" i="40" s="1"/>
  <c r="AE101" i="40"/>
  <c r="AJ101" i="40" s="1"/>
  <c r="AC101" i="40"/>
  <c r="AC100" i="40"/>
  <c r="AE100" i="40" s="1"/>
  <c r="AJ100" i="40" s="1"/>
  <c r="AC99" i="40"/>
  <c r="AE99" i="40" s="1"/>
  <c r="AJ99" i="40" s="1"/>
  <c r="AC98" i="40"/>
  <c r="AE98" i="40" s="1"/>
  <c r="AJ98" i="40" s="1"/>
  <c r="AC97" i="40"/>
  <c r="AE97" i="40" s="1"/>
  <c r="AJ97" i="40" s="1"/>
  <c r="AC96" i="40"/>
  <c r="AE96" i="40" s="1"/>
  <c r="AJ96" i="40" s="1"/>
  <c r="AC95" i="40"/>
  <c r="AE95" i="40" s="1"/>
  <c r="AJ95" i="40" s="1"/>
  <c r="AC94" i="40"/>
  <c r="AE94" i="40" s="1"/>
  <c r="AJ94" i="40" s="1"/>
  <c r="AE93" i="40"/>
  <c r="AJ93" i="40" s="1"/>
  <c r="AC93" i="40"/>
  <c r="AE92" i="40"/>
  <c r="AJ92" i="40" s="1"/>
  <c r="AC92" i="40"/>
  <c r="AC91" i="40"/>
  <c r="AE91" i="40" s="1"/>
  <c r="AJ91" i="40" s="1"/>
  <c r="AC90" i="40"/>
  <c r="AE90" i="40" s="1"/>
  <c r="AJ90" i="40" s="1"/>
  <c r="AC89" i="40"/>
  <c r="AE89" i="40" s="1"/>
  <c r="AJ89" i="40" s="1"/>
  <c r="AC88" i="40"/>
  <c r="AE88" i="40" s="1"/>
  <c r="AJ88" i="40" s="1"/>
  <c r="AC87" i="40"/>
  <c r="AE87" i="40" s="1"/>
  <c r="AJ87" i="40" s="1"/>
  <c r="AC86" i="40"/>
  <c r="AE86" i="40" s="1"/>
  <c r="AJ86" i="40" s="1"/>
  <c r="AE85" i="40"/>
  <c r="AJ85" i="40" s="1"/>
  <c r="AC85" i="40"/>
  <c r="AE84" i="40"/>
  <c r="AJ84" i="40" s="1"/>
  <c r="AC84" i="40"/>
  <c r="AC83" i="40"/>
  <c r="AE83" i="40" s="1"/>
  <c r="AJ83" i="40" s="1"/>
  <c r="AC82" i="40"/>
  <c r="AE82" i="40" s="1"/>
  <c r="AJ82" i="40" s="1"/>
  <c r="AC81" i="40"/>
  <c r="AE81" i="40" s="1"/>
  <c r="AJ81" i="40" s="1"/>
  <c r="AC80" i="40"/>
  <c r="AE80" i="40" s="1"/>
  <c r="AJ80" i="40" s="1"/>
  <c r="AC79" i="40"/>
  <c r="AE79" i="40" s="1"/>
  <c r="AJ79" i="40" s="1"/>
  <c r="AC78" i="40"/>
  <c r="AE78" i="40" s="1"/>
  <c r="AJ78" i="40" s="1"/>
  <c r="AE77" i="40"/>
  <c r="AJ77" i="40" s="1"/>
  <c r="AC77" i="40"/>
  <c r="AE76" i="40"/>
  <c r="AJ76" i="40" s="1"/>
  <c r="AC76" i="40"/>
  <c r="AC75" i="40"/>
  <c r="AE75" i="40" s="1"/>
  <c r="AJ75" i="40" s="1"/>
  <c r="AC74" i="40"/>
  <c r="AE74" i="40" s="1"/>
  <c r="AJ74" i="40" s="1"/>
  <c r="AC73" i="40"/>
  <c r="AE73" i="40" s="1"/>
  <c r="AJ73" i="40" s="1"/>
  <c r="AC72" i="40"/>
  <c r="AE72" i="40" s="1"/>
  <c r="AJ72" i="40" s="1"/>
  <c r="AC71" i="40"/>
  <c r="AE71" i="40" s="1"/>
  <c r="AJ71" i="40" s="1"/>
  <c r="AC70" i="40"/>
  <c r="AE70" i="40" s="1"/>
  <c r="AJ70" i="40" s="1"/>
  <c r="AE69" i="40"/>
  <c r="AJ69" i="40" s="1"/>
  <c r="AC69" i="40"/>
  <c r="AE68" i="40"/>
  <c r="AJ68" i="40" s="1"/>
  <c r="AC68" i="40"/>
  <c r="AC67" i="40"/>
  <c r="AE67" i="40" s="1"/>
  <c r="AJ67" i="40" s="1"/>
  <c r="AC66" i="40"/>
  <c r="AE66" i="40" s="1"/>
  <c r="AJ66" i="40" s="1"/>
  <c r="AC65" i="40"/>
  <c r="AE65" i="40" s="1"/>
  <c r="AJ65" i="40" s="1"/>
  <c r="AC64" i="40"/>
  <c r="AE64" i="40" s="1"/>
  <c r="AJ64" i="40" s="1"/>
  <c r="AC63" i="40"/>
  <c r="AE63" i="40" s="1"/>
  <c r="AJ63" i="40" s="1"/>
  <c r="AC62" i="40"/>
  <c r="AE62" i="40" s="1"/>
  <c r="AJ62" i="40" s="1"/>
  <c r="AE61" i="40"/>
  <c r="AJ61" i="40" s="1"/>
  <c r="AC61" i="40"/>
  <c r="AE60" i="40"/>
  <c r="AJ60" i="40" s="1"/>
  <c r="AC60" i="40"/>
  <c r="AC59" i="40"/>
  <c r="AE59" i="40" s="1"/>
  <c r="AJ59" i="40" s="1"/>
  <c r="AC58" i="40"/>
  <c r="AE58" i="40" s="1"/>
  <c r="AJ58" i="40" s="1"/>
  <c r="AC57" i="40"/>
  <c r="AE57" i="40" s="1"/>
  <c r="AJ57" i="40" s="1"/>
  <c r="AC56" i="40"/>
  <c r="AE56" i="40" s="1"/>
  <c r="AJ56" i="40" s="1"/>
  <c r="AC55" i="40"/>
  <c r="AE55" i="40" s="1"/>
  <c r="AJ55" i="40" s="1"/>
  <c r="AC54" i="40"/>
  <c r="AE54" i="40" s="1"/>
  <c r="AJ54" i="40" s="1"/>
  <c r="AE53" i="40"/>
  <c r="AJ53" i="40" s="1"/>
  <c r="AC53" i="40"/>
  <c r="AE52" i="40"/>
  <c r="AJ52" i="40" s="1"/>
  <c r="AC52" i="40"/>
  <c r="AC51" i="40"/>
  <c r="AE51" i="40" s="1"/>
  <c r="AJ51" i="40" s="1"/>
  <c r="AC50" i="40"/>
  <c r="AE50" i="40" s="1"/>
  <c r="AJ50" i="40" s="1"/>
  <c r="AC49" i="40"/>
  <c r="AE49" i="40" s="1"/>
  <c r="AJ49" i="40" s="1"/>
  <c r="AC48" i="40"/>
  <c r="AE48" i="40" s="1"/>
  <c r="AJ48" i="40" s="1"/>
  <c r="AC47" i="40"/>
  <c r="AE47" i="40" s="1"/>
  <c r="AJ47" i="40" s="1"/>
  <c r="AC46" i="40"/>
  <c r="AE46" i="40" s="1"/>
  <c r="AJ46" i="40" s="1"/>
  <c r="AE45" i="40"/>
  <c r="AJ45" i="40" s="1"/>
  <c r="AC45" i="40"/>
  <c r="AE44" i="40"/>
  <c r="AJ44" i="40" s="1"/>
  <c r="AC44" i="40"/>
  <c r="AC43" i="40"/>
  <c r="AE43" i="40" s="1"/>
  <c r="AJ43" i="40" s="1"/>
  <c r="AC42" i="40"/>
  <c r="AE42" i="40" s="1"/>
  <c r="AJ42" i="40" s="1"/>
  <c r="AC41" i="40"/>
  <c r="AE41" i="40" s="1"/>
  <c r="AJ41" i="40" s="1"/>
  <c r="AC40" i="40"/>
  <c r="AE40" i="40" s="1"/>
  <c r="AJ40" i="40" s="1"/>
  <c r="AC39" i="40"/>
  <c r="AE39" i="40" s="1"/>
  <c r="AJ39" i="40" s="1"/>
  <c r="AC38" i="40"/>
  <c r="AE38" i="40" s="1"/>
  <c r="AJ38" i="40" s="1"/>
  <c r="AE37" i="40"/>
  <c r="AJ37" i="40" s="1"/>
  <c r="AC37" i="40"/>
  <c r="AE36" i="40"/>
  <c r="AJ36" i="40" s="1"/>
  <c r="AC36" i="40"/>
  <c r="AC35" i="40"/>
  <c r="AE35" i="40" s="1"/>
  <c r="AJ35" i="40" s="1"/>
  <c r="AC34" i="40"/>
  <c r="AE34" i="40" s="1"/>
  <c r="AJ34" i="40" s="1"/>
  <c r="AC33" i="40"/>
  <c r="AE33" i="40" s="1"/>
  <c r="AJ33" i="40" s="1"/>
  <c r="AC32" i="40"/>
  <c r="AE32" i="40" s="1"/>
  <c r="AJ32" i="40" s="1"/>
  <c r="AC31" i="40"/>
  <c r="AE31" i="40" s="1"/>
  <c r="AJ31" i="40" s="1"/>
  <c r="AC30" i="40"/>
  <c r="AE30" i="40" s="1"/>
  <c r="AJ30" i="40" s="1"/>
  <c r="AC29" i="40"/>
  <c r="AE29" i="40" s="1"/>
  <c r="AJ29" i="40" s="1"/>
  <c r="AC28" i="40"/>
  <c r="AE28" i="40" s="1"/>
  <c r="AJ28" i="40" s="1"/>
  <c r="AC27" i="40"/>
  <c r="AE27" i="40" s="1"/>
  <c r="AJ27" i="40" s="1"/>
  <c r="AC26" i="40"/>
  <c r="AE26" i="40" s="1"/>
  <c r="AJ26" i="40" s="1"/>
  <c r="AC25" i="40"/>
  <c r="AE25" i="40" s="1"/>
  <c r="AJ25" i="40" s="1"/>
  <c r="AC24" i="40"/>
  <c r="AE24" i="40" s="1"/>
  <c r="AJ24" i="40" s="1"/>
  <c r="AC23" i="40"/>
  <c r="AE23" i="40" s="1"/>
  <c r="AJ23" i="40" s="1"/>
  <c r="AC22" i="40"/>
  <c r="AE22" i="40" s="1"/>
  <c r="AJ22" i="40" s="1"/>
  <c r="AC21" i="40"/>
  <c r="AE21" i="40" s="1"/>
  <c r="AJ21" i="40" s="1"/>
  <c r="AC20" i="40"/>
  <c r="AE20" i="40" s="1"/>
  <c r="AJ20" i="40" s="1"/>
  <c r="AC19" i="40"/>
  <c r="AE19" i="40" s="1"/>
  <c r="AJ19" i="40" s="1"/>
  <c r="AC18" i="40"/>
  <c r="AE18" i="40" s="1"/>
  <c r="AJ18" i="40" s="1"/>
  <c r="AC17" i="40"/>
  <c r="AE17" i="40" s="1"/>
  <c r="AJ17" i="40" s="1"/>
  <c r="AC16" i="40"/>
  <c r="AE16" i="40" s="1"/>
  <c r="AJ16" i="40" s="1"/>
  <c r="AC15" i="40"/>
  <c r="AE15" i="40" s="1"/>
  <c r="AJ15" i="40" s="1"/>
  <c r="AC14" i="40"/>
  <c r="AE14" i="40" s="1"/>
  <c r="AJ14" i="40" s="1"/>
  <c r="AC13" i="40"/>
  <c r="AE13" i="40" s="1"/>
  <c r="AJ13" i="40" s="1"/>
  <c r="AC12" i="40"/>
  <c r="AE12" i="40" s="1"/>
  <c r="AJ12" i="40" s="1"/>
  <c r="AC11" i="40"/>
  <c r="AE11" i="40" s="1"/>
  <c r="AJ11" i="40" s="1"/>
  <c r="AC10" i="40"/>
  <c r="AE10" i="40" s="1"/>
  <c r="AJ10" i="40" s="1"/>
  <c r="AI9" i="40"/>
  <c r="AI10" i="40" s="1"/>
  <c r="AI11" i="40" s="1"/>
  <c r="AI12" i="40" s="1"/>
  <c r="AI13" i="40" s="1"/>
  <c r="AI14" i="40" s="1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E9" i="40"/>
  <c r="AC9" i="40"/>
  <c r="AA42" i="191"/>
  <c r="AA40" i="191"/>
  <c r="AB39" i="191"/>
  <c r="Y39" i="191"/>
  <c r="AB38" i="191"/>
  <c r="AB37" i="191"/>
  <c r="AB36" i="191"/>
  <c r="AB35" i="191"/>
  <c r="AB34" i="191"/>
  <c r="AB33" i="191"/>
  <c r="AB32" i="191"/>
  <c r="AB31" i="191"/>
  <c r="AB30" i="191"/>
  <c r="AB29" i="191"/>
  <c r="AB28" i="191"/>
  <c r="AB27" i="191"/>
  <c r="AB26" i="191"/>
  <c r="AB25" i="191"/>
  <c r="AB24" i="191"/>
  <c r="AB23" i="191"/>
  <c r="AB22" i="191"/>
  <c r="AB21" i="191"/>
  <c r="AB20" i="191"/>
  <c r="AB19" i="191"/>
  <c r="AB18" i="191"/>
  <c r="AB17" i="191"/>
  <c r="AB16" i="191"/>
  <c r="AB15" i="191"/>
  <c r="AB14" i="191"/>
  <c r="AB13" i="191"/>
  <c r="AB12" i="191"/>
  <c r="AB11" i="19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AF36" i="191" s="1"/>
  <c r="AF37" i="191" s="1"/>
  <c r="AB10" i="191"/>
  <c r="AE10" i="191" s="1"/>
  <c r="AE11" i="191" s="1"/>
  <c r="AE12" i="191" s="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AE36" i="191" s="1"/>
  <c r="AE37" i="191" s="1"/>
  <c r="AD5" i="19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Z36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AE115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C115" i="40"/>
  <c r="AJ9" i="40"/>
  <c r="Z38" i="157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G5" i="204"/>
  <c r="H5" i="204" s="1"/>
  <c r="F33" i="204"/>
  <c r="Q30" i="38"/>
  <c r="Q26" i="38"/>
  <c r="AD120" i="40" l="1"/>
  <c r="AF5" i="40"/>
  <c r="AG5" i="40" s="1"/>
  <c r="Q29" i="38"/>
  <c r="Q28" i="38"/>
  <c r="Q24" i="38"/>
  <c r="Q27" i="38" l="1"/>
  <c r="Q25" i="38" l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8" i="195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F32" i="195" l="1"/>
  <c r="G5" i="195"/>
  <c r="H5" i="195" s="1"/>
  <c r="F33" i="195"/>
  <c r="P79" i="129"/>
  <c r="O84" i="129" s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125" i="38"/>
  <c r="Q6" i="129" l="1"/>
  <c r="R6" i="129" s="1"/>
  <c r="Q23" i="38"/>
  <c r="Q19" i="38"/>
  <c r="Q15" i="38"/>
  <c r="Q22" i="38"/>
  <c r="Q21" i="38"/>
  <c r="Q17" i="38"/>
  <c r="Q18" i="38"/>
  <c r="Q20" i="38" l="1"/>
  <c r="P41" i="177" l="1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54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S10" i="177" l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N52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31" i="205"/>
  <c r="C31" i="205"/>
  <c r="D30" i="205"/>
  <c r="D31" i="205" s="1"/>
  <c r="E34" i="205" s="1"/>
  <c r="H5" i="205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P74" i="65"/>
  <c r="R74" i="65" s="1"/>
  <c r="W74" i="65" s="1"/>
  <c r="P73" i="65"/>
  <c r="R73" i="65" s="1"/>
  <c r="W73" i="65" s="1"/>
  <c r="P72" i="65"/>
  <c r="R72" i="65" s="1"/>
  <c r="W72" i="65" s="1"/>
  <c r="P71" i="65"/>
  <c r="R71" i="65" s="1"/>
  <c r="W71" i="65" s="1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Q39" i="191"/>
  <c r="P42" i="191" s="1"/>
  <c r="N39" i="191"/>
  <c r="P40" i="191" s="1"/>
  <c r="Q38" i="191"/>
  <c r="Q37" i="191"/>
  <c r="Q36" i="191"/>
  <c r="Q35" i="191"/>
  <c r="Q34" i="191"/>
  <c r="Q33" i="191"/>
  <c r="Q32" i="191"/>
  <c r="Q31" i="191"/>
  <c r="Q30" i="191"/>
  <c r="Q29" i="191"/>
  <c r="Q28" i="191"/>
  <c r="Q27" i="191"/>
  <c r="Q26" i="191"/>
  <c r="Q25" i="191"/>
  <c r="Q24" i="191"/>
  <c r="Q23" i="191"/>
  <c r="Q22" i="191"/>
  <c r="Q21" i="191"/>
  <c r="Q20" i="191"/>
  <c r="Q19" i="191"/>
  <c r="Q18" i="191"/>
  <c r="Q17" i="191"/>
  <c r="Q16" i="191"/>
  <c r="Q15" i="191"/>
  <c r="Q14" i="191"/>
  <c r="Q13" i="19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T10" i="191" s="1"/>
  <c r="S5" i="191"/>
  <c r="P109" i="65" l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T11" i="19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53" i="177"/>
  <c r="Q5" i="177"/>
  <c r="R5" i="177" s="1"/>
  <c r="P78" i="197"/>
  <c r="O83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AI83" i="188"/>
  <c r="AK6" i="188"/>
  <c r="AL6" i="188" s="1"/>
  <c r="Y83" i="188"/>
  <c r="AA6" i="188"/>
  <c r="AB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3" i="38"/>
  <c r="Q16" i="38"/>
  <c r="Q11" i="38"/>
  <c r="Q6" i="38"/>
  <c r="Q14" i="38"/>
  <c r="O53" i="57" l="1"/>
  <c r="Q6" i="197"/>
  <c r="R6" i="197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12" i="38"/>
  <c r="Q10" i="38"/>
  <c r="Q112" i="65" l="1"/>
  <c r="S5" i="65"/>
  <c r="T5" i="65" s="1"/>
  <c r="Q9" i="38"/>
  <c r="Q8" i="38"/>
  <c r="Q5" i="38"/>
  <c r="Q7" i="38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N78" i="200"/>
  <c r="M78" i="200"/>
  <c r="O81" i="200" s="1"/>
  <c r="P76" i="200"/>
  <c r="P75" i="200"/>
  <c r="P74" i="200"/>
  <c r="P73" i="200"/>
  <c r="P72" i="200"/>
  <c r="P71" i="200"/>
  <c r="P70" i="200"/>
  <c r="P69" i="200"/>
  <c r="P68" i="200"/>
  <c r="P67" i="200"/>
  <c r="P66" i="200"/>
  <c r="P65" i="200"/>
  <c r="P64" i="200"/>
  <c r="P63" i="200"/>
  <c r="P62" i="200"/>
  <c r="P61" i="200"/>
  <c r="P60" i="200"/>
  <c r="P59" i="200"/>
  <c r="P58" i="200"/>
  <c r="P57" i="200"/>
  <c r="P56" i="200"/>
  <c r="P55" i="200"/>
  <c r="P54" i="200"/>
  <c r="P53" i="200"/>
  <c r="P52" i="200"/>
  <c r="P51" i="200"/>
  <c r="P50" i="200"/>
  <c r="P49" i="200"/>
  <c r="P48" i="200"/>
  <c r="P47" i="200"/>
  <c r="P46" i="200"/>
  <c r="P45" i="200"/>
  <c r="P44" i="200"/>
  <c r="P43" i="200"/>
  <c r="P42" i="200"/>
  <c r="P41" i="200"/>
  <c r="P40" i="200"/>
  <c r="P39" i="200"/>
  <c r="P38" i="200"/>
  <c r="P37" i="200"/>
  <c r="P36" i="200"/>
  <c r="P35" i="200"/>
  <c r="P34" i="200"/>
  <c r="P33" i="200"/>
  <c r="P32" i="200"/>
  <c r="P31" i="200"/>
  <c r="P30" i="200"/>
  <c r="P29" i="200"/>
  <c r="P28" i="200"/>
  <c r="P27" i="200"/>
  <c r="P26" i="200"/>
  <c r="P25" i="200"/>
  <c r="P24" i="200"/>
  <c r="P23" i="200"/>
  <c r="P22" i="200"/>
  <c r="P21" i="200"/>
  <c r="P20" i="200"/>
  <c r="P19" i="200"/>
  <c r="P18" i="200"/>
  <c r="P17" i="200"/>
  <c r="P16" i="200"/>
  <c r="P15" i="200"/>
  <c r="P14" i="200"/>
  <c r="P13" i="200"/>
  <c r="P12" i="200"/>
  <c r="P11" i="200"/>
  <c r="P10" i="200"/>
  <c r="P9" i="200"/>
  <c r="P78" i="200" s="1"/>
  <c r="L9" i="200"/>
  <c r="L10" i="200" s="1"/>
  <c r="L11" i="200" s="1"/>
  <c r="L12" i="200" s="1"/>
  <c r="L13" i="200" s="1"/>
  <c r="L14" i="200" s="1"/>
  <c r="L15" i="200" s="1"/>
  <c r="L16" i="200" s="1"/>
  <c r="L17" i="200" s="1"/>
  <c r="L18" i="200" s="1"/>
  <c r="L19" i="200" s="1"/>
  <c r="L20" i="200" s="1"/>
  <c r="L21" i="200" s="1"/>
  <c r="L22" i="200" s="1"/>
  <c r="L23" i="200" s="1"/>
  <c r="L24" i="200" s="1"/>
  <c r="L25" i="200" s="1"/>
  <c r="L26" i="200" s="1"/>
  <c r="L27" i="200" s="1"/>
  <c r="L28" i="200" s="1"/>
  <c r="L29" i="200" s="1"/>
  <c r="L30" i="200" s="1"/>
  <c r="L31" i="200" s="1"/>
  <c r="L32" i="200" s="1"/>
  <c r="L33" i="200" s="1"/>
  <c r="L34" i="200" s="1"/>
  <c r="L35" i="200" s="1"/>
  <c r="L36" i="200" s="1"/>
  <c r="L37" i="200" s="1"/>
  <c r="L38" i="200" s="1"/>
  <c r="L39" i="200" s="1"/>
  <c r="L40" i="200" s="1"/>
  <c r="L41" i="200" s="1"/>
  <c r="L42" i="200" s="1"/>
  <c r="L43" i="200" s="1"/>
  <c r="L44" i="200" s="1"/>
  <c r="L45" i="200" s="1"/>
  <c r="L46" i="200" s="1"/>
  <c r="L47" i="200" s="1"/>
  <c r="L48" i="200" s="1"/>
  <c r="L49" i="200" s="1"/>
  <c r="L50" i="200" s="1"/>
  <c r="L51" i="200" s="1"/>
  <c r="L52" i="200" s="1"/>
  <c r="L53" i="200" s="1"/>
  <c r="L54" i="200" s="1"/>
  <c r="L55" i="200" s="1"/>
  <c r="L56" i="200" s="1"/>
  <c r="L57" i="200" s="1"/>
  <c r="L58" i="200" s="1"/>
  <c r="L59" i="200" s="1"/>
  <c r="L60" i="200" s="1"/>
  <c r="L61" i="200" s="1"/>
  <c r="L62" i="200" s="1"/>
  <c r="L63" i="200" s="1"/>
  <c r="L64" i="200" s="1"/>
  <c r="L65" i="200" s="1"/>
  <c r="L66" i="200" s="1"/>
  <c r="L67" i="200" s="1"/>
  <c r="L68" i="200" s="1"/>
  <c r="L69" i="200" s="1"/>
  <c r="L70" i="200" s="1"/>
  <c r="L71" i="200" s="1"/>
  <c r="L72" i="200" s="1"/>
  <c r="L73" i="200" s="1"/>
  <c r="L74" i="200" s="1"/>
  <c r="L75" i="200" s="1"/>
  <c r="N42" i="54"/>
  <c r="M42" i="54"/>
  <c r="O45" i="54" s="1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I10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J22" i="202"/>
  <c r="F22" i="202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J14" i="202"/>
  <c r="F14" i="202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F78" i="201" s="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30" i="202" l="1"/>
  <c r="G5" i="202" s="1"/>
  <c r="H5" i="202" s="1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S9" i="200"/>
  <c r="S10" i="200" s="1"/>
  <c r="S11" i="200" s="1"/>
  <c r="S12" i="200" s="1"/>
  <c r="S13" i="200" s="1"/>
  <c r="S14" i="200" s="1"/>
  <c r="S15" i="200" s="1"/>
  <c r="S16" i="200" s="1"/>
  <c r="S17" i="200" s="1"/>
  <c r="S18" i="200" s="1"/>
  <c r="S19" i="200" s="1"/>
  <c r="S20" i="200" s="1"/>
  <c r="S21" i="200" s="1"/>
  <c r="S22" i="200" s="1"/>
  <c r="S23" i="200" s="1"/>
  <c r="S24" i="200" s="1"/>
  <c r="S25" i="200" s="1"/>
  <c r="S26" i="200" s="1"/>
  <c r="S27" i="200" s="1"/>
  <c r="S28" i="200" s="1"/>
  <c r="S29" i="200" s="1"/>
  <c r="S30" i="200" s="1"/>
  <c r="S31" i="200" s="1"/>
  <c r="S32" i="200" s="1"/>
  <c r="S33" i="200" s="1"/>
  <c r="S34" i="200" s="1"/>
  <c r="S35" i="200" s="1"/>
  <c r="S36" i="200" s="1"/>
  <c r="S37" i="200" s="1"/>
  <c r="S38" i="200" s="1"/>
  <c r="S39" i="200" s="1"/>
  <c r="S40" i="200" s="1"/>
  <c r="S41" i="200" s="1"/>
  <c r="S42" i="200" s="1"/>
  <c r="S43" i="200" s="1"/>
  <c r="S44" i="200" s="1"/>
  <c r="S45" i="200" s="1"/>
  <c r="S46" i="200" s="1"/>
  <c r="S47" i="200" s="1"/>
  <c r="S48" i="200" s="1"/>
  <c r="S49" i="200" s="1"/>
  <c r="S50" i="200" s="1"/>
  <c r="S51" i="200" s="1"/>
  <c r="S52" i="200" s="1"/>
  <c r="S53" i="200" s="1"/>
  <c r="S54" i="200" s="1"/>
  <c r="S55" i="200" s="1"/>
  <c r="S56" i="200" s="1"/>
  <c r="S57" i="200" s="1"/>
  <c r="S58" i="200" s="1"/>
  <c r="S59" i="200" s="1"/>
  <c r="S60" i="200" s="1"/>
  <c r="S61" i="200" s="1"/>
  <c r="S62" i="200" s="1"/>
  <c r="S63" i="200" s="1"/>
  <c r="S64" i="200" s="1"/>
  <c r="S65" i="200" s="1"/>
  <c r="S66" i="200" s="1"/>
  <c r="S67" i="200" s="1"/>
  <c r="S68" i="200" s="1"/>
  <c r="S69" i="200" s="1"/>
  <c r="S70" i="200" s="1"/>
  <c r="S71" i="200" s="1"/>
  <c r="S72" i="200" s="1"/>
  <c r="S73" i="200" s="1"/>
  <c r="S74" i="200" s="1"/>
  <c r="S75" i="200" s="1"/>
  <c r="S76" i="200" s="1"/>
  <c r="Q53" i="117"/>
  <c r="O83" i="200"/>
  <c r="Q6" i="200"/>
  <c r="R6" i="200" s="1"/>
  <c r="P42" i="54"/>
  <c r="O47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F27" i="203"/>
  <c r="G6" i="203" s="1"/>
  <c r="H6" i="203" s="1"/>
  <c r="E83" i="201"/>
  <c r="G6" i="201"/>
  <c r="H6" i="201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F13" i="157"/>
  <c r="F12" i="157"/>
  <c r="F32" i="202" l="1"/>
  <c r="F29" i="203"/>
  <c r="P56" i="117"/>
  <c r="R5" i="117"/>
  <c r="S5" i="117" s="1"/>
  <c r="Q5" i="54"/>
  <c r="R5" i="54" s="1"/>
  <c r="P56" i="187"/>
  <c r="O61" i="187" s="1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IX5" i="1"/>
  <c r="Q4" i="187" l="1"/>
  <c r="R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F11" i="130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R91" i="40"/>
  <c r="W91" i="40" s="1"/>
  <c r="P91" i="40"/>
  <c r="R90" i="40"/>
  <c r="W90" i="40" s="1"/>
  <c r="P90" i="40"/>
  <c r="R89" i="40"/>
  <c r="W89" i="40" s="1"/>
  <c r="P89" i="40"/>
  <c r="P88" i="40"/>
  <c r="R88" i="40" s="1"/>
  <c r="W88" i="40" s="1"/>
  <c r="R87" i="40"/>
  <c r="W87" i="40" s="1"/>
  <c r="P87" i="40"/>
  <c r="R86" i="40"/>
  <c r="W86" i="40" s="1"/>
  <c r="P86" i="40"/>
  <c r="R85" i="40"/>
  <c r="W85" i="40" s="1"/>
  <c r="P85" i="40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R79" i="40"/>
  <c r="W79" i="40" s="1"/>
  <c r="P79" i="40"/>
  <c r="R78" i="40"/>
  <c r="W78" i="40" s="1"/>
  <c r="P78" i="40"/>
  <c r="R77" i="40"/>
  <c r="W77" i="40" s="1"/>
  <c r="P77" i="40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R26" i="40"/>
  <c r="W26" i="40" s="1"/>
  <c r="P26" i="40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35" i="199"/>
  <c r="C35" i="199"/>
  <c r="E38" i="199" s="1"/>
  <c r="F33" i="199"/>
  <c r="F32" i="199"/>
  <c r="F31" i="199"/>
  <c r="F30" i="199"/>
  <c r="F29" i="199"/>
  <c r="F28" i="199"/>
  <c r="F26" i="199"/>
  <c r="F25" i="199"/>
  <c r="F24" i="199"/>
  <c r="F23" i="199"/>
  <c r="F22" i="199"/>
  <c r="F21" i="199"/>
  <c r="F20" i="199"/>
  <c r="F19" i="199"/>
  <c r="F18" i="199"/>
  <c r="F17" i="199"/>
  <c r="F16" i="199"/>
  <c r="F15" i="199"/>
  <c r="F14" i="199"/>
  <c r="F13" i="199"/>
  <c r="F12" i="199"/>
  <c r="F11" i="199"/>
  <c r="F10" i="199"/>
  <c r="B10" i="199"/>
  <c r="B11" i="199" s="1"/>
  <c r="B12" i="199" s="1"/>
  <c r="B13" i="199" s="1"/>
  <c r="B14" i="199" s="1"/>
  <c r="B15" i="199" s="1"/>
  <c r="B16" i="199" s="1"/>
  <c r="B17" i="199" s="1"/>
  <c r="B18" i="199" s="1"/>
  <c r="B19" i="199" s="1"/>
  <c r="B20" i="199" s="1"/>
  <c r="B21" i="199" s="1"/>
  <c r="B22" i="199" s="1"/>
  <c r="B23" i="199" s="1"/>
  <c r="B24" i="199" s="1"/>
  <c r="B25" i="199" s="1"/>
  <c r="B26" i="199" s="1"/>
  <c r="B27" i="199" s="1"/>
  <c r="B28" i="199" s="1"/>
  <c r="I10" i="130" l="1"/>
  <c r="I10" i="199"/>
  <c r="I11" i="199" s="1"/>
  <c r="I12" i="199" s="1"/>
  <c r="I13" i="199" s="1"/>
  <c r="I14" i="199" s="1"/>
  <c r="I15" i="199" s="1"/>
  <c r="I16" i="199" s="1"/>
  <c r="I17" i="199" s="1"/>
  <c r="I18" i="199" s="1"/>
  <c r="I19" i="199" s="1"/>
  <c r="I20" i="199" s="1"/>
  <c r="I21" i="199" s="1"/>
  <c r="I22" i="199" s="1"/>
  <c r="I23" i="199" s="1"/>
  <c r="I24" i="199" s="1"/>
  <c r="I25" i="199" s="1"/>
  <c r="I26" i="199" s="1"/>
  <c r="I27" i="199" s="1"/>
  <c r="I28" i="199" s="1"/>
  <c r="I29" i="199" s="1"/>
  <c r="I30" i="199" s="1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53" i="117"/>
  <c r="E56" i="117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F35" i="199"/>
  <c r="Q5" i="157" l="1"/>
  <c r="R5" i="157" s="1"/>
  <c r="F32" i="130"/>
  <c r="H5" i="130"/>
  <c r="G5" i="117"/>
  <c r="H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E40" i="199"/>
  <c r="G6" i="199"/>
  <c r="H6" i="199" s="1"/>
  <c r="J9" i="65"/>
  <c r="F37" i="191"/>
  <c r="F38" i="191"/>
  <c r="F39" i="191"/>
  <c r="D22" i="191"/>
  <c r="F22" i="191" s="1"/>
  <c r="D23" i="191"/>
  <c r="F23" i="191" s="1"/>
  <c r="D24" i="191"/>
  <c r="F24" i="191" s="1"/>
  <c r="D25" i="191"/>
  <c r="F25" i="191" s="1"/>
  <c r="D26" i="191"/>
  <c r="F26" i="191" s="1"/>
  <c r="D27" i="191"/>
  <c r="F27" i="191" s="1"/>
  <c r="D28" i="191"/>
  <c r="F28" i="191" s="1"/>
  <c r="D29" i="191"/>
  <c r="F29" i="191" s="1"/>
  <c r="D30" i="191"/>
  <c r="F30" i="191" s="1"/>
  <c r="D31" i="191"/>
  <c r="F31" i="191" s="1"/>
  <c r="D32" i="191"/>
  <c r="F32" i="191" s="1"/>
  <c r="D33" i="191"/>
  <c r="F33" i="191" s="1"/>
  <c r="D34" i="191"/>
  <c r="F34" i="191" s="1"/>
  <c r="D35" i="191"/>
  <c r="F35" i="191" s="1"/>
  <c r="D36" i="191"/>
  <c r="F36" i="191" s="1"/>
  <c r="C39" i="191"/>
  <c r="E40" i="191" s="1"/>
  <c r="D21" i="191"/>
  <c r="F21" i="191" s="1"/>
  <c r="D20" i="191"/>
  <c r="F20" i="191" s="1"/>
  <c r="D19" i="191"/>
  <c r="F19" i="191" s="1"/>
  <c r="D18" i="191"/>
  <c r="F18" i="191" s="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H5" i="191"/>
  <c r="B9" i="197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0" i="159"/>
  <c r="F11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Q120" i="40"/>
  <c r="S5" i="40"/>
  <c r="T5" i="40" s="1"/>
  <c r="E42" i="19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F28" i="161"/>
  <c r="J28" i="161" s="1"/>
  <c r="F29" i="161"/>
  <c r="J29" i="161" s="1"/>
  <c r="F30" i="161"/>
  <c r="J30" i="161" s="1"/>
  <c r="F31" i="161"/>
  <c r="J31" i="161" s="1"/>
  <c r="F32" i="161"/>
  <c r="F33" i="161"/>
  <c r="F34" i="161"/>
  <c r="F35" i="161"/>
  <c r="J35" i="161" s="1"/>
  <c r="F36" i="161"/>
  <c r="J32" i="161"/>
  <c r="J33" i="161"/>
  <c r="J34" i="161"/>
  <c r="J36" i="161"/>
  <c r="E40" i="159" l="1"/>
  <c r="G6" i="159"/>
  <c r="H6" i="159" s="1"/>
  <c r="D10" i="177"/>
  <c r="C10" i="177"/>
  <c r="HT5" i="1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K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D79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F86" i="65"/>
  <c r="D86" i="65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K69" i="65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S10" i="188" l="1"/>
  <c r="I11" i="177"/>
  <c r="I11" i="129"/>
  <c r="I12" i="129" s="1"/>
  <c r="I13" i="129" s="1"/>
  <c r="I14" i="129" s="1"/>
  <c r="I15" i="129" s="1"/>
  <c r="S11" i="188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F16" i="129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52" i="177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D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F79" i="129" l="1"/>
  <c r="E84" i="129" s="1"/>
  <c r="O83" i="188"/>
  <c r="Q6" i="188"/>
  <c r="R6" i="188" s="1"/>
  <c r="E40" i="198"/>
  <c r="G6" i="198"/>
  <c r="H6" i="198" s="1"/>
  <c r="F53" i="177"/>
  <c r="G5" i="177"/>
  <c r="H5" i="177" s="1"/>
  <c r="E83" i="188"/>
  <c r="G6" i="188"/>
  <c r="H6" i="188" s="1"/>
  <c r="E112" i="65"/>
  <c r="G5" i="65"/>
  <c r="H5" i="65" s="1"/>
  <c r="Z42" i="196"/>
  <c r="D48" i="57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G6" i="129"/>
  <c r="H6" i="129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Y47" i="196"/>
  <c r="AA6" i="196"/>
  <c r="AB6" i="196" s="1"/>
  <c r="F48" i="57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56" i="187"/>
  <c r="E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S10" i="196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4" i="187"/>
  <c r="E53" i="57"/>
  <c r="G6" i="57"/>
  <c r="H6" i="57" s="1"/>
  <c r="E83" i="197"/>
  <c r="G6" i="197"/>
  <c r="H6" i="197" s="1"/>
  <c r="P42" i="196"/>
  <c r="F42" i="196"/>
  <c r="O47" i="196" l="1"/>
  <c r="Q6" i="196"/>
  <c r="R6" i="196" s="1"/>
  <c r="E47" i="196"/>
  <c r="G6" i="196"/>
  <c r="H6" i="196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D42" i="54" l="1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F42" i="54" l="1"/>
  <c r="E47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G5" i="54"/>
  <c r="H5" i="54" s="1"/>
  <c r="B9" i="8"/>
  <c r="DO18" i="1" l="1"/>
  <c r="DO19" i="1"/>
  <c r="DO20" i="1"/>
  <c r="DO21" i="1"/>
  <c r="DO22" i="1"/>
  <c r="DO23" i="1"/>
  <c r="DO24" i="1"/>
  <c r="DO25" i="1"/>
  <c r="DO26" i="1"/>
  <c r="BQ21" i="1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D115" i="40"/>
  <c r="F9" i="40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3" i="38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F40" i="190"/>
  <c r="D40" i="190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5" i="38" l="1"/>
  <c r="I109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0" i="38"/>
  <c r="S118" i="38"/>
  <c r="T118" i="38" s="1"/>
  <c r="S119" i="38"/>
  <c r="T119" i="38" s="1"/>
  <c r="S120" i="38"/>
  <c r="T120" i="38" s="1"/>
  <c r="S126" i="38"/>
  <c r="T126" i="38" s="1"/>
  <c r="S127" i="38"/>
  <c r="T127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F33" i="181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8" i="38"/>
  <c r="S129" i="38"/>
  <c r="S130" i="38"/>
  <c r="S131" i="38"/>
  <c r="S139" i="38"/>
  <c r="S140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1" i="38"/>
  <c r="I101" i="38"/>
  <c r="I108" i="38"/>
  <c r="E34" i="139" l="1"/>
  <c r="H5" i="139"/>
  <c r="T104" i="38" l="1"/>
  <c r="I103" i="38"/>
  <c r="I111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4" i="38" l="1"/>
  <c r="I117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<sst xmlns="http://schemas.openxmlformats.org/spreadsheetml/2006/main" count="3621" uniqueCount="552">
  <si>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</si>
  <si>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</si>
  <si>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</si>
  <si>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</si>
  <si>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</si>
  <si>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</si>
  <si>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</si>
  <si>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</si>
  <si>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</si>
  <si>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</si>
  <si>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</si>
  <si>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</si>
  <si>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</si>
  <si>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</si>
  <si>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</si>
  <si>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</si>
  <si>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</si>
  <si>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</si>
  <si>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</si>
  <si>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</si>
  <si>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</si>
  <si>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</si>
  <si>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</si>
  <si>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</si>
  <si>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</si>
  <si>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</si>
  <si>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</si>
  <si>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</si>
  <si>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</si>
  <si>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</si>
  <si>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</si>
  <si>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</si>
  <si>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</si>
  <si>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</si>
  <si>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</si>
  <si>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</si>
  <si>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</si>
  <si>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</si>
  <si>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</si>
  <si>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</si>
  <si>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</si>
  <si>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</si>
  <si>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</si>
  <si>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</si>
  <si>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</si>
  <si>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</si>
  <si>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</si>
  <si>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</si>
  <si>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</si>
  <si>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</si>
  <si>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</si>
  <si>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</si>
  <si>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</si>
  <si>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</si>
  <si>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</si>
  <si>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</si>
  <si>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</si>
  <si>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</si>
  <si>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</si>
  <si>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</si>
  <si>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</si>
  <si>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</si>
  <si>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</si>
  <si>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</si>
  <si>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</si>
  <si>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</si>
  <si>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</si>
  <si>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</si>
  <si>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</si>
  <si>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</si>
  <si>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</si>
  <si>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</si>
  <si>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</si>
  <si>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</si>
  <si>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</si>
  <si>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</si>
  <si>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</si>
  <si>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</si>
  <si>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</si>
  <si>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</si>
  <si>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</si>
  <si>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</si>
  <si>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</si>
  <si>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</si>
  <si>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</si>
  <si>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</si>
  <si>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</si>
  <si>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</si>
  <si>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</si>
  <si>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</si>
  <si>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</si>
  <si>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</si>
  <si>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</si>
  <si>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</si>
  <si>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</si>
  <si>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0331 Z</t>
  </si>
  <si>
    <t>0333 Z</t>
  </si>
  <si>
    <t>0353 Z</t>
  </si>
  <si>
    <t>0434 Z</t>
  </si>
  <si>
    <t>PERNIL con piel</t>
  </si>
  <si>
    <t>CAÑA DE LOMO</t>
  </si>
  <si>
    <t>PERNIL con cuero</t>
  </si>
  <si>
    <t>RYC ALIMENTOS</t>
  </si>
  <si>
    <t>0534 Z</t>
  </si>
  <si>
    <t>0568 Z</t>
  </si>
  <si>
    <t>0578 Z</t>
  </si>
  <si>
    <t>0609 Z</t>
  </si>
  <si>
    <t>0628 Z</t>
  </si>
  <si>
    <t>ARRACHERA  TEXANA</t>
  </si>
  <si>
    <t>0633 Z</t>
  </si>
  <si>
    <t>0652 Z</t>
  </si>
  <si>
    <t>0665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</si>
  <si>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</si>
  <si>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0722 Z</t>
  </si>
  <si>
    <t>0717 Z</t>
  </si>
  <si>
    <t>0720 Z</t>
  </si>
  <si>
    <t>0725 Z</t>
  </si>
  <si>
    <t>0758 Z</t>
  </si>
  <si>
    <t>0729 Z</t>
  </si>
  <si>
    <t>0751 Z</t>
  </si>
  <si>
    <t>0757 Z</t>
  </si>
  <si>
    <t>0760 Z</t>
  </si>
  <si>
    <t>0761 Z</t>
  </si>
  <si>
    <t>0763 Z</t>
  </si>
  <si>
    <t>0764 Z</t>
  </si>
  <si>
    <t>0765 Z</t>
  </si>
  <si>
    <t>ABASTECEDORA ROEL</t>
  </si>
  <si>
    <t>ENTRADA DEL MES DE MAYO 2022</t>
  </si>
  <si>
    <t xml:space="preserve">RYC ALIMENTOS </t>
  </si>
  <si>
    <t>PULPA NEGRA</t>
  </si>
  <si>
    <t>0771 Z</t>
  </si>
  <si>
    <t>0778 Z</t>
  </si>
  <si>
    <t>0782 Z</t>
  </si>
  <si>
    <t>0791 Z</t>
  </si>
  <si>
    <t>0797 Z</t>
  </si>
  <si>
    <t>0801 Z</t>
  </si>
  <si>
    <t>0804 Z</t>
  </si>
  <si>
    <t>0806 Z</t>
  </si>
  <si>
    <t>0814 Z</t>
  </si>
  <si>
    <t>0820 Z</t>
  </si>
  <si>
    <t>0813 Z</t>
  </si>
  <si>
    <t>0818 Z</t>
  </si>
  <si>
    <t>0819 Z</t>
  </si>
  <si>
    <t>0822 Z</t>
  </si>
  <si>
    <t>0823 Z</t>
  </si>
  <si>
    <t>0829 Z</t>
  </si>
  <si>
    <t>0834 Z</t>
  </si>
  <si>
    <t>0836 Z</t>
  </si>
  <si>
    <t>0837 Z</t>
  </si>
  <si>
    <t>0840 Z</t>
  </si>
  <si>
    <t>0846 Z</t>
  </si>
  <si>
    <t>0851 Z</t>
  </si>
  <si>
    <t>0852 Z</t>
  </si>
  <si>
    <t>0853 Z</t>
  </si>
  <si>
    <t>0854 Z</t>
  </si>
  <si>
    <t>0856 Z</t>
  </si>
  <si>
    <t>0857 Z</t>
  </si>
  <si>
    <t>0858 Z</t>
  </si>
  <si>
    <t>0860 Z</t>
  </si>
  <si>
    <t>0868 Z</t>
  </si>
  <si>
    <t>0876 Z</t>
  </si>
  <si>
    <t>0878 Z</t>
  </si>
  <si>
    <t>0879 Z</t>
  </si>
  <si>
    <t>0879 z</t>
  </si>
  <si>
    <t>0880 z</t>
  </si>
  <si>
    <t>0881 z</t>
  </si>
  <si>
    <t>0922 Z</t>
  </si>
  <si>
    <t>0887 Z</t>
  </si>
  <si>
    <t>0889 Z</t>
  </si>
  <si>
    <t>0885 Z</t>
  </si>
  <si>
    <t>0886 Z</t>
  </si>
  <si>
    <t>0890 Z</t>
  </si>
  <si>
    <t>0893 Z</t>
  </si>
  <si>
    <t>0896 Z</t>
  </si>
  <si>
    <t>0899 Z</t>
  </si>
  <si>
    <t>0904 Z</t>
  </si>
  <si>
    <t>0905 Z</t>
  </si>
  <si>
    <t>0906 Z</t>
  </si>
  <si>
    <t>0907 Z</t>
  </si>
  <si>
    <t>0863 Z</t>
  </si>
  <si>
    <t>0909 Z</t>
  </si>
  <si>
    <t>0920 Z</t>
  </si>
  <si>
    <t>0950 Z</t>
  </si>
  <si>
    <t>0960 Z</t>
  </si>
  <si>
    <t>0970 Z</t>
  </si>
  <si>
    <t>0921 Z</t>
  </si>
  <si>
    <t>0917 Z</t>
  </si>
  <si>
    <t>0925 Z</t>
  </si>
  <si>
    <t>0945 Z</t>
  </si>
  <si>
    <t>0987 Z</t>
  </si>
  <si>
    <t>0926 Z</t>
  </si>
  <si>
    <t>0928 Z</t>
  </si>
  <si>
    <t>0951 Z</t>
  </si>
  <si>
    <t>0933 Z</t>
  </si>
  <si>
    <t>0934 Z</t>
  </si>
  <si>
    <t>0936 Z</t>
  </si>
  <si>
    <t>0938 Z</t>
  </si>
  <si>
    <t>0939 Z</t>
  </si>
  <si>
    <t>0981 Z</t>
  </si>
  <si>
    <t>0991 Z</t>
  </si>
  <si>
    <t>0949 Z</t>
  </si>
  <si>
    <t>0942 Z</t>
  </si>
  <si>
    <t>0955 Z</t>
  </si>
  <si>
    <t>0956 Z</t>
  </si>
  <si>
    <t>0957 Z</t>
  </si>
  <si>
    <t>0958 Z</t>
  </si>
  <si>
    <t>0959 Z</t>
  </si>
  <si>
    <t>0960 z</t>
  </si>
  <si>
    <t>0964 Z</t>
  </si>
  <si>
    <t>0965 Z</t>
  </si>
  <si>
    <t>0967 Z</t>
  </si>
  <si>
    <t>0963 Z</t>
  </si>
  <si>
    <t>0982 Z</t>
  </si>
  <si>
    <t>0986 Z</t>
  </si>
  <si>
    <t>0993 Z</t>
  </si>
  <si>
    <t>0996 Z</t>
  </si>
  <si>
    <t>0992 Z</t>
  </si>
  <si>
    <t>0997 Z</t>
  </si>
  <si>
    <t>0005 A1</t>
  </si>
  <si>
    <t>0006 A1</t>
  </si>
  <si>
    <t>ADAMS INT MORELIA</t>
  </si>
  <si>
    <t>ESPALDILLA   S/H</t>
  </si>
  <si>
    <t>GRNAJERO FELIZ</t>
  </si>
  <si>
    <t>DISTRIBUIDORA PEPE</t>
  </si>
  <si>
    <t xml:space="preserve">FILETE </t>
  </si>
  <si>
    <t>PIERNA CON CUERO</t>
  </si>
  <si>
    <t>0924 Z</t>
  </si>
  <si>
    <t>0927 Z</t>
  </si>
  <si>
    <t>0937 Z</t>
  </si>
  <si>
    <t>0944 Z</t>
  </si>
  <si>
    <t>0948 Z</t>
  </si>
  <si>
    <t>0984 Z</t>
  </si>
  <si>
    <t>0990 Z</t>
  </si>
  <si>
    <t>0995 Z</t>
  </si>
  <si>
    <t>0009 A1</t>
  </si>
  <si>
    <t>0010 A1</t>
  </si>
  <si>
    <t>0011 A1</t>
  </si>
  <si>
    <t>0013 A1</t>
  </si>
  <si>
    <t>0017 A1</t>
  </si>
  <si>
    <t>0018 A1</t>
  </si>
  <si>
    <t>0019 A1</t>
  </si>
  <si>
    <t>0030 A1</t>
  </si>
  <si>
    <t>0023 A1</t>
  </si>
  <si>
    <t>0026 A1</t>
  </si>
  <si>
    <t>0027 A1</t>
  </si>
  <si>
    <t>0029 A1</t>
  </si>
  <si>
    <t>0032 A1</t>
  </si>
  <si>
    <t>0040 A1</t>
  </si>
  <si>
    <t>0042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</si>
  <si>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</si>
  <si>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</si>
  <si>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</si>
  <si>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</si>
  <si>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</si>
  <si>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</si>
  <si>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</si>
  <si>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</si>
  <si>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0058 A1</t>
  </si>
  <si>
    <t>0061 A1</t>
  </si>
  <si>
    <t>0063 A1</t>
  </si>
  <si>
    <t>0064 A1</t>
  </si>
  <si>
    <t>0065 A1</t>
  </si>
  <si>
    <t>0068 A1</t>
  </si>
  <si>
    <t>0070 A1</t>
  </si>
  <si>
    <t>0862 Z</t>
  </si>
  <si>
    <t>SESOS DE COPA</t>
  </si>
  <si>
    <t>TOTAL DE ENTRADAS DEL MES       JUNIO         2022</t>
  </si>
  <si>
    <t>ENTRADA DEL MES  DE  JUNIO 2022</t>
  </si>
  <si>
    <t>INVENTARIO DEL MES DE MAYO 2022</t>
  </si>
  <si>
    <t>INVENTARIO     DEL MES DE MAYO 2022</t>
  </si>
  <si>
    <t>INVENTARIO DEL MES DE    M AYO      2022</t>
  </si>
  <si>
    <t>INVENTARIO    DEL MES DE MAYO 2022</t>
  </si>
  <si>
    <t>INVENTARIO      DEL MES DE MAYO 2022</t>
  </si>
  <si>
    <t>INVENTARIO    DEL MES DE  MAYO    2022</t>
  </si>
  <si>
    <t>INVENTARIO   DEL MES DE    MAYO        2022</t>
  </si>
  <si>
    <t>INVENTARIO    DEL MES DE     MAYO          2022</t>
  </si>
  <si>
    <t>INVENTARIO    DEL MES DE  MAYO   2022</t>
  </si>
  <si>
    <t>INVENTARIO    DEL MES DE M AYO 2022</t>
  </si>
  <si>
    <t>INVENTARIO      DEL MES DE   M A Y O       2022</t>
  </si>
  <si>
    <t>ENTRADA DEL MES DE JUNIO 2022</t>
  </si>
  <si>
    <t xml:space="preserve">      I N N O V A </t>
  </si>
  <si>
    <t>ENTRADA DEL MES DE  JUNIO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</si>
  <si>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</si>
  <si>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</si>
  <si>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</si>
  <si>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</si>
  <si>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</si>
  <si>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>TYSON FRESH MEAT</t>
  </si>
  <si>
    <t xml:space="preserve">I B P </t>
  </si>
  <si>
    <t>PED. 82745698</t>
  </si>
  <si>
    <t>SEABOARD FOODS</t>
  </si>
  <si>
    <t>Seaboard</t>
  </si>
  <si>
    <t>PED. 82790743</t>
  </si>
  <si>
    <t>PED. 82791435</t>
  </si>
  <si>
    <t>ENTRADA DEL MES DE   JUNIO  2022</t>
  </si>
  <si>
    <t>ENTRADA DEL MES DE  JUNIO   2022</t>
  </si>
  <si>
    <t xml:space="preserve">I N N O VA </t>
  </si>
  <si>
    <t xml:space="preserve">CHULETA DE CERDO </t>
  </si>
  <si>
    <t>PED. 82852334</t>
  </si>
  <si>
    <t>PED. 82791420</t>
  </si>
  <si>
    <t>PED. 83063427</t>
  </si>
  <si>
    <t>PED. 83101738</t>
  </si>
  <si>
    <t>PED. 83101976</t>
  </si>
  <si>
    <t>ENTRADAS DEL MES DE    J U N I O      2022</t>
  </si>
  <si>
    <t>PED. 83101736</t>
  </si>
  <si>
    <t>PED. 83175630</t>
  </si>
  <si>
    <t>PED. 83175899</t>
  </si>
  <si>
    <t>TYSON FRESH MEATS</t>
  </si>
  <si>
    <t>PED. 83215695</t>
  </si>
  <si>
    <t>PED. 83215694</t>
  </si>
  <si>
    <t>ALIMENTOS CERTIFICADOS DE PUEBLA</t>
  </si>
  <si>
    <t>ESPALDILLA S/H</t>
  </si>
  <si>
    <t>PIERNA S/H CONGELADA</t>
  </si>
  <si>
    <t>RECORTE ESPECIAL</t>
  </si>
  <si>
    <t>RECORTE DE DIAFRAGMA</t>
  </si>
  <si>
    <t>B-2515</t>
  </si>
  <si>
    <t>DISTRIBUIDORA PEPE FILETE</t>
  </si>
  <si>
    <t>CHAMBARETE CAJA</t>
  </si>
  <si>
    <t>ESPALDILLA DE CARNERO</t>
  </si>
  <si>
    <t>COMBO PERNIL CON CUERO</t>
  </si>
  <si>
    <t>NLSE22-98</t>
  </si>
  <si>
    <t>A-9466</t>
  </si>
  <si>
    <t>NLSE22-97</t>
  </si>
  <si>
    <t>CHULETA DE CERDO</t>
  </si>
  <si>
    <t>NLSE22-99</t>
  </si>
  <si>
    <t>NLSE22-101</t>
  </si>
  <si>
    <t>NLSE22-100</t>
  </si>
  <si>
    <t>NLSE22-102</t>
  </si>
  <si>
    <t>NLSE22-117</t>
  </si>
  <si>
    <t>H-7151</t>
  </si>
  <si>
    <t>NLSE22-103</t>
  </si>
  <si>
    <t>H-7180</t>
  </si>
  <si>
    <t>NLSE22-104</t>
  </si>
  <si>
    <t>Transfer B 24-May-22</t>
  </si>
  <si>
    <t>Transfer B 26-May-22</t>
  </si>
  <si>
    <t>Transfer Bnte 30-May-22</t>
  </si>
  <si>
    <t>Transfer Bnte 31-May-22</t>
  </si>
  <si>
    <t>Transfer B 31-May-22</t>
  </si>
  <si>
    <t>Transfer S 31-May-22</t>
  </si>
  <si>
    <t>HC-10471</t>
  </si>
  <si>
    <t>Transfer B 8-Jun-22</t>
  </si>
  <si>
    <t>ODELPA</t>
  </si>
  <si>
    <t>Transfer S 1-Jun-22</t>
  </si>
  <si>
    <t>Transfer S 2-Jun-22</t>
  </si>
  <si>
    <t>Transfer S 3-Jun-22</t>
  </si>
  <si>
    <t>Transfer S 9-Jun-22</t>
  </si>
  <si>
    <t>Transfer S 10-Jun-22</t>
  </si>
  <si>
    <t>PU-103220</t>
  </si>
  <si>
    <t>Transfer B 1-Jun-22</t>
  </si>
  <si>
    <t>Transfer B 3-Jun-22</t>
  </si>
  <si>
    <t>Transfer B 6-Jun-22</t>
  </si>
  <si>
    <t>Transfer B 7-Jun-22</t>
  </si>
  <si>
    <t>Transfer B 10-Jun-22</t>
  </si>
  <si>
    <t>Transfer Bnte 1-Jun-22</t>
  </si>
  <si>
    <t>Transfer Bnte 2-Jun-22</t>
  </si>
  <si>
    <t>Transfer Bnte 9-Jun-22</t>
  </si>
  <si>
    <t>SESOS DE CERDO</t>
  </si>
  <si>
    <t xml:space="preserve">ADAMS INT MORELIA </t>
  </si>
  <si>
    <t xml:space="preserve">GRANJERO FELIZ S DE RL DE CV </t>
  </si>
  <si>
    <t>CABEZA C/P     FRE</t>
  </si>
  <si>
    <t>ENTRADA DEL MES DE JUNIO  2022</t>
  </si>
  <si>
    <t>COMERCIALIZADORA MANSIVA</t>
  </si>
  <si>
    <t>PUNTA DE CHELETA</t>
  </si>
  <si>
    <t>PED. 83349836</t>
  </si>
  <si>
    <t>PED. 83349835</t>
  </si>
  <si>
    <t>PED.  83404869</t>
  </si>
  <si>
    <t>PED. 83467776</t>
  </si>
  <si>
    <t>PED. 83470562</t>
  </si>
  <si>
    <t>PED. 83515583</t>
  </si>
  <si>
    <t>TYSON FRSH MEAT</t>
  </si>
  <si>
    <t>PED. 83515553</t>
  </si>
  <si>
    <t>CABEZA C/P FRE</t>
  </si>
  <si>
    <t>ARRACHERA TAQUETA</t>
  </si>
  <si>
    <t>A14-26264</t>
  </si>
  <si>
    <t>COMERCIAL MARIMEX</t>
  </si>
  <si>
    <t>CAMARON 41/50</t>
  </si>
  <si>
    <t>CAMARON 100/200</t>
  </si>
  <si>
    <t>PLA-4671</t>
  </si>
  <si>
    <t xml:space="preserve">PUNTA DE CHULETA </t>
  </si>
  <si>
    <t>F-33531</t>
  </si>
  <si>
    <t>NLSE22-105</t>
  </si>
  <si>
    <t>NLSE22-106</t>
  </si>
  <si>
    <t>H-7175</t>
  </si>
  <si>
    <t>ARRACHERA TEXANA</t>
  </si>
  <si>
    <t>A14-26370</t>
  </si>
  <si>
    <t>H-7197</t>
  </si>
  <si>
    <t>NLSE22-107</t>
  </si>
  <si>
    <t>NLSE22-108</t>
  </si>
  <si>
    <t>H-7211</t>
  </si>
  <si>
    <t>MANITAS</t>
  </si>
  <si>
    <t>Transfer B 16-Jun-22</t>
  </si>
  <si>
    <t>Transfer B 14-Jun-22</t>
  </si>
  <si>
    <t>Transfer B 20-Jun-22</t>
  </si>
  <si>
    <t>Transfer B 13-Jun-22</t>
  </si>
  <si>
    <t>Transfer S 15-Jun-22</t>
  </si>
  <si>
    <t>Transfer S 16-Jun-22</t>
  </si>
  <si>
    <t>Transfer S 17-Jun-22</t>
  </si>
  <si>
    <t>ARCADIO LEDO  ( ALBICIA )</t>
  </si>
  <si>
    <t>SALCHICHONERIA   FOLIO 11036</t>
  </si>
  <si>
    <t>A-334929</t>
  </si>
  <si>
    <t>Transfer S 20-Jun-22</t>
  </si>
  <si>
    <t>Transfer B 9-Jun-22</t>
  </si>
  <si>
    <t>Transfer B 17-Jun-22</t>
  </si>
  <si>
    <t>ALIMENTOS CERTIFICADOS DE PUEBLA  INNOVA</t>
  </si>
  <si>
    <t>Transfer Bnte 13-Jun-22</t>
  </si>
  <si>
    <t>Transfer Bnte 14-Jun-22</t>
  </si>
  <si>
    <t>Transfer Bnte 15-Jun-22</t>
  </si>
  <si>
    <t>Transfer Bnte 16-Jun-22</t>
  </si>
  <si>
    <t>Transfer Bnte 17-Jun-22</t>
  </si>
  <si>
    <t>CARNES SELECTAS EL CIEN</t>
  </si>
  <si>
    <t>RES</t>
  </si>
  <si>
    <t>C-47450-/*C-47880</t>
  </si>
  <si>
    <t>PED. 83647782</t>
  </si>
  <si>
    <t>PED. 83647999</t>
  </si>
  <si>
    <t>PED. 83698275</t>
  </si>
  <si>
    <t xml:space="preserve">I N N O  A </t>
  </si>
  <si>
    <t xml:space="preserve">FILETE DE CERDO </t>
  </si>
  <si>
    <t xml:space="preserve">FOLIO 11041 CENTRAL </t>
  </si>
  <si>
    <t>PED. 83754489</t>
  </si>
  <si>
    <t>PED. 83754490</t>
  </si>
  <si>
    <t>FILETE VAC   CONG</t>
  </si>
  <si>
    <t xml:space="preserve">ABASTECEDORA DE CARNES FRESCAS </t>
  </si>
  <si>
    <t>SEABAORD FOODS</t>
  </si>
  <si>
    <t>PED. 83813279</t>
  </si>
  <si>
    <t>PED. 83810349</t>
  </si>
  <si>
    <t>ADASNS INT MORELIA</t>
  </si>
  <si>
    <t>CUERO EN COMBO</t>
  </si>
  <si>
    <t>PLA-4937</t>
  </si>
  <si>
    <t>NLSE22-109</t>
  </si>
  <si>
    <t>NLSE22-110</t>
  </si>
  <si>
    <t>H-7218</t>
  </si>
  <si>
    <t>H-7224</t>
  </si>
  <si>
    <t>NLSE22-111</t>
  </si>
  <si>
    <t>FILETE VAC CONG</t>
  </si>
  <si>
    <t>PULPA BLANCA</t>
  </si>
  <si>
    <t>NLSE22-112</t>
  </si>
  <si>
    <t>H-7198</t>
  </si>
  <si>
    <t>PU-104189</t>
  </si>
  <si>
    <t>Transfer S 23-Jun-22</t>
  </si>
  <si>
    <t>Transfer S 24-Jun-22</t>
  </si>
  <si>
    <t>PU-103470</t>
  </si>
  <si>
    <t>Transfer B 24-Jun-22</t>
  </si>
  <si>
    <t>Transfer B 27-Jun-22</t>
  </si>
  <si>
    <t>Transfer Bnte 20-Jun-22</t>
  </si>
  <si>
    <t>Transfer Bnte 21-Jun-22</t>
  </si>
  <si>
    <t>Transfer Bnte 22-Jun-22</t>
  </si>
  <si>
    <t>Transfer Bnte 23-Jun-22</t>
  </si>
  <si>
    <t>Transfer Bnte 24-Jun-22</t>
  </si>
  <si>
    <t>PED. 83947904</t>
  </si>
  <si>
    <t>SEABOAR FOODS</t>
  </si>
  <si>
    <t>PED. 83946736</t>
  </si>
  <si>
    <t>GRASA</t>
  </si>
  <si>
    <t>PED. 84000205</t>
  </si>
  <si>
    <t>PED. 84071696</t>
  </si>
  <si>
    <t>PED. 84072562</t>
  </si>
  <si>
    <t>NLSE22-113</t>
  </si>
  <si>
    <t>NLSE22-114</t>
  </si>
  <si>
    <t xml:space="preserve">ALIMENTOS CERTIFICADOS PUEBLA  I N N O V A </t>
  </si>
  <si>
    <t>A4-26542</t>
  </si>
  <si>
    <t>H-7176</t>
  </si>
  <si>
    <t>NLSE22-115</t>
  </si>
  <si>
    <t>H-7177</t>
  </si>
  <si>
    <t>MENUDO EXCEL</t>
  </si>
  <si>
    <t>Transfer S 29-Jun-22</t>
  </si>
  <si>
    <t>Transfer B 29-Jun-22</t>
  </si>
  <si>
    <t>Transfer Bnte 29-Jun-22</t>
  </si>
  <si>
    <t>Tranfer Bnte 30-Jun-22</t>
  </si>
  <si>
    <t>Transfer Bnte 30-Jun-22</t>
  </si>
  <si>
    <t>Transfer B 21-Jun-22</t>
  </si>
  <si>
    <t>Transfer B 22-Jun-22</t>
  </si>
  <si>
    <t>Transfer Bnte 27-Jun-22</t>
  </si>
  <si>
    <t>Transfer Bnte 28-Jun-22</t>
  </si>
  <si>
    <t>0072 A1</t>
  </si>
  <si>
    <t>0073 A1</t>
  </si>
  <si>
    <t>0074 A1</t>
  </si>
  <si>
    <t>0075 A1</t>
  </si>
  <si>
    <t>0077 A1</t>
  </si>
  <si>
    <t>0078 A1</t>
  </si>
  <si>
    <t>0079 A1</t>
  </si>
  <si>
    <t>0080 A1</t>
  </si>
  <si>
    <t>0081 A1</t>
  </si>
  <si>
    <t>0082 A1</t>
  </si>
  <si>
    <t>0083 A1</t>
  </si>
  <si>
    <t>0084 A1</t>
  </si>
  <si>
    <t>0085 A1</t>
  </si>
  <si>
    <t>0086 A1</t>
  </si>
  <si>
    <t>0087 A1</t>
  </si>
  <si>
    <t>0088 A1</t>
  </si>
  <si>
    <t>0089 A1</t>
  </si>
  <si>
    <t>0090 A1</t>
  </si>
  <si>
    <t>0091 A1</t>
  </si>
  <si>
    <t>0092 A1</t>
  </si>
  <si>
    <t>0093 A1</t>
  </si>
  <si>
    <t>0094 A1</t>
  </si>
  <si>
    <t>0095 A1</t>
  </si>
  <si>
    <t>0097 A1</t>
  </si>
  <si>
    <t>0098 A1</t>
  </si>
  <si>
    <t>0099 A1</t>
  </si>
  <si>
    <t>0100 A1</t>
  </si>
  <si>
    <t>0101 A1</t>
  </si>
  <si>
    <t>0102 A1</t>
  </si>
  <si>
    <t>0103 A1</t>
  </si>
  <si>
    <t>0105 A1</t>
  </si>
  <si>
    <t>0106 A1</t>
  </si>
  <si>
    <t>0107 A1</t>
  </si>
  <si>
    <t>0108 A1</t>
  </si>
  <si>
    <t>0109 A1</t>
  </si>
  <si>
    <t>0110 A1</t>
  </si>
  <si>
    <t>0111 A1</t>
  </si>
  <si>
    <t>0112 A1</t>
  </si>
  <si>
    <t>0122 A1</t>
  </si>
  <si>
    <t>0132 A1</t>
  </si>
  <si>
    <t>0113 A1</t>
  </si>
  <si>
    <t>0114 A1</t>
  </si>
  <si>
    <t>0115 A1</t>
  </si>
  <si>
    <t>0116 A1</t>
  </si>
  <si>
    <t>0117 A1</t>
  </si>
  <si>
    <t>0118 A1</t>
  </si>
  <si>
    <t>0120 A1</t>
  </si>
  <si>
    <t>0121 A1</t>
  </si>
  <si>
    <t>0123 A1</t>
  </si>
  <si>
    <t>0124 A1</t>
  </si>
  <si>
    <t>0125 A1</t>
  </si>
  <si>
    <t>0126 A1</t>
  </si>
  <si>
    <t>0127 A1</t>
  </si>
  <si>
    <t>0137 A1</t>
  </si>
  <si>
    <t>0147 A1</t>
  </si>
  <si>
    <t>0128 A1</t>
  </si>
  <si>
    <t>0129 A1</t>
  </si>
  <si>
    <t>0139 A1</t>
  </si>
  <si>
    <t>0149 A1</t>
  </si>
  <si>
    <t>0130 A1</t>
  </si>
  <si>
    <t>0131 A1</t>
  </si>
  <si>
    <t>0133 A1</t>
  </si>
  <si>
    <t>0134 A1</t>
  </si>
  <si>
    <t>0135 A1</t>
  </si>
  <si>
    <t>0136 A1</t>
  </si>
  <si>
    <t>0138 A1</t>
  </si>
  <si>
    <t>0141 A1</t>
  </si>
  <si>
    <t>0142 A1</t>
  </si>
  <si>
    <t>0143 A1</t>
  </si>
  <si>
    <t>0144 A1</t>
  </si>
  <si>
    <t>0145 A1</t>
  </si>
  <si>
    <t>0146 A1</t>
  </si>
  <si>
    <t>0148 A1</t>
  </si>
  <si>
    <t>0150 A1</t>
  </si>
  <si>
    <t>0151 A1</t>
  </si>
  <si>
    <t>0152 A1</t>
  </si>
  <si>
    <t>0153 A1</t>
  </si>
  <si>
    <t>0154 A1</t>
  </si>
  <si>
    <t>0155 A1</t>
  </si>
  <si>
    <t>0156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</si>
</sst>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3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15" fontId="76" fillId="0" borderId="0" xfId="0" applyNumberFormat="1" applyFont="1" applyFill="1"/>
    <xf numFmtId="2" fontId="76" fillId="0" borderId="0" xfId="0" applyNumberFormat="1" applyFont="1" applyFill="1"/>
    <xf numFmtId="164" fontId="7" fillId="7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78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 wrapText="1"/>
    </xf>
    <xf numFmtId="164" fontId="22" fillId="0" borderId="96" xfId="0" applyNumberFormat="1" applyFont="1" applyFill="1" applyBorder="1" applyAlignment="1"/>
    <xf numFmtId="164" fontId="10" fillId="0" borderId="69" xfId="0" applyNumberFormat="1" applyFont="1" applyFill="1" applyBorder="1" applyAlignment="1"/>
    <xf numFmtId="44" fontId="7" fillId="0" borderId="69" xfId="1" applyFont="1" applyFill="1" applyBorder="1" applyAlignment="1"/>
    <xf numFmtId="164" fontId="17" fillId="0" borderId="69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0" fillId="0" borderId="28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2" xfId="0" applyFont="1" applyFill="1" applyBorder="1"/>
    <xf numFmtId="0" fontId="0" fillId="0" borderId="0" xfId="0" applyFont="1" applyFill="1" applyBorder="1"/>
    <xf numFmtId="168" fontId="40" fillId="0" borderId="15" xfId="0" applyNumberFormat="1" applyFont="1" applyFill="1" applyBorder="1"/>
    <xf numFmtId="2" fontId="40" fillId="0" borderId="0" xfId="0" applyNumberFormat="1" applyFont="1" applyFill="1" applyAlignment="1">
      <alignment horizontal="right"/>
    </xf>
    <xf numFmtId="0" fontId="40" fillId="0" borderId="10" xfId="0" applyFont="1" applyFill="1" applyBorder="1" applyAlignment="1">
      <alignment horizontal="right"/>
    </xf>
    <xf numFmtId="15" fontId="46" fillId="0" borderId="0" xfId="0" applyNumberFormat="1" applyFont="1" applyFill="1"/>
    <xf numFmtId="2" fontId="46" fillId="0" borderId="0" xfId="0" applyNumberFormat="1" applyFont="1" applyFill="1"/>
    <xf numFmtId="15" fontId="46" fillId="0" borderId="0" xfId="0" applyNumberFormat="1" applyFont="1"/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27" fillId="0" borderId="5" xfId="0" applyNumberFormat="1" applyFont="1" applyBorder="1" applyAlignment="1">
      <alignment horizontal="right"/>
    </xf>
    <xf numFmtId="15" fontId="27" fillId="0" borderId="0" xfId="0" applyNumberFormat="1" applyFont="1" applyFill="1" applyBorder="1"/>
    <xf numFmtId="15" fontId="27" fillId="0" borderId="4" xfId="0" applyNumberFormat="1" applyFont="1" applyFill="1" applyBorder="1"/>
    <xf numFmtId="15" fontId="27" fillId="0" borderId="10" xfId="0" applyNumberFormat="1" applyFont="1" applyFill="1" applyBorder="1" applyAlignment="1">
      <alignment horizontal="right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80" fillId="0" borderId="51" xfId="0" applyNumberFormat="1" applyFont="1" applyBorder="1"/>
    <xf numFmtId="16" fontId="27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64" fontId="7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horizontal="center"/>
    </xf>
    <xf numFmtId="4" fontId="40" fillId="0" borderId="69" xfId="0" applyNumberFormat="1" applyFont="1" applyFill="1" applyBorder="1" applyAlignment="1">
      <alignment horizontal="center"/>
    </xf>
    <xf numFmtId="44" fontId="46" fillId="0" borderId="33" xfId="1" applyFont="1" applyFill="1" applyBorder="1"/>
    <xf numFmtId="0" fontId="73" fillId="0" borderId="33" xfId="0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1" fillId="0" borderId="33" xfId="0" applyNumberFormat="1" applyFont="1" applyFill="1" applyBorder="1"/>
    <xf numFmtId="164" fontId="10" fillId="4" borderId="33" xfId="0" applyNumberFormat="1" applyFont="1" applyFill="1" applyBorder="1" applyAlignment="1">
      <alignment vertical="center"/>
    </xf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28" fillId="19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4" fontId="12" fillId="0" borderId="51" xfId="0" applyNumberFormat="1" applyFont="1" applyBorder="1"/>
    <xf numFmtId="16" fontId="7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82" fillId="0" borderId="33" xfId="0" applyFont="1" applyFill="1" applyBorder="1" applyAlignment="1">
      <alignment horizontal="center"/>
    </xf>
    <xf numFmtId="164" fontId="18" fillId="0" borderId="77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1" fontId="61" fillId="0" borderId="78" xfId="0" applyNumberFormat="1" applyFont="1" applyFill="1" applyBorder="1" applyAlignment="1">
      <alignment horizontal="center" vertical="center"/>
    </xf>
    <xf numFmtId="0" fontId="10" fillId="0" borderId="69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horizontal="center"/>
    </xf>
    <xf numFmtId="0" fontId="15" fillId="0" borderId="78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10" fillId="0" borderId="33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wrapText="1"/>
    </xf>
    <xf numFmtId="0" fontId="7" fillId="25" borderId="33" xfId="0" applyFont="1" applyFill="1" applyBorder="1" applyAlignment="1">
      <alignment vertical="center"/>
    </xf>
    <xf numFmtId="0" fontId="7" fillId="25" borderId="0" xfId="0" applyFont="1" applyFill="1" applyAlignment="1">
      <alignment vertical="center"/>
    </xf>
    <xf numFmtId="44" fontId="7" fillId="25" borderId="0" xfId="1" applyFont="1" applyFill="1" applyAlignment="1">
      <alignment horizontal="center" vertical="center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72" fillId="0" borderId="33" xfId="0" applyFont="1" applyFill="1" applyBorder="1" applyAlignment="1">
      <alignment horizontal="center" vertical="center"/>
    </xf>
    <xf numFmtId="0" fontId="8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22" borderId="33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7" fillId="22" borderId="33" xfId="0" applyFont="1" applyFill="1" applyBorder="1" applyAlignment="1">
      <alignment horizontal="center"/>
    </xf>
    <xf numFmtId="16" fontId="7" fillId="0" borderId="33" xfId="0" applyNumberFormat="1" applyFont="1" applyFill="1" applyBorder="1" applyAlignment="1">
      <alignment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vertic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2" fontId="7" fillId="12" borderId="0" xfId="0" applyNumberFormat="1" applyFont="1" applyFill="1"/>
    <xf numFmtId="0" fontId="7" fillId="0" borderId="78" xfId="0" applyFont="1" applyFill="1" applyBorder="1" applyAlignment="1">
      <alignment vertical="center"/>
    </xf>
    <xf numFmtId="0" fontId="67" fillId="0" borderId="70" xfId="0" applyFont="1" applyFill="1" applyBorder="1" applyAlignment="1">
      <alignment horizontal="left"/>
    </xf>
    <xf numFmtId="0" fontId="69" fillId="0" borderId="69" xfId="0" applyFont="1" applyFill="1" applyBorder="1" applyAlignment="1">
      <alignment vertical="center"/>
    </xf>
    <xf numFmtId="0" fontId="7" fillId="0" borderId="77" xfId="0" applyFont="1" applyFill="1" applyBorder="1" applyAlignment="1">
      <alignment vertical="center"/>
    </xf>
    <xf numFmtId="0" fontId="68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2" fontId="68" fillId="0" borderId="70" xfId="1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vertical="center"/>
    </xf>
    <xf numFmtId="1" fontId="70" fillId="0" borderId="69" xfId="0" applyNumberFormat="1" applyFont="1" applyFill="1" applyBorder="1" applyAlignment="1">
      <alignment vertical="center"/>
    </xf>
    <xf numFmtId="2" fontId="28" fillId="28" borderId="0" xfId="0" applyNumberFormat="1" applyFont="1" applyFill="1"/>
    <xf numFmtId="166" fontId="10" fillId="0" borderId="33" xfId="0" applyNumberFormat="1" applyFont="1" applyFill="1" applyBorder="1" applyAlignment="1">
      <alignment horizontal="right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44" fontId="7" fillId="7" borderId="0" xfId="1" applyFont="1" applyFill="1"/>
    <xf numFmtId="2" fontId="10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27" fillId="7" borderId="10" xfId="0" applyNumberFormat="1" applyFont="1" applyFill="1" applyBorder="1" applyAlignment="1">
      <alignment horizontal="right"/>
    </xf>
    <xf numFmtId="164" fontId="10" fillId="7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7" fontId="7" fillId="0" borderId="78" xfId="0" applyNumberFormat="1" applyFont="1" applyFill="1" applyBorder="1" applyAlignment="1">
      <alignment horizontal="center" vertical="center"/>
    </xf>
    <xf numFmtId="167" fontId="7" fillId="0" borderId="93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/>
    </xf>
    <xf numFmtId="167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1" fontId="7" fillId="0" borderId="97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0" xfId="0" applyNumberFormat="1" applyFont="1" applyFill="1" applyAlignment="1">
      <alignment horizontal="center" vertical="center"/>
    </xf>
    <xf numFmtId="168" fontId="7" fillId="0" borderId="47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" fontId="17" fillId="0" borderId="99" xfId="0" applyNumberFormat="1" applyFont="1" applyFill="1" applyBorder="1" applyAlignment="1">
      <alignment horizontal="center" vertical="center" wrapText="1"/>
    </xf>
    <xf numFmtId="1" fontId="17" fillId="0" borderId="69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7" fillId="0" borderId="98" xfId="0" applyNumberFormat="1" applyFont="1" applyFill="1" applyBorder="1" applyAlignment="1">
      <alignment horizontal="center" vertical="center" wrapText="1"/>
    </xf>
    <xf numFmtId="1" fontId="7" fillId="0" borderId="81" xfId="0" applyNumberFormat="1" applyFont="1" applyFill="1" applyBorder="1" applyAlignment="1">
      <alignment horizontal="center" vertical="center" wrapText="1"/>
    </xf>
    <xf numFmtId="1" fontId="7" fillId="0" borderId="38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7" borderId="65" xfId="0" applyFont="1" applyFill="1" applyBorder="1" applyAlignment="1">
      <alignment horizontal="center" wrapText="1"/>
    </xf>
    <xf numFmtId="0" fontId="7" fillId="27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00FF"/>
      <color rgb="FFCCCCFF"/>
      <color rgb="FFCC99FF"/>
      <color rgb="FF00FF00"/>
      <color rgb="FFFFCCFF"/>
      <color rgb="FF99FFCC"/>
      <color rgb="FF66FFFF"/>
      <color rgb="FF66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JUNIO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JUNIO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44712</c:v>
                </c:pt>
                <c:pt idx="1">
                  <c:v>44713</c:v>
                </c:pt>
                <c:pt idx="2">
                  <c:v>44713</c:v>
                </c:pt>
                <c:pt idx="3">
                  <c:v>44713</c:v>
                </c:pt>
                <c:pt idx="4">
                  <c:v>44714</c:v>
                </c:pt>
                <c:pt idx="5">
                  <c:v>44719</c:v>
                </c:pt>
                <c:pt idx="6">
                  <c:v>44720</c:v>
                </c:pt>
                <c:pt idx="7">
                  <c:v>44720</c:v>
                </c:pt>
                <c:pt idx="8">
                  <c:v>44720</c:v>
                </c:pt>
                <c:pt idx="9">
                  <c:v>44721</c:v>
                </c:pt>
                <c:pt idx="10">
                  <c:v>44721</c:v>
                </c:pt>
                <c:pt idx="11">
                  <c:v>44722</c:v>
                </c:pt>
                <c:pt idx="12">
                  <c:v>44722</c:v>
                </c:pt>
                <c:pt idx="13">
                  <c:v>44726</c:v>
                </c:pt>
                <c:pt idx="14">
                  <c:v>44726</c:v>
                </c:pt>
                <c:pt idx="15">
                  <c:v>44727</c:v>
                </c:pt>
                <c:pt idx="16">
                  <c:v>44728</c:v>
                </c:pt>
                <c:pt idx="17">
                  <c:v>44728</c:v>
                </c:pt>
                <c:pt idx="18">
                  <c:v>44729</c:v>
                </c:pt>
                <c:pt idx="19">
                  <c:v>44729</c:v>
                </c:pt>
                <c:pt idx="20">
                  <c:v>44733</c:v>
                </c:pt>
                <c:pt idx="21">
                  <c:v>44733</c:v>
                </c:pt>
                <c:pt idx="22">
                  <c:v>44734</c:v>
                </c:pt>
                <c:pt idx="23">
                  <c:v>44735</c:v>
                </c:pt>
                <c:pt idx="24">
                  <c:v>44735</c:v>
                </c:pt>
                <c:pt idx="25">
                  <c:v>44736</c:v>
                </c:pt>
                <c:pt idx="26">
                  <c:v>44736</c:v>
                </c:pt>
                <c:pt idx="27">
                  <c:v>44740</c:v>
                </c:pt>
                <c:pt idx="28">
                  <c:v>44740</c:v>
                </c:pt>
                <c:pt idx="29">
                  <c:v>44741</c:v>
                </c:pt>
                <c:pt idx="30">
                  <c:v>44742</c:v>
                </c:pt>
                <c:pt idx="31">
                  <c:v>44742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JUNIO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18616.03</c:v>
                </c:pt>
                <c:pt idx="1">
                  <c:v>18945.27</c:v>
                </c:pt>
                <c:pt idx="2">
                  <c:v>18555.38</c:v>
                </c:pt>
                <c:pt idx="3">
                  <c:v>19020.37</c:v>
                </c:pt>
                <c:pt idx="4">
                  <c:v>19084.29</c:v>
                </c:pt>
                <c:pt idx="5">
                  <c:v>18840.57</c:v>
                </c:pt>
                <c:pt idx="6">
                  <c:v>19081.09</c:v>
                </c:pt>
                <c:pt idx="7">
                  <c:v>18899.8</c:v>
                </c:pt>
                <c:pt idx="8">
                  <c:v>18813.38</c:v>
                </c:pt>
                <c:pt idx="9">
                  <c:v>18724.240000000002</c:v>
                </c:pt>
                <c:pt idx="10">
                  <c:v>18995.18</c:v>
                </c:pt>
                <c:pt idx="11">
                  <c:v>18957.71</c:v>
                </c:pt>
                <c:pt idx="12">
                  <c:v>17874.939999999999</c:v>
                </c:pt>
                <c:pt idx="13">
                  <c:v>19065.189999999999</c:v>
                </c:pt>
                <c:pt idx="14">
                  <c:v>18791.89</c:v>
                </c:pt>
                <c:pt idx="15">
                  <c:v>18491.36</c:v>
                </c:pt>
                <c:pt idx="16">
                  <c:v>18181.259999999998</c:v>
                </c:pt>
                <c:pt idx="17">
                  <c:v>16335.96</c:v>
                </c:pt>
                <c:pt idx="18">
                  <c:v>18849.61</c:v>
                </c:pt>
                <c:pt idx="19">
                  <c:v>18862.61</c:v>
                </c:pt>
                <c:pt idx="20">
                  <c:v>18861.32</c:v>
                </c:pt>
                <c:pt idx="21">
                  <c:v>19166.77</c:v>
                </c:pt>
                <c:pt idx="22">
                  <c:v>18834.34</c:v>
                </c:pt>
                <c:pt idx="23">
                  <c:v>18628.689999999999</c:v>
                </c:pt>
                <c:pt idx="24">
                  <c:v>19129.330000000002</c:v>
                </c:pt>
                <c:pt idx="25">
                  <c:v>18774.45</c:v>
                </c:pt>
                <c:pt idx="26">
                  <c:v>18648.240000000002</c:v>
                </c:pt>
                <c:pt idx="27">
                  <c:v>18867.12</c:v>
                </c:pt>
                <c:pt idx="28">
                  <c:v>18933.990000000002</c:v>
                </c:pt>
                <c:pt idx="29">
                  <c:v>18079.759999999998</c:v>
                </c:pt>
                <c:pt idx="30">
                  <c:v>19097.330000000002</c:v>
                </c:pt>
                <c:pt idx="31">
                  <c:v>18744.37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JUNIO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JUNIO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18702.419999999998</c:v>
                </c:pt>
                <c:pt idx="1">
                  <c:v>19021.3</c:v>
                </c:pt>
                <c:pt idx="2">
                  <c:v>18597.66</c:v>
                </c:pt>
                <c:pt idx="3">
                  <c:v>19111.2</c:v>
                </c:pt>
                <c:pt idx="4">
                  <c:v>19161.400000000001</c:v>
                </c:pt>
                <c:pt idx="5">
                  <c:v>18937.3</c:v>
                </c:pt>
                <c:pt idx="6">
                  <c:v>19192.2</c:v>
                </c:pt>
                <c:pt idx="7">
                  <c:v>18998.3</c:v>
                </c:pt>
                <c:pt idx="8">
                  <c:v>18948.5</c:v>
                </c:pt>
                <c:pt idx="9">
                  <c:v>18761.830000000002</c:v>
                </c:pt>
                <c:pt idx="10">
                  <c:v>19047.2</c:v>
                </c:pt>
                <c:pt idx="11">
                  <c:v>19049.419999999998</c:v>
                </c:pt>
                <c:pt idx="12">
                  <c:v>17911.2</c:v>
                </c:pt>
                <c:pt idx="13">
                  <c:v>19086.28</c:v>
                </c:pt>
                <c:pt idx="14">
                  <c:v>18832.099999999999</c:v>
                </c:pt>
                <c:pt idx="15">
                  <c:v>18631.66</c:v>
                </c:pt>
                <c:pt idx="16">
                  <c:v>18285.11</c:v>
                </c:pt>
                <c:pt idx="17">
                  <c:v>16348.1</c:v>
                </c:pt>
                <c:pt idx="18">
                  <c:v>18903.2</c:v>
                </c:pt>
                <c:pt idx="19">
                  <c:v>18953.689999999999</c:v>
                </c:pt>
                <c:pt idx="20">
                  <c:v>18731.8</c:v>
                </c:pt>
                <c:pt idx="21">
                  <c:v>19093.8</c:v>
                </c:pt>
                <c:pt idx="22">
                  <c:v>18929.25</c:v>
                </c:pt>
                <c:pt idx="23">
                  <c:v>18688.36</c:v>
                </c:pt>
                <c:pt idx="24">
                  <c:v>19200.400000000001</c:v>
                </c:pt>
                <c:pt idx="25">
                  <c:v>18764.099999999999</c:v>
                </c:pt>
                <c:pt idx="26">
                  <c:v>18678.71</c:v>
                </c:pt>
                <c:pt idx="27">
                  <c:v>18952</c:v>
                </c:pt>
                <c:pt idx="28">
                  <c:v>18959.099999999999</c:v>
                </c:pt>
                <c:pt idx="29">
                  <c:v>16930.7</c:v>
                </c:pt>
                <c:pt idx="30">
                  <c:v>19157.900000000001</c:v>
                </c:pt>
                <c:pt idx="31">
                  <c:v>18836.23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-86.389999999999418</c:v>
                </c:pt>
                <c:pt idx="1">
                  <c:v>-76.029999999998836</c:v>
                </c:pt>
                <c:pt idx="2">
                  <c:v>-42.279999999998836</c:v>
                </c:pt>
                <c:pt idx="3">
                  <c:v>-90.830000000001746</c:v>
                </c:pt>
                <c:pt idx="4">
                  <c:v>-77.110000000000582</c:v>
                </c:pt>
                <c:pt idx="5">
                  <c:v>-96.729999999999563</c:v>
                </c:pt>
                <c:pt idx="6">
                  <c:v>-111.11000000000058</c:v>
                </c:pt>
                <c:pt idx="7">
                  <c:v>-98.5</c:v>
                </c:pt>
                <c:pt idx="8">
                  <c:v>-135.11999999999898</c:v>
                </c:pt>
                <c:pt idx="9">
                  <c:v>-37.590000000000146</c:v>
                </c:pt>
                <c:pt idx="10">
                  <c:v>-52.020000000000437</c:v>
                </c:pt>
                <c:pt idx="11">
                  <c:v>-91.709999999999127</c:v>
                </c:pt>
                <c:pt idx="12">
                  <c:v>-36.260000000002037</c:v>
                </c:pt>
                <c:pt idx="13">
                  <c:v>-21.090000000000146</c:v>
                </c:pt>
                <c:pt idx="14">
                  <c:v>-40.209999999999127</c:v>
                </c:pt>
                <c:pt idx="15">
                  <c:v>-140.29999999999927</c:v>
                </c:pt>
                <c:pt idx="16">
                  <c:v>-103.85000000000218</c:v>
                </c:pt>
                <c:pt idx="17">
                  <c:v>-12.140000000001237</c:v>
                </c:pt>
                <c:pt idx="18">
                  <c:v>-53.590000000000146</c:v>
                </c:pt>
                <c:pt idx="19">
                  <c:v>-91.079999999998108</c:v>
                </c:pt>
                <c:pt idx="20">
                  <c:v>129.52000000000044</c:v>
                </c:pt>
                <c:pt idx="21">
                  <c:v>72.970000000001164</c:v>
                </c:pt>
                <c:pt idx="22">
                  <c:v>-94.909999999999854</c:v>
                </c:pt>
                <c:pt idx="23">
                  <c:v>-59.670000000001892</c:v>
                </c:pt>
                <c:pt idx="24">
                  <c:v>-71.069999999999709</c:v>
                </c:pt>
                <c:pt idx="25">
                  <c:v>10.350000000002183</c:v>
                </c:pt>
                <c:pt idx="26">
                  <c:v>-30.469999999997526</c:v>
                </c:pt>
                <c:pt idx="27">
                  <c:v>-84.880000000001019</c:v>
                </c:pt>
                <c:pt idx="28">
                  <c:v>-25.109999999996944</c:v>
                </c:pt>
                <c:pt idx="29">
                  <c:v>1149.0599999999977</c:v>
                </c:pt>
                <c:pt idx="30">
                  <c:v>-60.569999999999709</c:v>
                </c:pt>
                <c:pt idx="31">
                  <c:v>-91.860000000000582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11761</c:v>
                </c:pt>
                <c:pt idx="1">
                  <c:v>11151</c:v>
                </c:pt>
                <c:pt idx="2" formatCode="&quot;$&quot;#,##0.00">
                  <c:v>9851</c:v>
                </c:pt>
                <c:pt idx="3" formatCode="&quot;$&quot;#,##0.00">
                  <c:v>12161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9851</c:v>
                </c:pt>
                <c:pt idx="7" formatCode="&quot;$&quot;#,##0.00">
                  <c:v>12151</c:v>
                </c:pt>
                <c:pt idx="8" formatCode="&quot;$&quot;#,##0.00">
                  <c:v>12001</c:v>
                </c:pt>
                <c:pt idx="9" formatCode="&quot;$&quot;#,##0.00">
                  <c:v>10101</c:v>
                </c:pt>
                <c:pt idx="10" formatCode="&quot;$&quot;#,##0.00">
                  <c:v>11151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>
                  <c:v>11151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12151</c:v>
                </c:pt>
                <c:pt idx="22" formatCode="&quot;$&quot;#,##0.00">
                  <c:v>11151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1151</c:v>
                </c:pt>
                <c:pt idx="30" formatCode="&quot;$&quot;#,##0.00">
                  <c:v>10101</c:v>
                </c:pt>
                <c:pt idx="31" formatCode="&quot;$&quot;#,##0.00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2045266</c:v>
                </c:pt>
                <c:pt idx="2">
                  <c:v>946483</c:v>
                </c:pt>
                <c:pt idx="3">
                  <c:v>2045265</c:v>
                </c:pt>
                <c:pt idx="4">
                  <c:v>2045267</c:v>
                </c:pt>
                <c:pt idx="5">
                  <c:v>2047757</c:v>
                </c:pt>
                <c:pt idx="6">
                  <c:v>2047580</c:v>
                </c:pt>
                <c:pt idx="7">
                  <c:v>2047581</c:v>
                </c:pt>
                <c:pt idx="8">
                  <c:v>2047582</c:v>
                </c:pt>
                <c:pt idx="9">
                  <c:v>957561</c:v>
                </c:pt>
                <c:pt idx="10">
                  <c:v>2047758</c:v>
                </c:pt>
                <c:pt idx="11">
                  <c:v>960299</c:v>
                </c:pt>
                <c:pt idx="12">
                  <c:v>2048370</c:v>
                </c:pt>
                <c:pt idx="13">
                  <c:v>2050310</c:v>
                </c:pt>
                <c:pt idx="14">
                  <c:v>2050311</c:v>
                </c:pt>
                <c:pt idx="15">
                  <c:v>964588</c:v>
                </c:pt>
                <c:pt idx="16">
                  <c:v>966130</c:v>
                </c:pt>
                <c:pt idx="17">
                  <c:v>2050312</c:v>
                </c:pt>
                <c:pt idx="18">
                  <c:v>2051070</c:v>
                </c:pt>
                <c:pt idx="19">
                  <c:v>969708</c:v>
                </c:pt>
                <c:pt idx="20">
                  <c:v>2051828</c:v>
                </c:pt>
                <c:pt idx="21">
                  <c:v>2052447</c:v>
                </c:pt>
                <c:pt idx="22">
                  <c:v>974312</c:v>
                </c:pt>
                <c:pt idx="23">
                  <c:v>976537</c:v>
                </c:pt>
                <c:pt idx="24">
                  <c:v>2052922</c:v>
                </c:pt>
                <c:pt idx="25">
                  <c:v>2054054</c:v>
                </c:pt>
                <c:pt idx="26">
                  <c:v>979973</c:v>
                </c:pt>
                <c:pt idx="27">
                  <c:v>2055423</c:v>
                </c:pt>
                <c:pt idx="28">
                  <c:v>2055424</c:v>
                </c:pt>
                <c:pt idx="29">
                  <c:v>986432</c:v>
                </c:pt>
                <c:pt idx="30">
                  <c:v>2055425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5104</c:v>
                </c:pt>
                <c:pt idx="1">
                  <c:v>5162</c:v>
                </c:pt>
                <c:pt idx="2">
                  <c:v>5046</c:v>
                </c:pt>
                <c:pt idx="3">
                  <c:v>5162</c:v>
                </c:pt>
                <c:pt idx="4">
                  <c:v>0</c:v>
                </c:pt>
                <c:pt idx="5">
                  <c:v>20474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831398.22089999996</c:v>
                </c:pt>
                <c:pt idx="2">
                  <c:v>800435.03300000005</c:v>
                </c:pt>
                <c:pt idx="3">
                  <c:v>835363.49129999999</c:v>
                </c:pt>
                <c:pt idx="4">
                  <c:v>852670.14210000006</c:v>
                </c:pt>
                <c:pt idx="5">
                  <c:v>891227.02960000001</c:v>
                </c:pt>
                <c:pt idx="6">
                  <c:v>903223.83570000005</c:v>
                </c:pt>
                <c:pt idx="7">
                  <c:v>899854.71439999994</c:v>
                </c:pt>
                <c:pt idx="8">
                  <c:v>897491.38579999993</c:v>
                </c:pt>
                <c:pt idx="9">
                  <c:v>889666.41090000002</c:v>
                </c:pt>
                <c:pt idx="10">
                  <c:v>887397.35199999996</c:v>
                </c:pt>
                <c:pt idx="11">
                  <c:v>901407.19199999992</c:v>
                </c:pt>
                <c:pt idx="12">
                  <c:v>801976.11659999995</c:v>
                </c:pt>
                <c:pt idx="13">
                  <c:v>854976.49199999997</c:v>
                </c:pt>
                <c:pt idx="14">
                  <c:v>843597.93599999999</c:v>
                </c:pt>
                <c:pt idx="15">
                  <c:v>876955.55352000007</c:v>
                </c:pt>
                <c:pt idx="16">
                  <c:v>848778.28595999989</c:v>
                </c:pt>
                <c:pt idx="17">
                  <c:v>727771.89980000001</c:v>
                </c:pt>
                <c:pt idx="18">
                  <c:v>885014.68620000011</c:v>
                </c:pt>
                <c:pt idx="19">
                  <c:v>899366.89440000011</c:v>
                </c:pt>
                <c:pt idx="20">
                  <c:v>944519.64249999984</c:v>
                </c:pt>
                <c:pt idx="21">
                  <c:v>960463.05200000003</c:v>
                </c:pt>
                <c:pt idx="22">
                  <c:v>925878.33740000008</c:v>
                </c:pt>
                <c:pt idx="23">
                  <c:v>902092.25339999993</c:v>
                </c:pt>
                <c:pt idx="24">
                  <c:v>961804.80480000004</c:v>
                </c:pt>
                <c:pt idx="25">
                  <c:v>918094.86600000004</c:v>
                </c:pt>
                <c:pt idx="26">
                  <c:v>896931.19578000007</c:v>
                </c:pt>
                <c:pt idx="27">
                  <c:v>970562.34680000006</c:v>
                </c:pt>
                <c:pt idx="28">
                  <c:v>970212.35719999997</c:v>
                </c:pt>
                <c:pt idx="29">
                  <c:v>864475.1152</c:v>
                </c:pt>
                <c:pt idx="30">
                  <c:v>936342.01749999996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881351.22089999996</c:v>
                </c:pt>
                <c:pt idx="2">
                  <c:v>848972.03300000005</c:v>
                </c:pt>
                <c:pt idx="3">
                  <c:v>886326.49129999999</c:v>
                </c:pt>
                <c:pt idx="4">
                  <c:v>897461.14210000006</c:v>
                </c:pt>
                <c:pt idx="5">
                  <c:v>936018.02960000001</c:v>
                </c:pt>
                <c:pt idx="6">
                  <c:v>946714.83570000005</c:v>
                </c:pt>
                <c:pt idx="7">
                  <c:v>945645.71439999994</c:v>
                </c:pt>
                <c:pt idx="8">
                  <c:v>943132.38579999993</c:v>
                </c:pt>
                <c:pt idx="9">
                  <c:v>933407.41090000002</c:v>
                </c:pt>
                <c:pt idx="10">
                  <c:v>932188.35199999996</c:v>
                </c:pt>
                <c:pt idx="11">
                  <c:v>901407.19199999992</c:v>
                </c:pt>
                <c:pt idx="12">
                  <c:v>846767.11659999995</c:v>
                </c:pt>
                <c:pt idx="13">
                  <c:v>898467.49199999997</c:v>
                </c:pt>
                <c:pt idx="14">
                  <c:v>888388.93599999999</c:v>
                </c:pt>
                <c:pt idx="15">
                  <c:v>920446.55352000007</c:v>
                </c:pt>
                <c:pt idx="16">
                  <c:v>894569.28595999989</c:v>
                </c:pt>
                <c:pt idx="17">
                  <c:v>773562.89980000001</c:v>
                </c:pt>
                <c:pt idx="18">
                  <c:v>930805.68620000011</c:v>
                </c:pt>
                <c:pt idx="19">
                  <c:v>944157.89440000011</c:v>
                </c:pt>
                <c:pt idx="20">
                  <c:v>988010.64249999984</c:v>
                </c:pt>
                <c:pt idx="21">
                  <c:v>1006254.052</c:v>
                </c:pt>
                <c:pt idx="22">
                  <c:v>970669.33740000008</c:v>
                </c:pt>
                <c:pt idx="23">
                  <c:v>945583.25339999993</c:v>
                </c:pt>
                <c:pt idx="24">
                  <c:v>1007445.8048</c:v>
                </c:pt>
                <c:pt idx="25">
                  <c:v>962885.86600000004</c:v>
                </c:pt>
                <c:pt idx="26">
                  <c:v>942572.19578000007</c:v>
                </c:pt>
                <c:pt idx="27">
                  <c:v>1016363.3468000001</c:v>
                </c:pt>
                <c:pt idx="28">
                  <c:v>1016013.3572</c:v>
                </c:pt>
                <c:pt idx="29">
                  <c:v>899266.1152</c:v>
                </c:pt>
                <c:pt idx="30">
                  <c:v>980083.01749999996</c:v>
                </c:pt>
                <c:pt idx="31">
                  <c:v>45641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46.434962431589852</c:v>
                </c:pt>
                <c:pt idx="2">
                  <c:v>45.749400677289515</c:v>
                </c:pt>
                <c:pt idx="3">
                  <c:v>46.477333254845327</c:v>
                </c:pt>
                <c:pt idx="4">
                  <c:v>46.936929561514297</c:v>
                </c:pt>
                <c:pt idx="5">
                  <c:v>49.527216635951277</c:v>
                </c:pt>
                <c:pt idx="6">
                  <c:v>49.428103901585018</c:v>
                </c:pt>
                <c:pt idx="7">
                  <c:v>49.875280651426706</c:v>
                </c:pt>
                <c:pt idx="8">
                  <c:v>49.873458891205104</c:v>
                </c:pt>
                <c:pt idx="9">
                  <c:v>49.850339433839871</c:v>
                </c:pt>
                <c:pt idx="10">
                  <c:v>49.040965181233986</c:v>
                </c:pt>
                <c:pt idx="11">
                  <c:v>47.419403530396202</c:v>
                </c:pt>
                <c:pt idx="12">
                  <c:v>47.375845091339492</c:v>
                </c:pt>
                <c:pt idx="13">
                  <c:v>47.173997237806425</c:v>
                </c:pt>
                <c:pt idx="14">
                  <c:v>47.274183229698231</c:v>
                </c:pt>
                <c:pt idx="15">
                  <c:v>49.502283721364606</c:v>
                </c:pt>
                <c:pt idx="16">
                  <c:v>49.023374590582165</c:v>
                </c:pt>
                <c:pt idx="17">
                  <c:v>47.418214336834254</c:v>
                </c:pt>
                <c:pt idx="18">
                  <c:v>49.340641066062894</c:v>
                </c:pt>
                <c:pt idx="19">
                  <c:v>49.913935671629126</c:v>
                </c:pt>
                <c:pt idx="20">
                  <c:v>52.845098842609886</c:v>
                </c:pt>
                <c:pt idx="21">
                  <c:v>52.800565209649207</c:v>
                </c:pt>
                <c:pt idx="22">
                  <c:v>51.378805943183174</c:v>
                </c:pt>
                <c:pt idx="23">
                  <c:v>50.697444259421367</c:v>
                </c:pt>
                <c:pt idx="24">
                  <c:v>52.570042540780399</c:v>
                </c:pt>
                <c:pt idx="25">
                  <c:v>51.415323729888463</c:v>
                </c:pt>
                <c:pt idx="26">
                  <c:v>50.562381812234364</c:v>
                </c:pt>
                <c:pt idx="27">
                  <c:v>53.728289721401438</c:v>
                </c:pt>
                <c:pt idx="28">
                  <c:v>53.689746201032754</c:v>
                </c:pt>
                <c:pt idx="29">
                  <c:v>53.2145265818897</c:v>
                </c:pt>
                <c:pt idx="30">
                  <c:v>51.258165430449054</c:v>
                </c:pt>
                <c:pt idx="31">
                  <c:v>2.5230432522856221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zoomScaleNormal="10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F118" sqref="F118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6" customWidth="1"/>
    <col min="13" max="13" width="14.140625" bestFit="1" customWidth="1"/>
    <col min="14" max="14" width="16" style="183" customWidth="1"/>
    <col min="15" max="15" width="16.28515625" style="551" customWidth="1"/>
    <col min="16" max="16" width="12.140625" style="95" customWidth="1"/>
    <col min="17" max="17" width="18.28515625" style="566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4" t="s">
        <v>266</v>
      </c>
      <c r="C1" s="815"/>
      <c r="D1" s="816"/>
      <c r="E1" s="817"/>
      <c r="F1" s="818"/>
      <c r="G1" s="819"/>
      <c r="H1" s="818"/>
      <c r="I1" s="820"/>
      <c r="J1" s="821"/>
      <c r="K1" s="1221" t="s">
        <v>26</v>
      </c>
      <c r="L1" s="600"/>
      <c r="M1" s="1223" t="s">
        <v>27</v>
      </c>
      <c r="N1" s="439"/>
      <c r="P1" s="97" t="s">
        <v>38</v>
      </c>
      <c r="Q1" s="1219" t="s">
        <v>28</v>
      </c>
      <c r="R1" s="149"/>
    </row>
    <row r="2" spans="1:29" ht="17.25" thickTop="1" thickBot="1" x14ac:dyDescent="0.3">
      <c r="A2" s="34"/>
      <c r="B2" s="516" t="s">
        <v>0</v>
      </c>
      <c r="C2" s="359" t="s">
        <v>10</v>
      </c>
      <c r="D2" s="25"/>
      <c r="E2" s="659" t="s">
        <v>25</v>
      </c>
      <c r="F2" s="54" t="s">
        <v>3</v>
      </c>
      <c r="G2" s="67" t="s">
        <v>8</v>
      </c>
      <c r="H2" s="505" t="s">
        <v>5</v>
      </c>
      <c r="I2" s="358" t="s">
        <v>6</v>
      </c>
      <c r="K2" s="1222"/>
      <c r="L2" s="601" t="s">
        <v>29</v>
      </c>
      <c r="M2" s="1224"/>
      <c r="N2" s="440" t="s">
        <v>29</v>
      </c>
      <c r="O2" s="552" t="s">
        <v>30</v>
      </c>
      <c r="P2" s="98" t="s">
        <v>39</v>
      </c>
      <c r="Q2" s="1220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0">
        <f>PIERNA!E3</f>
        <v>0</v>
      </c>
      <c r="F3" s="653">
        <f>PIERNA!F3</f>
        <v>0</v>
      </c>
      <c r="G3" s="100">
        <f>PIERNA!G3</f>
        <v>0</v>
      </c>
      <c r="H3" s="506">
        <f>PIERNA!H3</f>
        <v>0</v>
      </c>
      <c r="I3" s="105">
        <f>PIERNA!I3</f>
        <v>0</v>
      </c>
      <c r="J3" s="463"/>
      <c r="K3" s="291"/>
      <c r="L3" s="602"/>
      <c r="M3" s="474"/>
      <c r="N3" s="475"/>
      <c r="O3" s="268"/>
      <c r="P3" s="289"/>
      <c r="Q3" s="322"/>
      <c r="R3" s="479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50" t="str">
        <f>PIERNA!B4</f>
        <v>TYSON FRESH MEAT</v>
      </c>
      <c r="C4" s="242" t="str">
        <f>PIERNA!C4</f>
        <v xml:space="preserve">I B P </v>
      </c>
      <c r="D4" s="244" t="str">
        <f>PIERNA!D4</f>
        <v>PED. 82745698</v>
      </c>
      <c r="E4" s="248">
        <f>PIERNA!E4</f>
        <v>44712</v>
      </c>
      <c r="F4" s="653">
        <f>PIERNA!F4</f>
        <v>18616.03</v>
      </c>
      <c r="G4" s="100">
        <f>PIERNA!G4</f>
        <v>20</v>
      </c>
      <c r="H4" s="506">
        <f>PIERNA!H4</f>
        <v>18702.419999999998</v>
      </c>
      <c r="I4" s="105">
        <f>PIERNA!I4</f>
        <v>-86.389999999999418</v>
      </c>
      <c r="J4" s="501" t="s">
        <v>315</v>
      </c>
      <c r="K4" s="1100">
        <v>11761</v>
      </c>
      <c r="L4" s="1101" t="s">
        <v>335</v>
      </c>
      <c r="M4" s="1100">
        <v>33640</v>
      </c>
      <c r="N4" s="1099" t="s">
        <v>336</v>
      </c>
      <c r="O4" s="555"/>
      <c r="P4" s="1169">
        <v>5104</v>
      </c>
      <c r="Q4" s="839"/>
      <c r="R4" s="526"/>
      <c r="S4" s="65">
        <f>Q4</f>
        <v>0</v>
      </c>
      <c r="T4" s="65">
        <f>S4/H4</f>
        <v>0</v>
      </c>
      <c r="U4" s="225"/>
    </row>
    <row r="5" spans="1:29" s="157" customFormat="1" ht="21.75" customHeight="1" x14ac:dyDescent="0.25">
      <c r="A5" s="100">
        <v>2</v>
      </c>
      <c r="B5" s="549" t="str">
        <f>PIERNA!B5</f>
        <v>SEABOARD FOODS</v>
      </c>
      <c r="C5" s="242" t="str">
        <f>PIERNA!C5</f>
        <v>Seaboard</v>
      </c>
      <c r="D5" s="244" t="str">
        <f>PIERNA!D5</f>
        <v>PED. 82790743</v>
      </c>
      <c r="E5" s="134">
        <f>PIERNA!E5</f>
        <v>44713</v>
      </c>
      <c r="F5" s="653">
        <f>PIERNA!F5</f>
        <v>18945.27</v>
      </c>
      <c r="G5" s="100">
        <f>PIERNA!G5</f>
        <v>21</v>
      </c>
      <c r="H5" s="506">
        <f>PIERNA!H5</f>
        <v>19021.3</v>
      </c>
      <c r="I5" s="105">
        <f>PIERNA!I5</f>
        <v>-76.029999999998836</v>
      </c>
      <c r="J5" s="501" t="s">
        <v>320</v>
      </c>
      <c r="K5" s="1098">
        <v>11151</v>
      </c>
      <c r="L5" s="1101" t="s">
        <v>336</v>
      </c>
      <c r="M5" s="538">
        <v>33640</v>
      </c>
      <c r="N5" s="548" t="s">
        <v>353</v>
      </c>
      <c r="O5" s="555">
        <v>2045266</v>
      </c>
      <c r="P5" s="1169">
        <v>5162</v>
      </c>
      <c r="Q5" s="902">
        <f>41799.81*19.89</f>
        <v>831398.22089999996</v>
      </c>
      <c r="R5" s="980" t="s">
        <v>333</v>
      </c>
      <c r="S5" s="65">
        <f>Q5+M5+K5+P5</f>
        <v>881351.22089999996</v>
      </c>
      <c r="T5" s="65">
        <f>S5/H5+0.1</f>
        <v>46.434962431589852</v>
      </c>
      <c r="U5" s="200"/>
    </row>
    <row r="6" spans="1:29" s="157" customFormat="1" ht="21.75" customHeight="1" x14ac:dyDescent="0.25">
      <c r="A6" s="100">
        <v>3</v>
      </c>
      <c r="B6" s="786" t="str">
        <f>PIERNA!B6</f>
        <v>TYSON FRESH MEAT</v>
      </c>
      <c r="C6" s="242" t="str">
        <f>PIERNA!C6</f>
        <v xml:space="preserve">I B P </v>
      </c>
      <c r="D6" s="102" t="str">
        <f>PIERNA!D6</f>
        <v>PED. 82791435</v>
      </c>
      <c r="E6" s="134">
        <f>PIERNA!E6</f>
        <v>44713</v>
      </c>
      <c r="F6" s="653">
        <f>PIERNA!F6</f>
        <v>18555.38</v>
      </c>
      <c r="G6" s="100">
        <f>PIERNA!G6</f>
        <v>20</v>
      </c>
      <c r="H6" s="506">
        <f>PIERNA!H6</f>
        <v>18597.66</v>
      </c>
      <c r="I6" s="105">
        <f>PIERNA!I6</f>
        <v>-42.279999999998836</v>
      </c>
      <c r="J6" s="501" t="s">
        <v>321</v>
      </c>
      <c r="K6" s="1100">
        <v>9851</v>
      </c>
      <c r="L6" s="1101" t="s">
        <v>336</v>
      </c>
      <c r="M6" s="538">
        <v>33640</v>
      </c>
      <c r="N6" s="548" t="s">
        <v>353</v>
      </c>
      <c r="O6" s="923">
        <v>946483</v>
      </c>
      <c r="P6" s="1169">
        <v>5046</v>
      </c>
      <c r="Q6" s="840">
        <f>40869.8*19.585</f>
        <v>800435.03300000005</v>
      </c>
      <c r="R6" s="587" t="s">
        <v>344</v>
      </c>
      <c r="S6" s="65">
        <f t="shared" si="0"/>
        <v>848972.03300000005</v>
      </c>
      <c r="T6" s="65">
        <f t="shared" ref="T6:T31" si="1">S6/H6+0.1</f>
        <v>45.749400677289515</v>
      </c>
      <c r="U6" s="225"/>
    </row>
    <row r="7" spans="1:29" s="157" customFormat="1" ht="21.75" customHeight="1" x14ac:dyDescent="0.25">
      <c r="A7" s="100">
        <v>4</v>
      </c>
      <c r="B7" s="323" t="str">
        <f>PIERNA!B7</f>
        <v>SEABOARD FOODS</v>
      </c>
      <c r="C7" s="242" t="str">
        <f>PIERNA!C7</f>
        <v>Seaboard</v>
      </c>
      <c r="D7" s="102" t="str">
        <f>PIERNA!D7</f>
        <v>PED. 82791420</v>
      </c>
      <c r="E7" s="134">
        <f>PIERNA!E7</f>
        <v>44713</v>
      </c>
      <c r="F7" s="653">
        <f>PIERNA!F7</f>
        <v>19020.37</v>
      </c>
      <c r="G7" s="100">
        <f>PIERNA!G7</f>
        <v>21</v>
      </c>
      <c r="H7" s="506">
        <f>PIERNA!H7</f>
        <v>19111.2</v>
      </c>
      <c r="I7" s="105">
        <f>PIERNA!I7</f>
        <v>-90.830000000001746</v>
      </c>
      <c r="J7" s="501" t="s">
        <v>322</v>
      </c>
      <c r="K7" s="1100">
        <v>12161</v>
      </c>
      <c r="L7" s="1101" t="s">
        <v>336</v>
      </c>
      <c r="M7" s="538">
        <v>33640</v>
      </c>
      <c r="N7" s="548" t="s">
        <v>353</v>
      </c>
      <c r="O7" s="923">
        <v>2045265</v>
      </c>
      <c r="P7" s="1169">
        <v>5162</v>
      </c>
      <c r="Q7" s="1098">
        <f>41999.17*19.89</f>
        <v>835363.49129999999</v>
      </c>
      <c r="R7" s="980" t="s">
        <v>333</v>
      </c>
      <c r="S7" s="65">
        <f t="shared" si="0"/>
        <v>886326.49129999999</v>
      </c>
      <c r="T7" s="65">
        <f t="shared" si="1"/>
        <v>46.477333254845327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SEABOARD FOODS</v>
      </c>
      <c r="C8" s="250" t="str">
        <f>PIERNA!C8</f>
        <v>Seaboard</v>
      </c>
      <c r="D8" s="102" t="str">
        <f>PIERNA!D8</f>
        <v>PED. 82852334</v>
      </c>
      <c r="E8" s="134">
        <f>PIERNA!E8</f>
        <v>44714</v>
      </c>
      <c r="F8" s="653">
        <f>PIERNA!F8</f>
        <v>19084.29</v>
      </c>
      <c r="G8" s="100">
        <f>PIERNA!G8</f>
        <v>21</v>
      </c>
      <c r="H8" s="506">
        <f>PIERNA!H8</f>
        <v>19161.400000000001</v>
      </c>
      <c r="I8" s="105">
        <f>PIERNA!I8</f>
        <v>-77.110000000000582</v>
      </c>
      <c r="J8" s="501" t="s">
        <v>324</v>
      </c>
      <c r="K8" s="538">
        <v>11151</v>
      </c>
      <c r="L8" s="539" t="s">
        <v>353</v>
      </c>
      <c r="M8" s="538">
        <v>33640</v>
      </c>
      <c r="N8" s="540" t="s">
        <v>354</v>
      </c>
      <c r="O8" s="923">
        <v>2045267</v>
      </c>
      <c r="P8" s="1169">
        <v>0</v>
      </c>
      <c r="Q8" s="1098">
        <f>43042.41*19.81</f>
        <v>852670.14210000006</v>
      </c>
      <c r="R8" s="1099" t="s">
        <v>334</v>
      </c>
      <c r="S8" s="65">
        <f t="shared" si="0"/>
        <v>897461.14210000006</v>
      </c>
      <c r="T8" s="65">
        <f t="shared" si="1"/>
        <v>46.936929561514297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49" t="str">
        <f>PIERNA!B9</f>
        <v>SEABOARD FOODS</v>
      </c>
      <c r="C9" s="242" t="str">
        <f>PIERNA!C9</f>
        <v>Seaboard</v>
      </c>
      <c r="D9" s="102" t="str">
        <f>PIERNA!D9</f>
        <v>PED. 83063427</v>
      </c>
      <c r="E9" s="134">
        <f>PIERNA!E9</f>
        <v>44719</v>
      </c>
      <c r="F9" s="653">
        <f>PIERNA!F9</f>
        <v>18840.57</v>
      </c>
      <c r="G9" s="100">
        <f>PIERNA!G9</f>
        <v>21</v>
      </c>
      <c r="H9" s="506">
        <f>PIERNA!H9</f>
        <v>18937.3</v>
      </c>
      <c r="I9" s="105">
        <f>PIERNA!I9</f>
        <v>-96.729999999999563</v>
      </c>
      <c r="J9" s="501" t="s">
        <v>325</v>
      </c>
      <c r="K9" s="538">
        <v>11151</v>
      </c>
      <c r="L9" s="1103" t="s">
        <v>350</v>
      </c>
      <c r="M9" s="538">
        <v>33640</v>
      </c>
      <c r="N9" s="540" t="s">
        <v>355</v>
      </c>
      <c r="O9" s="543">
        <v>2047757</v>
      </c>
      <c r="P9" s="1169">
        <f>SUM(P4:P8)</f>
        <v>20474</v>
      </c>
      <c r="Q9" s="902">
        <f>45624.4*19.534</f>
        <v>891227.02960000001</v>
      </c>
      <c r="R9" s="903" t="s">
        <v>338</v>
      </c>
      <c r="S9" s="65">
        <f>Q9+M9+K9</f>
        <v>936018.02960000001</v>
      </c>
      <c r="T9" s="65">
        <f t="shared" si="1"/>
        <v>49.527216635951277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83101738</v>
      </c>
      <c r="E10" s="134">
        <f>PIERNA!E10</f>
        <v>44720</v>
      </c>
      <c r="F10" s="653">
        <f>PIERNA!F10</f>
        <v>19081.09</v>
      </c>
      <c r="G10" s="100">
        <f>PIERNA!G10</f>
        <v>21</v>
      </c>
      <c r="H10" s="506">
        <f>PIERNA!H10</f>
        <v>19192.2</v>
      </c>
      <c r="I10" s="105">
        <f>PIERNA!I10</f>
        <v>-111.11000000000058</v>
      </c>
      <c r="J10" s="800" t="s">
        <v>326</v>
      </c>
      <c r="K10" s="538">
        <v>9851</v>
      </c>
      <c r="L10" s="1103" t="s">
        <v>351</v>
      </c>
      <c r="M10" s="538">
        <v>33640</v>
      </c>
      <c r="N10" s="540" t="s">
        <v>340</v>
      </c>
      <c r="O10" s="543">
        <v>2047580</v>
      </c>
      <c r="P10" s="1169"/>
      <c r="Q10" s="902">
        <f>46238.55*19.534</f>
        <v>903223.83570000005</v>
      </c>
      <c r="R10" s="903" t="s">
        <v>337</v>
      </c>
      <c r="S10" s="65">
        <f>Q10+M10+K10</f>
        <v>946714.83570000005</v>
      </c>
      <c r="T10" s="65">
        <f t="shared" si="1"/>
        <v>49.428103901585018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83101976</v>
      </c>
      <c r="E11" s="134">
        <f>PIERNA!E11</f>
        <v>44720</v>
      </c>
      <c r="F11" s="653">
        <f>PIERNA!F11</f>
        <v>18899.8</v>
      </c>
      <c r="G11" s="100">
        <f>PIERNA!G11</f>
        <v>21</v>
      </c>
      <c r="H11" s="506">
        <f>PIERNA!H11</f>
        <v>18998.3</v>
      </c>
      <c r="I11" s="105">
        <f>PIERNA!I11</f>
        <v>-98.5</v>
      </c>
      <c r="J11" s="501" t="s">
        <v>327</v>
      </c>
      <c r="K11" s="538">
        <v>12151</v>
      </c>
      <c r="L11" s="1103" t="s">
        <v>351</v>
      </c>
      <c r="M11" s="538">
        <v>33640</v>
      </c>
      <c r="N11" s="540" t="s">
        <v>345</v>
      </c>
      <c r="O11" s="554">
        <v>2047581</v>
      </c>
      <c r="P11" s="1169"/>
      <c r="Q11" s="839">
        <f>45770.84*19.66</f>
        <v>899854.71439999994</v>
      </c>
      <c r="R11" s="542" t="s">
        <v>348</v>
      </c>
      <c r="S11" s="65">
        <f t="shared" si="0"/>
        <v>945645.71439999994</v>
      </c>
      <c r="T11" s="65">
        <f t="shared" si="1"/>
        <v>49.875280651426706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1.75" customHeight="1" x14ac:dyDescent="0.25">
      <c r="A12" s="100">
        <v>9</v>
      </c>
      <c r="B12" s="242" t="str">
        <f>PIERNA!B12</f>
        <v>SEABOARD FOODS</v>
      </c>
      <c r="C12" s="242" t="str">
        <f>PIERNA!C12</f>
        <v>Seaboard</v>
      </c>
      <c r="D12" s="102" t="str">
        <f>PIERNA!D12</f>
        <v>PED. 83101736</v>
      </c>
      <c r="E12" s="134">
        <f>PIERNA!E12</f>
        <v>44720</v>
      </c>
      <c r="F12" s="653">
        <f>PIERNA!F12</f>
        <v>18813.38</v>
      </c>
      <c r="G12" s="100">
        <f>PIERNA!G12</f>
        <v>21</v>
      </c>
      <c r="H12" s="506">
        <f>PIERNA!H12</f>
        <v>18948.5</v>
      </c>
      <c r="I12" s="105">
        <f>PIERNA!I12</f>
        <v>-135.11999999999898</v>
      </c>
      <c r="J12" s="501" t="s">
        <v>328</v>
      </c>
      <c r="K12" s="538">
        <v>12001</v>
      </c>
      <c r="L12" s="1103" t="s">
        <v>351</v>
      </c>
      <c r="M12" s="538">
        <v>33640</v>
      </c>
      <c r="N12" s="540" t="s">
        <v>345</v>
      </c>
      <c r="O12" s="554">
        <v>2047582</v>
      </c>
      <c r="P12" s="1169"/>
      <c r="Q12" s="839">
        <f>45650.63*19.66</f>
        <v>897491.38579999993</v>
      </c>
      <c r="R12" s="542" t="s">
        <v>342</v>
      </c>
      <c r="S12" s="65">
        <f>Q12+M12+K12</f>
        <v>943132.38579999993</v>
      </c>
      <c r="T12" s="65">
        <f t="shared" si="1"/>
        <v>49.873458891205104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23" t="str">
        <f>PIERNA!B13</f>
        <v>TYSON FRESH MEAT</v>
      </c>
      <c r="C13" s="242" t="str">
        <f>PIERNA!C13</f>
        <v xml:space="preserve">I B P </v>
      </c>
      <c r="D13" s="102" t="str">
        <f>PIERNA!D13</f>
        <v>PED. 83175630</v>
      </c>
      <c r="E13" s="134">
        <f>PIERNA!E13</f>
        <v>44721</v>
      </c>
      <c r="F13" s="653">
        <f>PIERNA!F13</f>
        <v>18724.240000000002</v>
      </c>
      <c r="G13" s="100">
        <f>PIERNA!G13</f>
        <v>20</v>
      </c>
      <c r="H13" s="506">
        <f>PIERNA!H13</f>
        <v>18761.830000000002</v>
      </c>
      <c r="I13" s="105">
        <f>PIERNA!I13</f>
        <v>-37.590000000000146</v>
      </c>
      <c r="J13" s="545" t="s">
        <v>329</v>
      </c>
      <c r="K13" s="538">
        <v>10101</v>
      </c>
      <c r="L13" s="1103" t="s">
        <v>340</v>
      </c>
      <c r="M13" s="538">
        <v>33640</v>
      </c>
      <c r="N13" s="540" t="s">
        <v>345</v>
      </c>
      <c r="O13" s="554">
        <v>957561</v>
      </c>
      <c r="P13" s="1169"/>
      <c r="Q13" s="544">
        <f>44461.09*20.01</f>
        <v>889666.41090000002</v>
      </c>
      <c r="R13" s="542" t="s">
        <v>352</v>
      </c>
      <c r="S13" s="65">
        <f t="shared" si="0"/>
        <v>933407.41090000002</v>
      </c>
      <c r="T13" s="65">
        <f t="shared" si="1"/>
        <v>49.850339433839871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83175899</v>
      </c>
      <c r="E14" s="134">
        <f>PIERNA!E14</f>
        <v>44721</v>
      </c>
      <c r="F14" s="653">
        <f>PIERNA!F14</f>
        <v>18995.18</v>
      </c>
      <c r="G14" s="100">
        <f>PIERNA!G14</f>
        <v>21</v>
      </c>
      <c r="H14" s="506">
        <f>PIERNA!H14</f>
        <v>19047.2</v>
      </c>
      <c r="I14" s="105">
        <f>PIERNA!I14</f>
        <v>-52.020000000000437</v>
      </c>
      <c r="J14" s="501" t="s">
        <v>330</v>
      </c>
      <c r="K14" s="538">
        <v>11151</v>
      </c>
      <c r="L14" s="1103" t="s">
        <v>340</v>
      </c>
      <c r="M14" s="538">
        <v>33640</v>
      </c>
      <c r="N14" s="540" t="s">
        <v>355</v>
      </c>
      <c r="O14" s="543">
        <v>2047758</v>
      </c>
      <c r="P14" s="1169"/>
      <c r="Q14" s="544">
        <f>45137.2*19.66</f>
        <v>887397.35199999996</v>
      </c>
      <c r="R14" s="981" t="s">
        <v>343</v>
      </c>
      <c r="S14" s="65">
        <f>Q14+M14+K14</f>
        <v>932188.35199999996</v>
      </c>
      <c r="T14" s="65">
        <f t="shared" si="1"/>
        <v>49.040965181233986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1.75" customHeight="1" x14ac:dyDescent="0.25">
      <c r="A15" s="100">
        <v>12</v>
      </c>
      <c r="B15" s="550" t="str">
        <f>PIERNA!B15</f>
        <v>TYSON FRESH MEATS</v>
      </c>
      <c r="C15" s="242" t="str">
        <f>PIERNA!C15</f>
        <v xml:space="preserve">I B P </v>
      </c>
      <c r="D15" s="102" t="str">
        <f>PIERNA!D15</f>
        <v>PED. 83215695</v>
      </c>
      <c r="E15" s="134">
        <f>PIERNA!E15</f>
        <v>44722</v>
      </c>
      <c r="F15" s="653">
        <f>PIERNA!F15</f>
        <v>18957.71</v>
      </c>
      <c r="G15" s="100">
        <f>PIERNA!G15</f>
        <v>20</v>
      </c>
      <c r="H15" s="506">
        <f>PIERNA!H15</f>
        <v>19049.419999999998</v>
      </c>
      <c r="I15" s="105">
        <f>PIERNA!I15</f>
        <v>-91.709999999999127</v>
      </c>
      <c r="J15" s="545" t="s">
        <v>331</v>
      </c>
      <c r="K15" s="538">
        <v>12151</v>
      </c>
      <c r="L15" s="1103" t="s">
        <v>355</v>
      </c>
      <c r="M15" s="538">
        <v>33640</v>
      </c>
      <c r="N15" s="546" t="s">
        <v>346</v>
      </c>
      <c r="O15" s="553">
        <v>960299</v>
      </c>
      <c r="P15" s="1169"/>
      <c r="Q15" s="544">
        <f>43651.68*20.65</f>
        <v>901407.19199999992</v>
      </c>
      <c r="R15" s="547" t="s">
        <v>391</v>
      </c>
      <c r="S15" s="65">
        <f>Q15</f>
        <v>901407.19199999992</v>
      </c>
      <c r="T15" s="65">
        <f t="shared" si="1"/>
        <v>47.419403530396202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23" t="str">
        <f>PIERNA!B16</f>
        <v>SEABOARD FOODS</v>
      </c>
      <c r="C16" s="75" t="str">
        <f>PIERNA!C16</f>
        <v>Seaboard</v>
      </c>
      <c r="D16" s="102" t="str">
        <f>PIERNA!D16</f>
        <v>PED. 83215694</v>
      </c>
      <c r="E16" s="134">
        <f>PIERNA!E16</f>
        <v>44722</v>
      </c>
      <c r="F16" s="653">
        <f>PIERNA!F16</f>
        <v>17874.939999999999</v>
      </c>
      <c r="G16" s="100">
        <f>PIERNA!G16</f>
        <v>20</v>
      </c>
      <c r="H16" s="506">
        <f>PIERNA!H16</f>
        <v>17911.2</v>
      </c>
      <c r="I16" s="105">
        <f>PIERNA!I16</f>
        <v>-36.260000000002037</v>
      </c>
      <c r="J16" s="755" t="s">
        <v>332</v>
      </c>
      <c r="K16" s="538">
        <v>11151</v>
      </c>
      <c r="L16" s="1103" t="s">
        <v>355</v>
      </c>
      <c r="M16" s="538">
        <v>33640</v>
      </c>
      <c r="N16" s="546" t="s">
        <v>346</v>
      </c>
      <c r="O16" s="554">
        <v>2048370</v>
      </c>
      <c r="P16" s="541"/>
      <c r="Q16" s="839">
        <f>41042.79*19.54</f>
        <v>801976.11659999995</v>
      </c>
      <c r="R16" s="542" t="s">
        <v>349</v>
      </c>
      <c r="S16" s="65">
        <f t="shared" si="0"/>
        <v>846767.11659999995</v>
      </c>
      <c r="T16" s="65">
        <f t="shared" si="1"/>
        <v>47.375845091339492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49" t="str">
        <f>PIERNA!B17</f>
        <v>SEABOARD FOODS</v>
      </c>
      <c r="C17" s="75" t="str">
        <f>PIERNA!C17</f>
        <v>Seaboard</v>
      </c>
      <c r="D17" s="102" t="str">
        <f>PIERNA!D17</f>
        <v>PED. 83349836</v>
      </c>
      <c r="E17" s="134">
        <f>PIERNA!E17</f>
        <v>44726</v>
      </c>
      <c r="F17" s="653">
        <f>PIERNA!F17</f>
        <v>19065.189999999999</v>
      </c>
      <c r="G17" s="100">
        <f>PIERNA!G17</f>
        <v>21</v>
      </c>
      <c r="H17" s="506">
        <f>PIERNA!H17</f>
        <v>19086.28</v>
      </c>
      <c r="I17" s="105">
        <f>PIERNA!I17</f>
        <v>-21.090000000000146</v>
      </c>
      <c r="J17" s="501" t="s">
        <v>380</v>
      </c>
      <c r="K17" s="538">
        <v>9851</v>
      </c>
      <c r="L17" s="1103" t="s">
        <v>404</v>
      </c>
      <c r="M17" s="538">
        <v>33640</v>
      </c>
      <c r="N17" s="546" t="s">
        <v>405</v>
      </c>
      <c r="O17" s="543">
        <v>2050310</v>
      </c>
      <c r="P17" s="541"/>
      <c r="Q17" s="839">
        <f>43676.96*19.575</f>
        <v>854976.49199999997</v>
      </c>
      <c r="R17" s="981" t="s">
        <v>351</v>
      </c>
      <c r="S17" s="65">
        <f>Q17+M17+K17</f>
        <v>898467.49199999997</v>
      </c>
      <c r="T17" s="65">
        <f t="shared" si="1"/>
        <v>47.173997237806425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49" t="str">
        <f>PIERNA!B18</f>
        <v>SEABOARD FOODS</v>
      </c>
      <c r="C18" s="75" t="str">
        <f>PIERNA!C18</f>
        <v>Seaboard</v>
      </c>
      <c r="D18" s="102" t="str">
        <f>PIERNA!D18</f>
        <v>PED. 83349835</v>
      </c>
      <c r="E18" s="134">
        <f>PIERNA!E18</f>
        <v>44726</v>
      </c>
      <c r="F18" s="653">
        <f>PIERNA!F18</f>
        <v>18791.89</v>
      </c>
      <c r="G18" s="100">
        <f>PIERNA!G18</f>
        <v>21</v>
      </c>
      <c r="H18" s="506">
        <f>PIERNA!H18</f>
        <v>18832.099999999999</v>
      </c>
      <c r="I18" s="105">
        <f>PIERNA!I18</f>
        <v>-40.209999999999127</v>
      </c>
      <c r="J18" s="501" t="s">
        <v>381</v>
      </c>
      <c r="K18" s="544">
        <v>11151</v>
      </c>
      <c r="L18" s="1103" t="s">
        <v>404</v>
      </c>
      <c r="M18" s="538">
        <v>33640</v>
      </c>
      <c r="N18" s="546" t="s">
        <v>405</v>
      </c>
      <c r="O18" s="555">
        <v>2050311</v>
      </c>
      <c r="P18" s="520"/>
      <c r="Q18" s="839">
        <f>43095.68*19.575</f>
        <v>843597.93599999999</v>
      </c>
      <c r="R18" s="542" t="s">
        <v>351</v>
      </c>
      <c r="S18" s="65">
        <f>Q18+M18+K18</f>
        <v>888388.93599999999</v>
      </c>
      <c r="T18" s="65">
        <f t="shared" si="1"/>
        <v>47.274183229698231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979" t="str">
        <f>PIERNA!B19</f>
        <v>TYSON FRESH MEATS</v>
      </c>
      <c r="C19" s="75" t="str">
        <f>PIERNA!C19</f>
        <v xml:space="preserve">I B P </v>
      </c>
      <c r="D19" s="102" t="str">
        <f>PIERNA!D19</f>
        <v>PED.  83404869</v>
      </c>
      <c r="E19" s="134">
        <f>PIERNA!E19</f>
        <v>44727</v>
      </c>
      <c r="F19" s="653">
        <f>PIERNA!F19</f>
        <v>18491.36</v>
      </c>
      <c r="G19" s="100">
        <f>PIERNA!G19</f>
        <v>20</v>
      </c>
      <c r="H19" s="506">
        <f>PIERNA!H19</f>
        <v>18631.66</v>
      </c>
      <c r="I19" s="105">
        <f>PIERNA!I19</f>
        <v>-140.29999999999927</v>
      </c>
      <c r="J19" s="856" t="s">
        <v>382</v>
      </c>
      <c r="K19" s="538">
        <v>9851</v>
      </c>
      <c r="L19" s="1103" t="s">
        <v>405</v>
      </c>
      <c r="M19" s="538">
        <v>33640</v>
      </c>
      <c r="N19" s="540" t="s">
        <v>406</v>
      </c>
      <c r="O19" s="543">
        <v>964588</v>
      </c>
      <c r="P19" s="501"/>
      <c r="Q19" s="839">
        <f>42636.89*20.568</f>
        <v>876955.55352000007</v>
      </c>
      <c r="R19" s="548" t="s">
        <v>402</v>
      </c>
      <c r="S19" s="65">
        <f>Q19+M19+K19</f>
        <v>920446.55352000007</v>
      </c>
      <c r="T19" s="65">
        <f t="shared" si="1"/>
        <v>49.502283721364606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23" t="str">
        <f>PIERNA!B20</f>
        <v>TYSON FRESH MEATS</v>
      </c>
      <c r="C20" s="75" t="str">
        <f>PIERNA!C20</f>
        <v xml:space="preserve">I B P </v>
      </c>
      <c r="D20" s="102" t="str">
        <f>PIERNA!D20</f>
        <v>PED. 83467776</v>
      </c>
      <c r="E20" s="134">
        <f>PIERNA!E20</f>
        <v>44728</v>
      </c>
      <c r="F20" s="653">
        <f>PIERNA!F20</f>
        <v>18181.259999999998</v>
      </c>
      <c r="G20" s="100">
        <f>PIERNA!G20</f>
        <v>20</v>
      </c>
      <c r="H20" s="506">
        <f>PIERNA!H20</f>
        <v>18285.11</v>
      </c>
      <c r="I20" s="105">
        <f>PIERNA!I20</f>
        <v>-103.85000000000218</v>
      </c>
      <c r="J20" s="501" t="s">
        <v>385</v>
      </c>
      <c r="K20" s="538">
        <v>12151</v>
      </c>
      <c r="L20" s="1103" t="s">
        <v>406</v>
      </c>
      <c r="M20" s="538">
        <v>33640</v>
      </c>
      <c r="N20" s="540" t="s">
        <v>407</v>
      </c>
      <c r="O20" s="543">
        <v>966130</v>
      </c>
      <c r="P20" s="541"/>
      <c r="Q20" s="839">
        <f>41529.42*20.438</f>
        <v>848778.28595999989</v>
      </c>
      <c r="R20" s="548" t="s">
        <v>396</v>
      </c>
      <c r="S20" s="65">
        <f t="shared" si="0"/>
        <v>894569.28595999989</v>
      </c>
      <c r="T20" s="65">
        <f t="shared" si="1"/>
        <v>49.023374590582165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83470562</v>
      </c>
      <c r="E21" s="134">
        <f>PIERNA!E21</f>
        <v>44728</v>
      </c>
      <c r="F21" s="653">
        <f>PIERNA!F21</f>
        <v>16335.96</v>
      </c>
      <c r="G21" s="100">
        <f>PIERNA!G21</f>
        <v>18</v>
      </c>
      <c r="H21" s="506">
        <f>PIERNA!H21</f>
        <v>16348.1</v>
      </c>
      <c r="I21" s="105">
        <f>PIERNA!I21</f>
        <v>-12.140000000001237</v>
      </c>
      <c r="J21" s="501" t="s">
        <v>386</v>
      </c>
      <c r="K21" s="538">
        <v>12151</v>
      </c>
      <c r="L21" s="1103" t="s">
        <v>406</v>
      </c>
      <c r="M21" s="538">
        <v>33640</v>
      </c>
      <c r="N21" s="540" t="s">
        <v>407</v>
      </c>
      <c r="O21" s="554">
        <v>2050312</v>
      </c>
      <c r="P21" s="541"/>
      <c r="Q21" s="839">
        <f>37188.14*19.57</f>
        <v>727771.89980000001</v>
      </c>
      <c r="R21" s="548" t="s">
        <v>401</v>
      </c>
      <c r="S21" s="65">
        <f t="shared" si="0"/>
        <v>773562.89980000001</v>
      </c>
      <c r="T21" s="65">
        <f t="shared" si="1"/>
        <v>47.418214336834254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83515583</v>
      </c>
      <c r="E22" s="248">
        <f>PIERNA!E22</f>
        <v>44729</v>
      </c>
      <c r="F22" s="656">
        <f>PIERNA!F22</f>
        <v>18849.61</v>
      </c>
      <c r="G22" s="258">
        <f>PIERNA!G22</f>
        <v>21</v>
      </c>
      <c r="H22" s="507">
        <f>PIERNA!H22</f>
        <v>18903.2</v>
      </c>
      <c r="I22" s="275">
        <f>PIERNA!I22</f>
        <v>-53.590000000000146</v>
      </c>
      <c r="J22" s="501" t="s">
        <v>387</v>
      </c>
      <c r="K22" s="538">
        <v>12151</v>
      </c>
      <c r="L22" s="1103" t="s">
        <v>407</v>
      </c>
      <c r="M22" s="538">
        <v>33640</v>
      </c>
      <c r="N22" s="540" t="s">
        <v>408</v>
      </c>
      <c r="O22" s="554">
        <v>2051070</v>
      </c>
      <c r="P22" s="520"/>
      <c r="Q22" s="839">
        <f>44228.62*20.01</f>
        <v>885014.68620000011</v>
      </c>
      <c r="R22" s="548" t="s">
        <v>352</v>
      </c>
      <c r="S22" s="65">
        <f>Q22+M22+K22</f>
        <v>930805.68620000011</v>
      </c>
      <c r="T22" s="65">
        <f t="shared" si="1"/>
        <v>49.340641066062894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 t="str">
        <f>PIERNA!B23</f>
        <v>TYSON FRSH MEAT</v>
      </c>
      <c r="C23" s="75" t="str">
        <f>PIERNA!C23</f>
        <v xml:space="preserve">I B P </v>
      </c>
      <c r="D23" s="244" t="str">
        <f>PIERNA!D23</f>
        <v>PED. 83515553</v>
      </c>
      <c r="E23" s="248">
        <f>PIERNA!E23</f>
        <v>44729</v>
      </c>
      <c r="F23" s="656">
        <f>PIERNA!F23</f>
        <v>18862.61</v>
      </c>
      <c r="G23" s="258">
        <f>PIERNA!G23</f>
        <v>20</v>
      </c>
      <c r="H23" s="507">
        <f>PIERNA!H23</f>
        <v>18953.689999999999</v>
      </c>
      <c r="I23" s="275">
        <f>PIERNA!I23</f>
        <v>-91.079999999998108</v>
      </c>
      <c r="J23" s="501" t="s">
        <v>388</v>
      </c>
      <c r="K23" s="538">
        <v>11151</v>
      </c>
      <c r="L23" s="1103" t="s">
        <v>407</v>
      </c>
      <c r="M23" s="538">
        <v>33640</v>
      </c>
      <c r="N23" s="540" t="s">
        <v>408</v>
      </c>
      <c r="O23" s="555">
        <v>969708</v>
      </c>
      <c r="P23" s="541"/>
      <c r="Q23" s="839">
        <f>44347.48*20.28</f>
        <v>899366.89440000011</v>
      </c>
      <c r="R23" s="548" t="s">
        <v>392</v>
      </c>
      <c r="S23" s="65">
        <f>Q23+M23+K23</f>
        <v>944157.89440000011</v>
      </c>
      <c r="T23" s="65">
        <f t="shared" si="1"/>
        <v>49.913935671629126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49" t="str">
        <f>PIERNA!B24</f>
        <v>SEABOARD FOODS</v>
      </c>
      <c r="C24" s="242" t="str">
        <f>PIERNA!C24</f>
        <v>Seaboard</v>
      </c>
      <c r="D24" s="519" t="str">
        <f>PIERNA!D24</f>
        <v>PED. 83647782</v>
      </c>
      <c r="E24" s="248">
        <f>PIERNA!E24</f>
        <v>44733</v>
      </c>
      <c r="F24" s="656">
        <f>PIERNA!F24</f>
        <v>18861.32</v>
      </c>
      <c r="G24" s="258">
        <f>PIERNA!G24</f>
        <v>21</v>
      </c>
      <c r="H24" s="507">
        <f>PIERNA!H24</f>
        <v>18731.8</v>
      </c>
      <c r="I24" s="275">
        <f>PIERNA!I24</f>
        <v>129.52000000000044</v>
      </c>
      <c r="J24" s="501" t="s">
        <v>428</v>
      </c>
      <c r="K24" s="538">
        <v>9851</v>
      </c>
      <c r="L24" s="1103" t="s">
        <v>443</v>
      </c>
      <c r="M24" s="538">
        <v>33640</v>
      </c>
      <c r="N24" s="540" t="s">
        <v>445</v>
      </c>
      <c r="O24" s="543">
        <v>2051828</v>
      </c>
      <c r="P24" s="541"/>
      <c r="Q24" s="839">
        <f>45739.45*20.65</f>
        <v>944519.64249999984</v>
      </c>
      <c r="R24" s="548" t="s">
        <v>391</v>
      </c>
      <c r="S24" s="65">
        <f t="shared" si="0"/>
        <v>988010.64249999984</v>
      </c>
      <c r="T24" s="65">
        <f t="shared" si="1"/>
        <v>52.845098842609886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2" t="str">
        <f>PIERNA!HM5</f>
        <v>SEABOARD FOODS</v>
      </c>
      <c r="C25" s="266" t="str">
        <f>PIERNA!HN5</f>
        <v>Seaboard</v>
      </c>
      <c r="D25" s="519" t="str">
        <f>PIERNA!HO5</f>
        <v>PED. 83647999</v>
      </c>
      <c r="E25" s="248">
        <f>PIERNA!E25</f>
        <v>44733</v>
      </c>
      <c r="F25" s="656">
        <f>PIERNA!HQ5</f>
        <v>19166.77</v>
      </c>
      <c r="G25" s="258">
        <f>PIERNA!HR5</f>
        <v>21</v>
      </c>
      <c r="H25" s="507">
        <f>PIERNA!HS5</f>
        <v>19093.8</v>
      </c>
      <c r="I25" s="275">
        <f>PIERNA!I25</f>
        <v>72.970000000001164</v>
      </c>
      <c r="J25" s="501" t="s">
        <v>429</v>
      </c>
      <c r="K25" s="538">
        <v>12151</v>
      </c>
      <c r="L25" s="1103" t="s">
        <v>443</v>
      </c>
      <c r="M25" s="538">
        <v>33640</v>
      </c>
      <c r="N25" s="548" t="s">
        <v>445</v>
      </c>
      <c r="O25" s="543">
        <v>2052447</v>
      </c>
      <c r="P25" s="520"/>
      <c r="Q25" s="839">
        <f>46624.42*20.6</f>
        <v>960463.05200000003</v>
      </c>
      <c r="R25" s="526" t="s">
        <v>394</v>
      </c>
      <c r="S25" s="65">
        <f t="shared" si="0"/>
        <v>1006254.052</v>
      </c>
      <c r="T25" s="65">
        <f t="shared" si="1"/>
        <v>52.800565209649207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61" t="str">
        <f>PIERNA!HW5</f>
        <v>TYSON FRESH MEAT</v>
      </c>
      <c r="C26" s="242" t="str">
        <f>PIERNA!HX5</f>
        <v xml:space="preserve">I B P </v>
      </c>
      <c r="D26" s="519" t="str">
        <f>PIERNA!HY5</f>
        <v>PED. 83698275</v>
      </c>
      <c r="E26" s="248">
        <f>PIERNA!HZ5</f>
        <v>44734</v>
      </c>
      <c r="F26" s="656">
        <f>PIERNA!IA5</f>
        <v>18834.34</v>
      </c>
      <c r="G26" s="255">
        <f>PIERNA!IB5</f>
        <v>20</v>
      </c>
      <c r="H26" s="507">
        <f>PIERNA!IC5</f>
        <v>18929.25</v>
      </c>
      <c r="I26" s="275">
        <f>PIERNA!I26</f>
        <v>-94.909999999999854</v>
      </c>
      <c r="J26" s="501" t="s">
        <v>430</v>
      </c>
      <c r="K26" s="538">
        <v>11151</v>
      </c>
      <c r="L26" s="539" t="s">
        <v>444</v>
      </c>
      <c r="M26" s="538">
        <v>33640</v>
      </c>
      <c r="N26" s="548" t="s">
        <v>445</v>
      </c>
      <c r="O26" s="543">
        <v>974312</v>
      </c>
      <c r="P26" s="541"/>
      <c r="Q26" s="839">
        <f>46224.58*20.03</f>
        <v>925878.33740000008</v>
      </c>
      <c r="R26" s="548" t="s">
        <v>441</v>
      </c>
      <c r="S26" s="65">
        <f t="shared" si="0"/>
        <v>970669.33740000008</v>
      </c>
      <c r="T26" s="65">
        <f t="shared" si="1"/>
        <v>51.378805943183174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19" t="str">
        <f>PIERNA!II5</f>
        <v>PED. 83754489</v>
      </c>
      <c r="E27" s="248">
        <f>PIERNA!IJ5</f>
        <v>44735</v>
      </c>
      <c r="F27" s="656">
        <f>PIERNA!IK5</f>
        <v>18628.689999999999</v>
      </c>
      <c r="G27" s="255">
        <f>PIERNA!IL5</f>
        <v>20</v>
      </c>
      <c r="H27" s="507">
        <f>PIERNA!IM5</f>
        <v>18688.36</v>
      </c>
      <c r="I27" s="275">
        <f>PIERNA!I27</f>
        <v>-59.670000000001892</v>
      </c>
      <c r="J27" s="501" t="s">
        <v>431</v>
      </c>
      <c r="K27" s="538">
        <v>9851</v>
      </c>
      <c r="L27" s="539" t="s">
        <v>445</v>
      </c>
      <c r="M27" s="538">
        <v>33640</v>
      </c>
      <c r="N27" s="548" t="s">
        <v>446</v>
      </c>
      <c r="O27" s="543">
        <v>976537</v>
      </c>
      <c r="P27" s="520"/>
      <c r="Q27" s="839">
        <f>45354.06*19.89</f>
        <v>902092.25339999993</v>
      </c>
      <c r="R27" s="548" t="s">
        <v>439</v>
      </c>
      <c r="S27" s="65">
        <f>Q27+M27+K27+P27</f>
        <v>945583.25339999993</v>
      </c>
      <c r="T27" s="65">
        <f t="shared" si="1"/>
        <v>50.697444259421367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19" t="str">
        <f>PIERNA!IS5</f>
        <v>PED. 83754490</v>
      </c>
      <c r="E28" s="248">
        <f>PIERNA!IT5</f>
        <v>44735</v>
      </c>
      <c r="F28" s="656">
        <f>PIERNA!IU5</f>
        <v>19129.330000000002</v>
      </c>
      <c r="G28" s="255">
        <f>PIERNA!IV5</f>
        <v>21</v>
      </c>
      <c r="H28" s="507">
        <f>PIERNA!IW5</f>
        <v>19200.400000000001</v>
      </c>
      <c r="I28" s="275">
        <f>PIERNA!I28</f>
        <v>-71.069999999999709</v>
      </c>
      <c r="J28" s="501" t="s">
        <v>432</v>
      </c>
      <c r="K28" s="538">
        <v>12001</v>
      </c>
      <c r="L28" s="539" t="s">
        <v>445</v>
      </c>
      <c r="M28" s="538">
        <v>33640</v>
      </c>
      <c r="N28" s="548" t="s">
        <v>446</v>
      </c>
      <c r="O28" s="543">
        <v>2052922</v>
      </c>
      <c r="P28" s="541"/>
      <c r="Q28" s="839">
        <f>46599.07*20.64</f>
        <v>961804.80480000004</v>
      </c>
      <c r="R28" s="526" t="s">
        <v>390</v>
      </c>
      <c r="S28" s="65">
        <f t="shared" si="0"/>
        <v>1007445.8048</v>
      </c>
      <c r="T28" s="65">
        <f t="shared" si="1"/>
        <v>52.570042540780399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 t="str">
        <f>PIERNA!JA5</f>
        <v>SEABAORD FOODS</v>
      </c>
      <c r="C29" s="242" t="str">
        <f>PIERNA!JB5</f>
        <v>Seaboard</v>
      </c>
      <c r="D29" s="519" t="str">
        <f>PIERNA!JC5</f>
        <v>PED. 83813279</v>
      </c>
      <c r="E29" s="248">
        <f>PIERNA!JD5</f>
        <v>44736</v>
      </c>
      <c r="F29" s="656">
        <f>PIERNA!JE5</f>
        <v>18774.45</v>
      </c>
      <c r="G29" s="255">
        <f>PIERNA!JF5</f>
        <v>21</v>
      </c>
      <c r="H29" s="507">
        <f>PIERNA!JG5</f>
        <v>18764.099999999999</v>
      </c>
      <c r="I29" s="275">
        <f>PIERNA!I29</f>
        <v>10.350000000002183</v>
      </c>
      <c r="J29" s="501" t="s">
        <v>435</v>
      </c>
      <c r="K29" s="544">
        <v>11151</v>
      </c>
      <c r="L29" s="539" t="s">
        <v>446</v>
      </c>
      <c r="M29" s="538">
        <v>33640</v>
      </c>
      <c r="N29" s="548" t="s">
        <v>447</v>
      </c>
      <c r="O29" s="555">
        <v>2054054</v>
      </c>
      <c r="P29" s="541"/>
      <c r="Q29" s="839">
        <f>45270.95*20.28</f>
        <v>918094.86600000004</v>
      </c>
      <c r="R29" s="526" t="s">
        <v>392</v>
      </c>
      <c r="S29" s="65">
        <f t="shared" si="0"/>
        <v>962885.86600000004</v>
      </c>
      <c r="T29" s="65">
        <f t="shared" si="1"/>
        <v>51.415323729888463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910" t="str">
        <f>PIERNA!JK5</f>
        <v>TYSON FRESH MEAT</v>
      </c>
      <c r="C30" s="242" t="str">
        <f>PIERNA!JL5</f>
        <v xml:space="preserve">I B P </v>
      </c>
      <c r="D30" s="519" t="str">
        <f>PIERNA!JM5</f>
        <v>PED. 83810349</v>
      </c>
      <c r="E30" s="437">
        <f>PIERNA!JN5</f>
        <v>44736</v>
      </c>
      <c r="F30" s="774">
        <f>PIERNA!JO5</f>
        <v>18648.240000000002</v>
      </c>
      <c r="G30" s="775">
        <f>PIERNA!JP5</f>
        <v>20</v>
      </c>
      <c r="H30" s="776">
        <f>PIERNA!JQ5</f>
        <v>18678.71</v>
      </c>
      <c r="I30" s="275">
        <f>PIERNA!I30</f>
        <v>-30.469999999997526</v>
      </c>
      <c r="J30" s="501" t="s">
        <v>436</v>
      </c>
      <c r="K30" s="538">
        <v>12001</v>
      </c>
      <c r="L30" s="539" t="s">
        <v>446</v>
      </c>
      <c r="M30" s="538">
        <v>33640</v>
      </c>
      <c r="N30" s="548" t="s">
        <v>447</v>
      </c>
      <c r="O30" s="555">
        <v>979973</v>
      </c>
      <c r="P30" s="541"/>
      <c r="Q30" s="839">
        <f>45067.39*19.902</f>
        <v>896931.19578000007</v>
      </c>
      <c r="R30" s="526" t="s">
        <v>442</v>
      </c>
      <c r="S30" s="65">
        <f>Q30+M30+K30</f>
        <v>942572.19578000007</v>
      </c>
      <c r="T30" s="65">
        <f t="shared" si="1"/>
        <v>50.562381812234364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 t="str">
        <f>PIERNA!JU5</f>
        <v>SEABOARD FOODS</v>
      </c>
      <c r="C31" s="726" t="str">
        <f>PIERNA!JV5</f>
        <v>Seaboard</v>
      </c>
      <c r="D31" s="519" t="str">
        <f>PIERNA!JW5</f>
        <v>PED. 83947904</v>
      </c>
      <c r="E31" s="437">
        <f>PIERNA!JX5</f>
        <v>44740</v>
      </c>
      <c r="F31" s="774">
        <f>PIERNA!JY5</f>
        <v>18867.12</v>
      </c>
      <c r="G31" s="775">
        <f>PIERNA!JZ5</f>
        <v>21</v>
      </c>
      <c r="H31" s="776">
        <f>PIERNA!KA5</f>
        <v>18952</v>
      </c>
      <c r="I31" s="275">
        <f>PIERNA!I31</f>
        <v>-84.880000000001019</v>
      </c>
      <c r="J31" s="501" t="s">
        <v>455</v>
      </c>
      <c r="K31" s="538">
        <v>12161</v>
      </c>
      <c r="L31" s="539" t="s">
        <v>470</v>
      </c>
      <c r="M31" s="538">
        <v>33640</v>
      </c>
      <c r="N31" s="548" t="s">
        <v>471</v>
      </c>
      <c r="O31" s="555">
        <v>2055423</v>
      </c>
      <c r="P31" s="541"/>
      <c r="Q31" s="839">
        <f>48095.26*20.18</f>
        <v>970562.34680000006</v>
      </c>
      <c r="R31" s="526" t="s">
        <v>468</v>
      </c>
      <c r="S31" s="65">
        <f t="shared" si="0"/>
        <v>1016363.3468000001</v>
      </c>
      <c r="T31" s="65">
        <f t="shared" si="1"/>
        <v>53.728289721401438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 t="str">
        <f>PIERNA!KE5</f>
        <v>SEABOAR FOODS</v>
      </c>
      <c r="C32" s="242" t="str">
        <f>PIERNA!KF5</f>
        <v>Seaboard</v>
      </c>
      <c r="D32" s="519" t="str">
        <f>PIERNA!KG5</f>
        <v>PED. 83946736</v>
      </c>
      <c r="E32" s="437">
        <f>PIERNA!KH5</f>
        <v>44740</v>
      </c>
      <c r="F32" s="774">
        <f>PIERNA!KI5</f>
        <v>18933.990000000002</v>
      </c>
      <c r="G32" s="775">
        <f>PIERNA!KJ5</f>
        <v>21</v>
      </c>
      <c r="H32" s="776">
        <f>PIERNA!H32</f>
        <v>18959.099999999999</v>
      </c>
      <c r="I32" s="275">
        <f>PIERNA!I32</f>
        <v>-25.109999999996944</v>
      </c>
      <c r="J32" s="501" t="s">
        <v>456</v>
      </c>
      <c r="K32" s="538">
        <v>12161</v>
      </c>
      <c r="L32" s="539" t="s">
        <v>470</v>
      </c>
      <c r="M32" s="538">
        <v>33640</v>
      </c>
      <c r="N32" s="548" t="s">
        <v>471</v>
      </c>
      <c r="O32" s="555">
        <v>2055424</v>
      </c>
      <c r="P32" s="541"/>
      <c r="Q32" s="839">
        <f>48113.68*20.165</f>
        <v>970212.35719999997</v>
      </c>
      <c r="R32" s="526" t="s">
        <v>469</v>
      </c>
      <c r="S32" s="65">
        <f>Q32+M32+K32+P32</f>
        <v>1016013.3572</v>
      </c>
      <c r="T32" s="65">
        <f t="shared" ref="T32:T41" si="8">S32/H32+0.1</f>
        <v>53.689746201032754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 t="str">
        <f>PIERNA!KO5</f>
        <v>TYSON FRESH MEAT</v>
      </c>
      <c r="C33" s="242" t="str">
        <f>PIERNA!KP5</f>
        <v xml:space="preserve">I B P </v>
      </c>
      <c r="D33" s="519" t="str">
        <f>PIERNA!KQ5</f>
        <v>PED. 84000205</v>
      </c>
      <c r="E33" s="437">
        <f>PIERNA!KR5</f>
        <v>44741</v>
      </c>
      <c r="F33" s="777">
        <f>PIERNA!KS5</f>
        <v>18079.759999999998</v>
      </c>
      <c r="G33" s="778">
        <f>PIERNA!KT5</f>
        <v>20</v>
      </c>
      <c r="H33" s="776">
        <f>PIERNA!KU5</f>
        <v>16930.7</v>
      </c>
      <c r="I33" s="1168">
        <f>PIERNA!I33</f>
        <v>1149.0599999999977</v>
      </c>
      <c r="J33" s="501" t="s">
        <v>459</v>
      </c>
      <c r="K33" s="544">
        <v>1151</v>
      </c>
      <c r="L33" s="539" t="s">
        <v>471</v>
      </c>
      <c r="M33" s="538">
        <v>33640</v>
      </c>
      <c r="N33" s="548" t="s">
        <v>465</v>
      </c>
      <c r="O33" s="555">
        <v>986432</v>
      </c>
      <c r="P33" s="585"/>
      <c r="Q33" s="839">
        <f>42965.96*20.12</f>
        <v>864475.1152</v>
      </c>
      <c r="R33" s="526" t="s">
        <v>464</v>
      </c>
      <c r="S33" s="65">
        <f>Q33+M33+K33+P33</f>
        <v>899266.1152</v>
      </c>
      <c r="T33" s="65">
        <f t="shared" si="8"/>
        <v>53.2145265818897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19" t="str">
        <f>PIERNA!D34</f>
        <v>PED. 84071696</v>
      </c>
      <c r="E34" s="437">
        <f>PIERNA!E34</f>
        <v>44742</v>
      </c>
      <c r="F34" s="777">
        <f>PIERNA!F34</f>
        <v>19097.330000000002</v>
      </c>
      <c r="G34" s="778">
        <f>PIERNA!G34</f>
        <v>21</v>
      </c>
      <c r="H34" s="776">
        <f>PIERNA!H34</f>
        <v>19157.900000000001</v>
      </c>
      <c r="I34" s="275">
        <f>PIERNA!I34</f>
        <v>-60.569999999999709</v>
      </c>
      <c r="J34" s="501" t="s">
        <v>460</v>
      </c>
      <c r="K34" s="538">
        <v>10101</v>
      </c>
      <c r="L34" s="539" t="s">
        <v>465</v>
      </c>
      <c r="M34" s="538">
        <v>33640</v>
      </c>
      <c r="N34" s="548" t="s">
        <v>466</v>
      </c>
      <c r="O34" s="923">
        <v>2055425</v>
      </c>
      <c r="P34" s="541"/>
      <c r="Q34" s="840">
        <f>46700.35*20.05</f>
        <v>936342.01749999996</v>
      </c>
      <c r="R34" s="587" t="s">
        <v>438</v>
      </c>
      <c r="S34" s="65">
        <f>Q34+M34+K34+P34</f>
        <v>980083.01749999996</v>
      </c>
      <c r="T34" s="65">
        <f t="shared" si="8"/>
        <v>51.258165430449054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 t="str">
        <f>PIERNA!B35</f>
        <v>TYSON FRESH MEAT</v>
      </c>
      <c r="C35" s="282" t="str">
        <f>PIERNA!C35</f>
        <v xml:space="preserve">I B P </v>
      </c>
      <c r="D35" s="519" t="str">
        <f>PIERNA!D35</f>
        <v>PED. 84072562</v>
      </c>
      <c r="E35" s="437">
        <f>PIERNA!E35</f>
        <v>44742</v>
      </c>
      <c r="F35" s="777">
        <f>PIERNA!F35</f>
        <v>18744.37</v>
      </c>
      <c r="G35" s="779">
        <f>PIERNA!G35</f>
        <v>20</v>
      </c>
      <c r="H35" s="776">
        <f>PIERNA!H35</f>
        <v>18836.23</v>
      </c>
      <c r="I35" s="275">
        <f>PIERNA!I35</f>
        <v>-91.860000000000582</v>
      </c>
      <c r="J35" s="501" t="s">
        <v>461</v>
      </c>
      <c r="K35" s="538">
        <v>12001</v>
      </c>
      <c r="L35" s="539" t="s">
        <v>465</v>
      </c>
      <c r="M35" s="538">
        <v>33640</v>
      </c>
      <c r="N35" s="548" t="s">
        <v>467</v>
      </c>
      <c r="O35" s="923"/>
      <c r="P35" s="585"/>
      <c r="Q35" s="544"/>
      <c r="R35" s="526"/>
      <c r="S35" s="65">
        <f>Q35+M35+K35</f>
        <v>45641</v>
      </c>
      <c r="T35" s="65">
        <f t="shared" si="8"/>
        <v>2.5230432522856221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>
        <f>PIERNA!B36</f>
        <v>0</v>
      </c>
      <c r="C36" s="282">
        <f>PIERNA!C36</f>
        <v>0</v>
      </c>
      <c r="D36" s="519">
        <f>PIERNA!D36</f>
        <v>0</v>
      </c>
      <c r="E36" s="437">
        <f>PIERNA!E36</f>
        <v>0</v>
      </c>
      <c r="F36" s="777">
        <f>PIERNA!F36</f>
        <v>0</v>
      </c>
      <c r="G36" s="779">
        <f>PIERNA!G36</f>
        <v>0</v>
      </c>
      <c r="H36" s="776">
        <f>PIERNA!H36</f>
        <v>0</v>
      </c>
      <c r="I36" s="275">
        <f>PIERNA!I36</f>
        <v>0</v>
      </c>
      <c r="J36" s="501"/>
      <c r="K36" s="538"/>
      <c r="L36" s="539"/>
      <c r="M36" s="538"/>
      <c r="N36" s="540"/>
      <c r="O36" s="923"/>
      <c r="P36" s="585"/>
      <c r="Q36" s="544"/>
      <c r="R36" s="548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56">
        <f>PIERNA!F37</f>
        <v>0</v>
      </c>
      <c r="G37" s="258">
        <f>PIERNA!G37</f>
        <v>0</v>
      </c>
      <c r="H37" s="507">
        <f>PIERNA!H37</f>
        <v>0</v>
      </c>
      <c r="I37" s="275">
        <f>PIERNA!I37</f>
        <v>0</v>
      </c>
      <c r="J37" s="501"/>
      <c r="K37" s="538"/>
      <c r="L37" s="539"/>
      <c r="M37" s="538"/>
      <c r="N37" s="548"/>
      <c r="O37" s="543"/>
      <c r="P37" s="541"/>
      <c r="Q37" s="839"/>
      <c r="R37" s="548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80">
        <f>PIERNA!D38</f>
        <v>0</v>
      </c>
      <c r="E38" s="248">
        <f>PIERNA!E38</f>
        <v>0</v>
      </c>
      <c r="F38" s="781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1"/>
      <c r="K38" s="538"/>
      <c r="L38" s="1018"/>
      <c r="M38" s="538"/>
      <c r="N38" s="548"/>
      <c r="O38" s="543"/>
      <c r="P38" s="541"/>
      <c r="Q38" s="839"/>
      <c r="R38" s="526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80">
        <f>PIERNA!D39</f>
        <v>0</v>
      </c>
      <c r="E39" s="248">
        <f>PIERNA!E39</f>
        <v>0</v>
      </c>
      <c r="F39" s="781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1"/>
      <c r="K39" s="544"/>
      <c r="L39" s="1018"/>
      <c r="M39" s="538"/>
      <c r="N39" s="548"/>
      <c r="O39" s="555"/>
      <c r="P39" s="541"/>
      <c r="Q39" s="839"/>
      <c r="R39" s="526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80">
        <f>PIERNA!D40</f>
        <v>0</v>
      </c>
      <c r="E40" s="248">
        <f>PIERNA!E40</f>
        <v>0</v>
      </c>
      <c r="F40" s="781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1"/>
      <c r="K40" s="538"/>
      <c r="L40" s="539"/>
      <c r="M40" s="538"/>
      <c r="N40" s="548"/>
      <c r="O40" s="555"/>
      <c r="P40" s="541"/>
      <c r="Q40" s="839"/>
      <c r="R40" s="526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80">
        <f>PIERNA!D41</f>
        <v>0</v>
      </c>
      <c r="E41" s="248">
        <f>PIERNA!E41</f>
        <v>0</v>
      </c>
      <c r="F41" s="781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1"/>
      <c r="K41" s="544"/>
      <c r="L41" s="539"/>
      <c r="M41" s="538"/>
      <c r="N41" s="548"/>
      <c r="O41" s="555"/>
      <c r="P41" s="541"/>
      <c r="Q41" s="839"/>
      <c r="R41" s="526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727">
        <f>PIERNA!C42</f>
        <v>0</v>
      </c>
      <c r="D42" s="822">
        <f>PIERNA!D42</f>
        <v>0</v>
      </c>
      <c r="E42" s="248">
        <f>PIERNA!E42</f>
        <v>0</v>
      </c>
      <c r="F42" s="656">
        <f>PIERNA!F42</f>
        <v>0</v>
      </c>
      <c r="G42" s="258">
        <f>PIERNA!G42</f>
        <v>0</v>
      </c>
      <c r="H42" s="507">
        <f>PIERNA!H42</f>
        <v>0</v>
      </c>
      <c r="I42" s="275">
        <f>PIERNA!I42</f>
        <v>0</v>
      </c>
      <c r="J42" s="501"/>
      <c r="K42" s="538"/>
      <c r="L42" s="539"/>
      <c r="M42" s="538"/>
      <c r="N42" s="548"/>
      <c r="O42" s="555"/>
      <c r="P42" s="541"/>
      <c r="Q42" s="839"/>
      <c r="R42" s="52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56">
        <f>PIERNA!F43</f>
        <v>0</v>
      </c>
      <c r="G43" s="258">
        <f>PIERNA!G43</f>
        <v>0</v>
      </c>
      <c r="H43" s="507">
        <f>PIERNA!H43</f>
        <v>0</v>
      </c>
      <c r="I43" s="275">
        <f>PIERNA!I43</f>
        <v>0</v>
      </c>
      <c r="J43" s="501"/>
      <c r="K43" s="538"/>
      <c r="L43" s="539"/>
      <c r="M43" s="538"/>
      <c r="N43" s="548"/>
      <c r="O43" s="555"/>
      <c r="P43" s="541"/>
      <c r="Q43" s="839"/>
      <c r="R43" s="526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822">
        <f>PIERNA!D44</f>
        <v>0</v>
      </c>
      <c r="E44" s="248">
        <f>PIERNA!E44</f>
        <v>0</v>
      </c>
      <c r="F44" s="656">
        <f>PIERNA!F44</f>
        <v>0</v>
      </c>
      <c r="G44" s="258">
        <f>PIERNA!G44</f>
        <v>0</v>
      </c>
      <c r="H44" s="507">
        <f>PIERNA!H44</f>
        <v>0</v>
      </c>
      <c r="I44" s="275">
        <f>PIERNA!I44</f>
        <v>0</v>
      </c>
      <c r="J44" s="501"/>
      <c r="K44" s="538"/>
      <c r="L44" s="539"/>
      <c r="M44" s="538"/>
      <c r="N44" s="540"/>
      <c r="O44" s="543"/>
      <c r="P44" s="541"/>
      <c r="Q44" s="544"/>
      <c r="R44" s="586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22">
        <f>PIERNA!D45</f>
        <v>0</v>
      </c>
      <c r="E45" s="248">
        <f>PIERNA!E45</f>
        <v>0</v>
      </c>
      <c r="F45" s="656">
        <f>PIERNA!F45</f>
        <v>0</v>
      </c>
      <c r="G45" s="258">
        <f>PIERNA!G45</f>
        <v>0</v>
      </c>
      <c r="H45" s="507">
        <f>PIERNA!H45</f>
        <v>0</v>
      </c>
      <c r="I45" s="275">
        <f>PIERNA!I45</f>
        <v>0</v>
      </c>
      <c r="J45" s="501"/>
      <c r="K45" s="538"/>
      <c r="L45" s="539"/>
      <c r="M45" s="538"/>
      <c r="N45" s="540"/>
      <c r="O45" s="543"/>
      <c r="P45" s="541"/>
      <c r="Q45" s="544"/>
      <c r="R45" s="586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3">
        <f>PIERNA!F46</f>
        <v>0</v>
      </c>
      <c r="G46" s="100">
        <f>PIERNA!G46</f>
        <v>0</v>
      </c>
      <c r="H46" s="506">
        <f>PIERNA!H46</f>
        <v>0</v>
      </c>
      <c r="I46" s="105">
        <f>PIERNA!I46</f>
        <v>0</v>
      </c>
      <c r="J46" s="285"/>
      <c r="K46" s="286"/>
      <c r="L46" s="287"/>
      <c r="M46" s="476"/>
      <c r="N46" s="288"/>
      <c r="O46" s="556"/>
      <c r="P46" s="289"/>
      <c r="Q46" s="322"/>
      <c r="R46" s="480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3">
        <f>PIERNA!F47</f>
        <v>0</v>
      </c>
      <c r="G47" s="100">
        <f>PIERNA!G47</f>
        <v>0</v>
      </c>
      <c r="H47" s="506">
        <f>PIERNA!H47</f>
        <v>0</v>
      </c>
      <c r="I47" s="105">
        <f>PIERNA!I47</f>
        <v>0</v>
      </c>
      <c r="J47" s="285"/>
      <c r="K47" s="286"/>
      <c r="L47" s="287"/>
      <c r="M47" s="477"/>
      <c r="N47" s="288"/>
      <c r="O47" s="557"/>
      <c r="P47" s="289"/>
      <c r="Q47" s="322"/>
      <c r="R47" s="480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3">
        <f>PIERNA!F48</f>
        <v>0</v>
      </c>
      <c r="G48" s="100">
        <f>PIERNA!G48</f>
        <v>0</v>
      </c>
      <c r="H48" s="506">
        <f>PIERNA!H48</f>
        <v>0</v>
      </c>
      <c r="I48" s="105">
        <f>PIERNA!I48</f>
        <v>0</v>
      </c>
      <c r="J48" s="285"/>
      <c r="K48" s="286"/>
      <c r="L48" s="287"/>
      <c r="M48" s="478"/>
      <c r="N48" s="288"/>
      <c r="O48" s="556"/>
      <c r="P48" s="289"/>
      <c r="Q48" s="322"/>
      <c r="R48" s="480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3">
        <f>PIERNA!F49</f>
        <v>0</v>
      </c>
      <c r="G49" s="100">
        <f>PIERNA!G49</f>
        <v>0</v>
      </c>
      <c r="H49" s="506">
        <f>PIERNA!H49</f>
        <v>0</v>
      </c>
      <c r="I49" s="105">
        <f>PIERNA!I49</f>
        <v>0</v>
      </c>
      <c r="J49" s="285"/>
      <c r="K49" s="286"/>
      <c r="L49" s="287"/>
      <c r="M49" s="478"/>
      <c r="N49" s="288"/>
      <c r="O49" s="556"/>
      <c r="P49" s="289"/>
      <c r="Q49" s="322"/>
      <c r="R49" s="480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3">
        <f>PIERNA!F50</f>
        <v>0</v>
      </c>
      <c r="G50" s="100">
        <f>PIERNA!G50</f>
        <v>0</v>
      </c>
      <c r="H50" s="506">
        <f>PIERNA!H50</f>
        <v>0</v>
      </c>
      <c r="I50" s="105">
        <f>PIERNA!I50</f>
        <v>0</v>
      </c>
      <c r="J50" s="285"/>
      <c r="K50" s="286"/>
      <c r="L50" s="287"/>
      <c r="M50" s="478"/>
      <c r="N50" s="288"/>
      <c r="O50" s="556"/>
      <c r="P50" s="289"/>
      <c r="Q50" s="322"/>
      <c r="R50" s="480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3">
        <f>PIERNA!F51</f>
        <v>0</v>
      </c>
      <c r="G51" s="100">
        <f>PIERNA!G51</f>
        <v>0</v>
      </c>
      <c r="H51" s="506">
        <f>PIERNA!H51</f>
        <v>0</v>
      </c>
      <c r="I51" s="105">
        <f>PIERNA!I51</f>
        <v>0</v>
      </c>
      <c r="J51" s="285"/>
      <c r="K51" s="286"/>
      <c r="L51" s="287"/>
      <c r="M51" s="478"/>
      <c r="N51" s="288"/>
      <c r="O51" s="556"/>
      <c r="P51" s="307"/>
      <c r="Q51" s="322"/>
      <c r="R51" s="480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3">
        <f>PIERNA!F52</f>
        <v>0</v>
      </c>
      <c r="G52" s="100">
        <f>PIERNA!G52</f>
        <v>0</v>
      </c>
      <c r="H52" s="506">
        <f>PIERNA!H52</f>
        <v>0</v>
      </c>
      <c r="I52" s="105">
        <f>PIERNA!I52</f>
        <v>0</v>
      </c>
      <c r="J52" s="285"/>
      <c r="K52" s="286"/>
      <c r="L52" s="287"/>
      <c r="M52" s="478"/>
      <c r="N52" s="288"/>
      <c r="O52" s="556"/>
      <c r="P52" s="289"/>
      <c r="Q52" s="322"/>
      <c r="R52" s="480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3">
        <f>PIERNA!SD5</f>
        <v>0</v>
      </c>
      <c r="G53" s="100">
        <f>PIERNA!SE5</f>
        <v>0</v>
      </c>
      <c r="H53" s="506">
        <f>PIERNA!SF5</f>
        <v>0</v>
      </c>
      <c r="I53" s="105">
        <f>PIERNA!I53</f>
        <v>0</v>
      </c>
      <c r="J53" s="285"/>
      <c r="K53" s="286"/>
      <c r="L53" s="287"/>
      <c r="M53" s="478"/>
      <c r="N53" s="288"/>
      <c r="O53" s="556"/>
      <c r="P53" s="289"/>
      <c r="Q53" s="322"/>
      <c r="R53" s="480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3">
        <f>PIERNA!F53</f>
        <v>0</v>
      </c>
      <c r="G54" s="100">
        <f>PIERNA!G53</f>
        <v>0</v>
      </c>
      <c r="H54" s="506">
        <f>PIERNA!H53</f>
        <v>0</v>
      </c>
      <c r="I54" s="105">
        <f>PIERNA!I54</f>
        <v>0</v>
      </c>
      <c r="J54" s="285"/>
      <c r="K54" s="286"/>
      <c r="L54" s="287"/>
      <c r="M54" s="478"/>
      <c r="N54" s="288"/>
      <c r="O54" s="556"/>
      <c r="P54" s="289"/>
      <c r="Q54" s="322"/>
      <c r="R54" s="480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57">
        <f>PIERNA!SV5</f>
        <v>0</v>
      </c>
      <c r="G55" s="100">
        <f>PIERNA!SW5</f>
        <v>0</v>
      </c>
      <c r="H55" s="506">
        <f>PIERNA!SX5</f>
        <v>0</v>
      </c>
      <c r="I55" s="105">
        <f>PIERNA!I55</f>
        <v>0</v>
      </c>
      <c r="J55" s="285"/>
      <c r="K55" s="286"/>
      <c r="L55" s="287"/>
      <c r="M55" s="478"/>
      <c r="N55" s="288"/>
      <c r="O55" s="556"/>
      <c r="P55" s="289"/>
      <c r="Q55" s="322"/>
      <c r="R55" s="480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3">
        <f>PIERNA!TE5</f>
        <v>0</v>
      </c>
      <c r="G56" s="100">
        <f>PIERNA!TF5</f>
        <v>0</v>
      </c>
      <c r="H56" s="506">
        <f>PIERNA!TG5</f>
        <v>0</v>
      </c>
      <c r="I56" s="105">
        <f>PIERNA!I56</f>
        <v>0</v>
      </c>
      <c r="J56" s="285"/>
      <c r="K56" s="286"/>
      <c r="L56" s="464"/>
      <c r="M56" s="478"/>
      <c r="N56" s="288"/>
      <c r="O56" s="556"/>
      <c r="P56" s="289"/>
      <c r="Q56" s="322"/>
      <c r="R56" s="480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3">
        <f>PIERNA!F57</f>
        <v>0</v>
      </c>
      <c r="G57" s="169">
        <f>PIERNA!G57</f>
        <v>0</v>
      </c>
      <c r="H57" s="506">
        <f>PIERNA!H57</f>
        <v>0</v>
      </c>
      <c r="I57" s="105">
        <f>PIERNA!I57</f>
        <v>0</v>
      </c>
      <c r="J57" s="285"/>
      <c r="K57" s="286"/>
      <c r="L57" s="464"/>
      <c r="M57" s="478"/>
      <c r="N57" s="288"/>
      <c r="O57" s="556"/>
      <c r="P57" s="289"/>
      <c r="Q57" s="322"/>
      <c r="R57" s="480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3">
        <f>PIERNA!F58</f>
        <v>0</v>
      </c>
      <c r="G58" s="100">
        <f>PIERNA!G58</f>
        <v>0</v>
      </c>
      <c r="H58" s="506">
        <f>PIERNA!H58</f>
        <v>0</v>
      </c>
      <c r="I58" s="105">
        <f>PIERNA!I58</f>
        <v>0</v>
      </c>
      <c r="J58" s="285"/>
      <c r="K58" s="286"/>
      <c r="L58" s="464"/>
      <c r="M58" s="478"/>
      <c r="N58" s="288"/>
      <c r="O58" s="556"/>
      <c r="P58" s="289"/>
      <c r="Q58" s="322"/>
      <c r="R58" s="480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3">
        <f>PIERNA!F59</f>
        <v>0</v>
      </c>
      <c r="G59" s="100">
        <f>PIERNA!G59</f>
        <v>0</v>
      </c>
      <c r="H59" s="506">
        <f>PIERNA!H59</f>
        <v>0</v>
      </c>
      <c r="I59" s="105">
        <f>PIERNA!I59</f>
        <v>0</v>
      </c>
      <c r="J59" s="285"/>
      <c r="K59" s="286"/>
      <c r="L59" s="464"/>
      <c r="M59" s="478"/>
      <c r="N59" s="288"/>
      <c r="O59" s="556"/>
      <c r="P59" s="289"/>
      <c r="Q59" s="322"/>
      <c r="R59" s="480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3">
        <f>PIERNA!F60</f>
        <v>0</v>
      </c>
      <c r="G60" s="100">
        <f>PIERNA!G60</f>
        <v>0</v>
      </c>
      <c r="H60" s="506">
        <f>PIERNA!H60</f>
        <v>0</v>
      </c>
      <c r="I60" s="105">
        <f>PIERNA!I60</f>
        <v>0</v>
      </c>
      <c r="J60" s="285"/>
      <c r="K60" s="257"/>
      <c r="L60" s="603"/>
      <c r="M60" s="478"/>
      <c r="N60" s="288"/>
      <c r="O60" s="556"/>
      <c r="P60" s="289"/>
      <c r="Q60" s="322"/>
      <c r="R60" s="480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3">
        <f>PIERNA!F61</f>
        <v>0</v>
      </c>
      <c r="G61" s="100">
        <f>PIERNA!G61</f>
        <v>0</v>
      </c>
      <c r="H61" s="506">
        <f>PIERNA!H61</f>
        <v>0</v>
      </c>
      <c r="I61" s="105">
        <f>PIERNA!I61</f>
        <v>0</v>
      </c>
      <c r="J61" s="285"/>
      <c r="K61" s="286"/>
      <c r="L61" s="464"/>
      <c r="M61" s="478"/>
      <c r="N61" s="288"/>
      <c r="O61" s="556"/>
      <c r="P61" s="289"/>
      <c r="Q61" s="322"/>
      <c r="R61" s="480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3">
        <f>PIERNA!F62</f>
        <v>0</v>
      </c>
      <c r="G62" s="166">
        <f>PIERNA!G62</f>
        <v>0</v>
      </c>
      <c r="H62" s="506">
        <f>PIERNA!H62</f>
        <v>0</v>
      </c>
      <c r="I62" s="105">
        <f>PIERNA!I62</f>
        <v>0</v>
      </c>
      <c r="J62" s="285"/>
      <c r="K62" s="286"/>
      <c r="L62" s="464"/>
      <c r="M62" s="478"/>
      <c r="N62" s="288"/>
      <c r="O62" s="556"/>
      <c r="P62" s="289"/>
      <c r="Q62" s="322"/>
      <c r="R62" s="480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3">
        <f>PIERNA!F63</f>
        <v>0</v>
      </c>
      <c r="G63" s="166">
        <f>PIERNA!G63</f>
        <v>0</v>
      </c>
      <c r="H63" s="506">
        <f>PIERNA!H63</f>
        <v>0</v>
      </c>
      <c r="I63" s="105">
        <f>PIERNA!I63</f>
        <v>0</v>
      </c>
      <c r="J63" s="285"/>
      <c r="K63" s="286"/>
      <c r="L63" s="464"/>
      <c r="M63" s="478"/>
      <c r="N63" s="288"/>
      <c r="O63" s="556"/>
      <c r="P63" s="289"/>
      <c r="Q63" s="322"/>
      <c r="R63" s="480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3">
        <f>PIERNA!F64</f>
        <v>0</v>
      </c>
      <c r="G64" s="166">
        <f>PIERNA!G64</f>
        <v>0</v>
      </c>
      <c r="H64" s="506">
        <f>PIERNA!H64</f>
        <v>0</v>
      </c>
      <c r="I64" s="105">
        <f>PIERNA!I64</f>
        <v>0</v>
      </c>
      <c r="J64" s="285"/>
      <c r="K64" s="286"/>
      <c r="L64" s="464"/>
      <c r="M64" s="478"/>
      <c r="N64" s="288"/>
      <c r="O64" s="556"/>
      <c r="P64" s="289"/>
      <c r="Q64" s="322"/>
      <c r="R64" s="480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3">
        <f>PIERNA!F65</f>
        <v>0</v>
      </c>
      <c r="G65" s="166">
        <f>PIERNA!G65</f>
        <v>0</v>
      </c>
      <c r="H65" s="506">
        <f>PIERNA!H65</f>
        <v>0</v>
      </c>
      <c r="I65" s="105">
        <f>PIERNA!I65</f>
        <v>0</v>
      </c>
      <c r="J65" s="285"/>
      <c r="K65" s="286"/>
      <c r="L65" s="464"/>
      <c r="M65" s="478"/>
      <c r="N65" s="288"/>
      <c r="O65" s="556"/>
      <c r="P65" s="289"/>
      <c r="Q65" s="322"/>
      <c r="R65" s="480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3">
        <f>PIERNA!F61</f>
        <v>0</v>
      </c>
      <c r="G66" s="166">
        <f>PIERNA!G61</f>
        <v>0</v>
      </c>
      <c r="H66" s="506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58"/>
      <c r="P66" s="289"/>
      <c r="Q66" s="322"/>
      <c r="R66" s="480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3">
        <f>PIERNA!F62</f>
        <v>0</v>
      </c>
      <c r="G67" s="166">
        <f>PIERNA!G62</f>
        <v>0</v>
      </c>
      <c r="H67" s="506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58"/>
      <c r="P67" s="289"/>
      <c r="Q67" s="322"/>
      <c r="R67" s="480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3">
        <f>PIERNA!F63</f>
        <v>0</v>
      </c>
      <c r="G68" s="166">
        <f>PIERNA!G63</f>
        <v>0</v>
      </c>
      <c r="H68" s="506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58"/>
      <c r="P68" s="289"/>
      <c r="Q68" s="322"/>
      <c r="R68" s="480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3">
        <f>PIERNA!F64</f>
        <v>0</v>
      </c>
      <c r="G69" s="166">
        <f>PIERNA!G64</f>
        <v>0</v>
      </c>
      <c r="H69" s="506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58"/>
      <c r="P69" s="289"/>
      <c r="Q69" s="322"/>
      <c r="R69" s="480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3">
        <f>PIERNA!F65</f>
        <v>0</v>
      </c>
      <c r="G70" s="166">
        <f>PIERNA!G65</f>
        <v>0</v>
      </c>
      <c r="H70" s="506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0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3">
        <f>PIERNA!F66</f>
        <v>0</v>
      </c>
      <c r="G71" s="166">
        <f>PIERNA!G66</f>
        <v>0</v>
      </c>
      <c r="H71" s="506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0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3">
        <f>PIERNA!F67</f>
        <v>0</v>
      </c>
      <c r="G72" s="166">
        <f>PIERNA!G67</f>
        <v>0</v>
      </c>
      <c r="H72" s="506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0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3">
        <f>PIERNA!F68</f>
        <v>0</v>
      </c>
      <c r="G73" s="166">
        <f>PIERNA!G68</f>
        <v>0</v>
      </c>
      <c r="H73" s="506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0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3">
        <f>PIERNA!F69</f>
        <v>0</v>
      </c>
      <c r="G74" s="166">
        <f>PIERNA!G69</f>
        <v>0</v>
      </c>
      <c r="H74" s="506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0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3">
        <f>PIERNA!F70</f>
        <v>0</v>
      </c>
      <c r="G75" s="166">
        <f>PIERNA!G70</f>
        <v>0</v>
      </c>
      <c r="H75" s="506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0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3">
        <f>PIERNA!F71</f>
        <v>0</v>
      </c>
      <c r="G76" s="166">
        <f>PIERNA!G71</f>
        <v>0</v>
      </c>
      <c r="H76" s="506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0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3">
        <f>PIERNA!F72</f>
        <v>0</v>
      </c>
      <c r="G77" s="166">
        <f>PIERNA!G72</f>
        <v>0</v>
      </c>
      <c r="H77" s="506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0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3">
        <f>PIERNA!F73</f>
        <v>0</v>
      </c>
      <c r="G78" s="166">
        <f>PIERNA!G73</f>
        <v>0</v>
      </c>
      <c r="H78" s="506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0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3">
        <f>PIERNA!F74</f>
        <v>0</v>
      </c>
      <c r="G79" s="166">
        <f>PIERNA!G74</f>
        <v>0</v>
      </c>
      <c r="H79" s="506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0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3">
        <f>PIERNA!F75</f>
        <v>0</v>
      </c>
      <c r="G80" s="166">
        <f>PIERNA!G75</f>
        <v>0</v>
      </c>
      <c r="H80" s="506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0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3">
        <f>PIERNA!F76</f>
        <v>0</v>
      </c>
      <c r="G81" s="166">
        <f>PIERNA!G76</f>
        <v>0</v>
      </c>
      <c r="H81" s="506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0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3">
        <f>PIERNA!F77</f>
        <v>0</v>
      </c>
      <c r="G82" s="166">
        <f>PIERNA!G77</f>
        <v>0</v>
      </c>
      <c r="H82" s="506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0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3">
        <f>PIERNA!F78</f>
        <v>0</v>
      </c>
      <c r="G83" s="166">
        <f>PIERNA!G78</f>
        <v>0</v>
      </c>
      <c r="H83" s="506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0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3">
        <f>PIERNA!F79</f>
        <v>0</v>
      </c>
      <c r="G84" s="166">
        <f>PIERNA!G79</f>
        <v>0</v>
      </c>
      <c r="H84" s="506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0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3">
        <f>PIERNA!F80</f>
        <v>0</v>
      </c>
      <c r="G85" s="166">
        <f>PIERNA!G80</f>
        <v>0</v>
      </c>
      <c r="H85" s="506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0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3">
        <f>PIERNA!F81</f>
        <v>0</v>
      </c>
      <c r="G86" s="166">
        <f>PIERNA!G81</f>
        <v>0</v>
      </c>
      <c r="H86" s="506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0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3">
        <f>PIERNA!F82</f>
        <v>0</v>
      </c>
      <c r="G87" s="166">
        <f>PIERNA!G82</f>
        <v>0</v>
      </c>
      <c r="H87" s="506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0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3">
        <f>PIERNA!F83</f>
        <v>0</v>
      </c>
      <c r="G88" s="166">
        <f>PIERNA!G83</f>
        <v>0</v>
      </c>
      <c r="H88" s="506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0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3">
        <f>PIERNA!F84</f>
        <v>0</v>
      </c>
      <c r="G89" s="166">
        <f>PIERNA!G84</f>
        <v>0</v>
      </c>
      <c r="H89" s="506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0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3">
        <f>PIERNA!F85</f>
        <v>0</v>
      </c>
      <c r="G90" s="166">
        <f>PIERNA!G85</f>
        <v>0</v>
      </c>
      <c r="H90" s="506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0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3">
        <f>PIERNA!F86</f>
        <v>0</v>
      </c>
      <c r="G91" s="166">
        <f>PIERNA!G86</f>
        <v>0</v>
      </c>
      <c r="H91" s="506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0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3">
        <f>PIERNA!F87</f>
        <v>0</v>
      </c>
      <c r="G92" s="166">
        <f>PIERNA!G87</f>
        <v>0</v>
      </c>
      <c r="H92" s="506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0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3">
        <f>PIERNA!F88</f>
        <v>0</v>
      </c>
      <c r="G93" s="166">
        <f>PIERNA!G88</f>
        <v>0</v>
      </c>
      <c r="H93" s="506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0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3"/>
      <c r="G94" s="166"/>
      <c r="H94" s="506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0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3"/>
      <c r="G95" s="166"/>
      <c r="H95" s="506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0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3"/>
      <c r="G96" s="166"/>
      <c r="H96" s="506"/>
      <c r="I96" s="105"/>
      <c r="J96" s="466"/>
      <c r="K96" s="286"/>
      <c r="L96" s="292"/>
      <c r="M96" s="266"/>
      <c r="N96" s="488"/>
      <c r="O96" s="556"/>
      <c r="P96" s="663"/>
      <c r="Q96" s="841"/>
      <c r="R96" s="640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3"/>
      <c r="G97" s="166"/>
      <c r="H97" s="506"/>
      <c r="I97" s="105"/>
      <c r="J97" s="641"/>
      <c r="K97" s="538"/>
      <c r="L97" s="539"/>
      <c r="M97" s="538"/>
      <c r="N97" s="540"/>
      <c r="O97" s="677"/>
      <c r="P97" s="677"/>
      <c r="Q97" s="838"/>
      <c r="R97" s="677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5"/>
      <c r="C98" s="153"/>
      <c r="D98" s="101"/>
      <c r="E98" s="134"/>
      <c r="F98" s="653"/>
      <c r="G98" s="166"/>
      <c r="H98" s="506"/>
      <c r="I98" s="105"/>
      <c r="J98" s="641"/>
      <c r="K98" s="538"/>
      <c r="L98" s="539"/>
      <c r="M98" s="538"/>
      <c r="N98" s="1017"/>
      <c r="O98" s="1015"/>
      <c r="P98" s="677"/>
      <c r="Q98" s="838"/>
      <c r="R98" s="677"/>
      <c r="S98" s="65"/>
      <c r="T98" s="181"/>
    </row>
    <row r="99" spans="1:20" s="157" customFormat="1" ht="30" thickBot="1" x14ac:dyDescent="0.3">
      <c r="A99" s="100">
        <v>61</v>
      </c>
      <c r="B99" s="1128" t="s">
        <v>316</v>
      </c>
      <c r="C99" s="1130" t="s">
        <v>225</v>
      </c>
      <c r="D99" s="1131"/>
      <c r="E99" s="248">
        <v>44710</v>
      </c>
      <c r="F99" s="267">
        <v>1499.1</v>
      </c>
      <c r="G99" s="253">
        <v>104</v>
      </c>
      <c r="H99" s="942">
        <v>1499.1</v>
      </c>
      <c r="I99" s="685">
        <f t="shared" ref="I99:I109" si="18">H99-F99</f>
        <v>0</v>
      </c>
      <c r="J99" s="641"/>
      <c r="K99" s="536"/>
      <c r="L99" s="562"/>
      <c r="M99" s="536"/>
      <c r="N99" s="536"/>
      <c r="O99" s="1093"/>
      <c r="P99" s="1124" t="s">
        <v>341</v>
      </c>
      <c r="Q99" s="842">
        <v>85448.7</v>
      </c>
      <c r="R99" s="535" t="s">
        <v>393</v>
      </c>
      <c r="S99" s="65">
        <f t="shared" si="15"/>
        <v>85448.7</v>
      </c>
      <c r="T99" s="181">
        <f t="shared" si="17"/>
        <v>57</v>
      </c>
    </row>
    <row r="100" spans="1:20" s="157" customFormat="1" ht="30" customHeight="1" x14ac:dyDescent="0.3">
      <c r="A100" s="100">
        <v>62</v>
      </c>
      <c r="B100" s="1188" t="s">
        <v>403</v>
      </c>
      <c r="C100" s="250" t="s">
        <v>311</v>
      </c>
      <c r="D100" s="322"/>
      <c r="E100" s="1225">
        <v>44711</v>
      </c>
      <c r="F100" s="259">
        <v>1001.75</v>
      </c>
      <c r="G100" s="253">
        <v>40</v>
      </c>
      <c r="H100" s="942">
        <v>1001.75</v>
      </c>
      <c r="I100" s="685">
        <f t="shared" si="18"/>
        <v>0</v>
      </c>
      <c r="J100" s="788"/>
      <c r="K100" s="536"/>
      <c r="L100" s="562"/>
      <c r="M100" s="536"/>
      <c r="N100" s="693"/>
      <c r="O100" s="1227">
        <v>18073</v>
      </c>
      <c r="P100" s="1091"/>
      <c r="Q100" s="842">
        <v>56098</v>
      </c>
      <c r="R100" s="1214" t="s">
        <v>392</v>
      </c>
      <c r="S100" s="65">
        <f t="shared" si="15"/>
        <v>56098</v>
      </c>
      <c r="T100" s="181">
        <f>S100/H100</f>
        <v>56</v>
      </c>
    </row>
    <row r="101" spans="1:20" s="157" customFormat="1" ht="22.5" customHeight="1" x14ac:dyDescent="0.25">
      <c r="A101" s="100">
        <v>63</v>
      </c>
      <c r="B101" s="1189"/>
      <c r="C101" s="1088" t="s">
        <v>312</v>
      </c>
      <c r="D101" s="512"/>
      <c r="E101" s="1225"/>
      <c r="F101" s="942">
        <v>5018.1099999999997</v>
      </c>
      <c r="G101" s="1087">
        <v>174</v>
      </c>
      <c r="H101" s="942">
        <v>5018.1099999999997</v>
      </c>
      <c r="I101" s="685">
        <f t="shared" si="18"/>
        <v>0</v>
      </c>
      <c r="J101" s="641"/>
      <c r="K101" s="536"/>
      <c r="L101" s="562"/>
      <c r="M101" s="536"/>
      <c r="N101" s="795"/>
      <c r="O101" s="1228"/>
      <c r="P101" s="1091"/>
      <c r="Q101" s="842">
        <v>326177.15000000002</v>
      </c>
      <c r="R101" s="1215"/>
      <c r="S101" s="65">
        <f t="shared" si="15"/>
        <v>326177.15000000002</v>
      </c>
      <c r="T101" s="181">
        <f t="shared" si="17"/>
        <v>65.000000000000014</v>
      </c>
    </row>
    <row r="102" spans="1:20" s="157" customFormat="1" ht="24.75" customHeight="1" x14ac:dyDescent="0.25">
      <c r="A102" s="100">
        <v>64</v>
      </c>
      <c r="B102" s="1189"/>
      <c r="C102" s="1089" t="s">
        <v>313</v>
      </c>
      <c r="D102" s="512"/>
      <c r="E102" s="1225"/>
      <c r="F102" s="942">
        <v>361.23</v>
      </c>
      <c r="G102" s="1087">
        <v>13</v>
      </c>
      <c r="H102" s="942">
        <v>361.23</v>
      </c>
      <c r="I102" s="685">
        <f>H102-F102</f>
        <v>0</v>
      </c>
      <c r="J102" s="800"/>
      <c r="K102" s="536"/>
      <c r="L102" s="562"/>
      <c r="M102" s="536"/>
      <c r="N102" s="795"/>
      <c r="O102" s="1228"/>
      <c r="P102" s="1092"/>
      <c r="Q102" s="842">
        <v>16977.810000000001</v>
      </c>
      <c r="R102" s="1215"/>
      <c r="S102" s="65">
        <f t="shared" si="15"/>
        <v>16977.810000000001</v>
      </c>
      <c r="T102" s="181">
        <f t="shared" si="17"/>
        <v>47</v>
      </c>
    </row>
    <row r="103" spans="1:20" s="157" customFormat="1" ht="22.5" customHeight="1" thickBot="1" x14ac:dyDescent="0.3">
      <c r="A103" s="100">
        <v>65</v>
      </c>
      <c r="B103" s="1190"/>
      <c r="C103" s="1090" t="s">
        <v>314</v>
      </c>
      <c r="D103" s="512"/>
      <c r="E103" s="1226"/>
      <c r="F103" s="942">
        <v>1040.1600000000001</v>
      </c>
      <c r="G103" s="1087">
        <v>40</v>
      </c>
      <c r="H103" s="942">
        <v>1040.1600000000001</v>
      </c>
      <c r="I103" s="685">
        <f t="shared" si="18"/>
        <v>0</v>
      </c>
      <c r="J103" s="641"/>
      <c r="K103" s="536"/>
      <c r="L103" s="562"/>
      <c r="M103" s="536"/>
      <c r="N103" s="795"/>
      <c r="O103" s="1229"/>
      <c r="P103" s="1092"/>
      <c r="Q103" s="842">
        <v>24963.84</v>
      </c>
      <c r="R103" s="1216"/>
      <c r="S103" s="65">
        <f t="shared" si="15"/>
        <v>24963.84</v>
      </c>
      <c r="T103" s="181">
        <f t="shared" si="17"/>
        <v>24</v>
      </c>
    </row>
    <row r="104" spans="1:20" s="157" customFormat="1" ht="31.5" customHeight="1" x14ac:dyDescent="0.25">
      <c r="A104" s="100">
        <v>66</v>
      </c>
      <c r="B104" s="1095" t="s">
        <v>284</v>
      </c>
      <c r="C104" s="512" t="s">
        <v>317</v>
      </c>
      <c r="D104" s="512"/>
      <c r="E104" s="966">
        <v>44711</v>
      </c>
      <c r="F104" s="942">
        <v>2007.81</v>
      </c>
      <c r="G104" s="1087">
        <v>71</v>
      </c>
      <c r="H104" s="942">
        <v>2007.81</v>
      </c>
      <c r="I104" s="685">
        <f t="shared" si="18"/>
        <v>0</v>
      </c>
      <c r="J104" s="641"/>
      <c r="K104" s="536"/>
      <c r="L104" s="694"/>
      <c r="M104" s="536"/>
      <c r="N104" s="1042"/>
      <c r="O104" s="974" t="s">
        <v>339</v>
      </c>
      <c r="P104" s="1102" t="s">
        <v>341</v>
      </c>
      <c r="Q104" s="842">
        <v>110429.55</v>
      </c>
      <c r="R104" s="535" t="s">
        <v>340</v>
      </c>
      <c r="S104" s="65">
        <f t="shared" si="15"/>
        <v>110429.55</v>
      </c>
      <c r="T104" s="181">
        <f t="shared" ref="T104:T112" si="19">S104/H104</f>
        <v>55</v>
      </c>
    </row>
    <row r="105" spans="1:20" s="157" customFormat="1" ht="27.75" customHeight="1" x14ac:dyDescent="0.25">
      <c r="A105" s="100">
        <v>67</v>
      </c>
      <c r="B105" s="1036" t="s">
        <v>220</v>
      </c>
      <c r="C105" s="512" t="s">
        <v>318</v>
      </c>
      <c r="D105" s="512"/>
      <c r="E105" s="967">
        <v>44711</v>
      </c>
      <c r="F105" s="942">
        <v>1005.44</v>
      </c>
      <c r="G105" s="1087">
        <v>63</v>
      </c>
      <c r="H105" s="942">
        <v>1005.44</v>
      </c>
      <c r="I105" s="685">
        <f t="shared" si="18"/>
        <v>0</v>
      </c>
      <c r="J105" s="641"/>
      <c r="K105" s="536"/>
      <c r="L105" s="694"/>
      <c r="M105" s="536"/>
      <c r="N105" s="1042"/>
      <c r="O105" s="1041" t="s">
        <v>347</v>
      </c>
      <c r="P105" s="536"/>
      <c r="Q105" s="842">
        <v>146794.23999999999</v>
      </c>
      <c r="R105" s="983" t="s">
        <v>346</v>
      </c>
      <c r="S105" s="65">
        <f t="shared" si="15"/>
        <v>146794.23999999999</v>
      </c>
      <c r="T105" s="181">
        <f t="shared" si="19"/>
        <v>145.99999999999997</v>
      </c>
    </row>
    <row r="106" spans="1:20" s="157" customFormat="1" ht="34.5" customHeight="1" thickBot="1" x14ac:dyDescent="0.3">
      <c r="A106" s="1122">
        <v>68</v>
      </c>
      <c r="B106" s="1123" t="s">
        <v>316</v>
      </c>
      <c r="C106" s="1129" t="s">
        <v>319</v>
      </c>
      <c r="D106" s="1129"/>
      <c r="E106" s="966">
        <v>44712</v>
      </c>
      <c r="F106" s="942">
        <v>2060</v>
      </c>
      <c r="G106" s="1087">
        <v>2</v>
      </c>
      <c r="H106" s="942">
        <v>2060</v>
      </c>
      <c r="I106" s="759">
        <f t="shared" si="18"/>
        <v>0</v>
      </c>
      <c r="J106" s="641"/>
      <c r="K106" s="536"/>
      <c r="L106" s="562"/>
      <c r="M106" s="536"/>
      <c r="N106" s="536"/>
      <c r="O106" s="1093">
        <v>133950</v>
      </c>
      <c r="P106" s="1124" t="s">
        <v>341</v>
      </c>
      <c r="Q106" s="842">
        <v>117420</v>
      </c>
      <c r="R106" s="535" t="s">
        <v>391</v>
      </c>
      <c r="S106" s="65">
        <f t="shared" si="15"/>
        <v>117420</v>
      </c>
      <c r="T106" s="181">
        <f t="shared" si="19"/>
        <v>57</v>
      </c>
    </row>
    <row r="107" spans="1:20" s="157" customFormat="1" ht="28.5" customHeight="1" thickTop="1" x14ac:dyDescent="0.25">
      <c r="A107" s="100">
        <v>69</v>
      </c>
      <c r="B107" s="1217" t="s">
        <v>310</v>
      </c>
      <c r="C107" s="1094" t="s">
        <v>100</v>
      </c>
      <c r="D107" s="512"/>
      <c r="E107" s="966">
        <v>44714</v>
      </c>
      <c r="F107" s="942">
        <v>3067.48</v>
      </c>
      <c r="G107" s="1087">
        <v>105</v>
      </c>
      <c r="H107" s="942">
        <v>3067.48</v>
      </c>
      <c r="I107" s="711">
        <f t="shared" si="18"/>
        <v>0</v>
      </c>
      <c r="J107" s="641"/>
      <c r="K107" s="536"/>
      <c r="L107" s="562"/>
      <c r="M107" s="536"/>
      <c r="N107" s="795"/>
      <c r="O107" s="1239">
        <v>18087</v>
      </c>
      <c r="P107" s="1118"/>
      <c r="Q107" s="838">
        <v>214723.6</v>
      </c>
      <c r="R107" s="1214" t="s">
        <v>395</v>
      </c>
      <c r="S107" s="65">
        <f t="shared" si="15"/>
        <v>214723.6</v>
      </c>
      <c r="T107" s="181">
        <f t="shared" si="19"/>
        <v>70</v>
      </c>
    </row>
    <row r="108" spans="1:20" s="157" customFormat="1" ht="31.5" customHeight="1" thickBot="1" x14ac:dyDescent="0.3">
      <c r="A108" s="100">
        <v>70</v>
      </c>
      <c r="B108" s="1218"/>
      <c r="C108" s="1094" t="s">
        <v>323</v>
      </c>
      <c r="D108" s="512"/>
      <c r="E108" s="966">
        <v>44714</v>
      </c>
      <c r="F108" s="942">
        <v>521.78</v>
      </c>
      <c r="G108" s="1087">
        <v>20</v>
      </c>
      <c r="H108" s="942">
        <v>521.78</v>
      </c>
      <c r="I108" s="275">
        <f t="shared" si="18"/>
        <v>0</v>
      </c>
      <c r="J108" s="641"/>
      <c r="K108" s="536"/>
      <c r="L108" s="562"/>
      <c r="M108" s="536"/>
      <c r="N108" s="795"/>
      <c r="O108" s="1240"/>
      <c r="P108" s="1118"/>
      <c r="Q108" s="838">
        <v>35481.040000000001</v>
      </c>
      <c r="R108" s="1216"/>
      <c r="S108" s="65">
        <f t="shared" si="15"/>
        <v>35481.040000000001</v>
      </c>
      <c r="T108" s="181">
        <f t="shared" si="19"/>
        <v>68</v>
      </c>
    </row>
    <row r="109" spans="1:20" s="157" customFormat="1" ht="29.25" thickTop="1" x14ac:dyDescent="0.25">
      <c r="A109" s="100">
        <v>71</v>
      </c>
      <c r="B109" s="1120" t="s">
        <v>316</v>
      </c>
      <c r="C109" s="1129" t="s">
        <v>319</v>
      </c>
      <c r="D109" s="1129"/>
      <c r="E109" s="966">
        <v>44714</v>
      </c>
      <c r="F109" s="942">
        <v>2060.5</v>
      </c>
      <c r="G109" s="1087">
        <v>2</v>
      </c>
      <c r="H109" s="942">
        <v>2060.5</v>
      </c>
      <c r="I109" s="275">
        <f t="shared" si="18"/>
        <v>0</v>
      </c>
      <c r="J109" s="641"/>
      <c r="K109" s="536"/>
      <c r="L109" s="562"/>
      <c r="M109" s="536"/>
      <c r="N109" s="536"/>
      <c r="O109" s="1135">
        <v>133999</v>
      </c>
      <c r="P109" s="1121" t="s">
        <v>341</v>
      </c>
      <c r="Q109" s="838">
        <v>117448.5</v>
      </c>
      <c r="R109" s="1016" t="s">
        <v>392</v>
      </c>
      <c r="S109" s="65">
        <f t="shared" si="15"/>
        <v>117448.5</v>
      </c>
      <c r="T109" s="181">
        <f t="shared" si="19"/>
        <v>57</v>
      </c>
    </row>
    <row r="110" spans="1:20" s="157" customFormat="1" ht="35.25" customHeight="1" x14ac:dyDescent="0.25">
      <c r="A110" s="100">
        <v>72</v>
      </c>
      <c r="B110" s="1125" t="s">
        <v>316</v>
      </c>
      <c r="C110" s="1129" t="s">
        <v>319</v>
      </c>
      <c r="D110" s="1129"/>
      <c r="E110" s="966">
        <v>44714</v>
      </c>
      <c r="F110" s="942">
        <v>2005.5</v>
      </c>
      <c r="G110" s="1087">
        <v>2</v>
      </c>
      <c r="H110" s="942">
        <v>2005.5</v>
      </c>
      <c r="I110" s="275">
        <f t="shared" ref="I110:I113" si="20">H110-F110</f>
        <v>0</v>
      </c>
      <c r="J110" s="641"/>
      <c r="K110" s="536"/>
      <c r="L110" s="562"/>
      <c r="M110" s="536"/>
      <c r="N110" s="536"/>
      <c r="O110" s="1041">
        <v>133998</v>
      </c>
      <c r="P110" s="1126" t="s">
        <v>341</v>
      </c>
      <c r="Q110" s="838">
        <v>114313.5</v>
      </c>
      <c r="R110" s="1016" t="s">
        <v>390</v>
      </c>
      <c r="S110" s="65">
        <f t="shared" si="15"/>
        <v>114313.5</v>
      </c>
      <c r="T110" s="181">
        <f t="shared" si="19"/>
        <v>57</v>
      </c>
    </row>
    <row r="111" spans="1:20" s="157" customFormat="1" ht="26.25" customHeight="1" thickBot="1" x14ac:dyDescent="0.35">
      <c r="A111" s="100">
        <v>73</v>
      </c>
      <c r="B111" s="708" t="s">
        <v>220</v>
      </c>
      <c r="C111" s="512" t="s">
        <v>356</v>
      </c>
      <c r="D111" s="512"/>
      <c r="E111" s="966">
        <v>44718</v>
      </c>
      <c r="F111" s="942">
        <v>500</v>
      </c>
      <c r="G111" s="1087">
        <v>50</v>
      </c>
      <c r="H111" s="942">
        <v>500</v>
      </c>
      <c r="I111" s="434">
        <f t="shared" si="20"/>
        <v>0</v>
      </c>
      <c r="J111" s="642"/>
      <c r="K111" s="536"/>
      <c r="L111" s="562"/>
      <c r="M111" s="536"/>
      <c r="N111" s="536"/>
      <c r="O111" s="1149" t="s">
        <v>440</v>
      </c>
      <c r="P111" s="677"/>
      <c r="Q111" s="838">
        <v>41000</v>
      </c>
      <c r="R111" s="1133" t="s">
        <v>439</v>
      </c>
      <c r="S111" s="714">
        <f t="shared" si="15"/>
        <v>41000</v>
      </c>
      <c r="T111" s="181">
        <f t="shared" si="19"/>
        <v>82</v>
      </c>
    </row>
    <row r="112" spans="1:20" s="157" customFormat="1" ht="33" customHeight="1" x14ac:dyDescent="0.3">
      <c r="A112" s="100">
        <v>74</v>
      </c>
      <c r="B112" s="1203" t="s">
        <v>64</v>
      </c>
      <c r="C112" s="512" t="s">
        <v>371</v>
      </c>
      <c r="D112" s="512"/>
      <c r="E112" s="966">
        <v>44718</v>
      </c>
      <c r="F112" s="942">
        <v>4523.7</v>
      </c>
      <c r="G112" s="1087">
        <v>5</v>
      </c>
      <c r="H112" s="942">
        <v>4523.7</v>
      </c>
      <c r="I112" s="434">
        <f t="shared" si="20"/>
        <v>0</v>
      </c>
      <c r="J112" s="642"/>
      <c r="K112" s="536"/>
      <c r="L112" s="562"/>
      <c r="M112" s="536"/>
      <c r="N112" s="795"/>
      <c r="O112" s="1205" t="s">
        <v>373</v>
      </c>
      <c r="P112" s="1118"/>
      <c r="Q112" s="1132">
        <v>135711</v>
      </c>
      <c r="R112" s="1237" t="s">
        <v>394</v>
      </c>
      <c r="S112" s="714">
        <f t="shared" si="15"/>
        <v>135711</v>
      </c>
      <c r="T112" s="181">
        <f t="shared" si="19"/>
        <v>30</v>
      </c>
    </row>
    <row r="113" spans="1:20" s="157" customFormat="1" ht="19.5" thickBot="1" x14ac:dyDescent="0.35">
      <c r="A113" s="100">
        <v>75</v>
      </c>
      <c r="B113" s="1204"/>
      <c r="C113" s="512" t="s">
        <v>372</v>
      </c>
      <c r="D113" s="512"/>
      <c r="E113" s="966">
        <v>44718</v>
      </c>
      <c r="F113" s="942">
        <v>238.55</v>
      </c>
      <c r="G113" s="1087">
        <v>20</v>
      </c>
      <c r="H113" s="942">
        <v>238.55</v>
      </c>
      <c r="I113" s="434">
        <f t="shared" si="20"/>
        <v>0</v>
      </c>
      <c r="J113" s="642"/>
      <c r="K113" s="536"/>
      <c r="L113" s="562"/>
      <c r="M113" s="536"/>
      <c r="N113" s="795"/>
      <c r="O113" s="1206"/>
      <c r="P113" s="1118"/>
      <c r="Q113" s="1132">
        <v>21469.5</v>
      </c>
      <c r="R113" s="1238"/>
      <c r="S113" s="714">
        <f t="shared" ref="S113:S116" si="21">Q113+M113+K113</f>
        <v>21469.5</v>
      </c>
      <c r="T113" s="181">
        <f t="shared" ref="T113:T116" si="22">S113/H113</f>
        <v>90</v>
      </c>
    </row>
    <row r="114" spans="1:20" s="157" customFormat="1" ht="21.75" customHeight="1" x14ac:dyDescent="0.25">
      <c r="A114" s="100">
        <v>76</v>
      </c>
      <c r="B114" s="1199" t="s">
        <v>374</v>
      </c>
      <c r="C114" s="512" t="s">
        <v>43</v>
      </c>
      <c r="D114" s="512"/>
      <c r="E114" s="1209">
        <v>44719</v>
      </c>
      <c r="F114" s="942">
        <v>1003.34</v>
      </c>
      <c r="G114" s="1087">
        <v>221</v>
      </c>
      <c r="H114" s="942">
        <v>1003.34</v>
      </c>
      <c r="I114" s="105">
        <f t="shared" ref="I114:I186" si="23">H114-F114</f>
        <v>0</v>
      </c>
      <c r="J114" s="641"/>
      <c r="K114" s="536"/>
      <c r="L114" s="562"/>
      <c r="M114" s="536"/>
      <c r="N114" s="536"/>
      <c r="O114" s="1212" t="s">
        <v>377</v>
      </c>
      <c r="P114" s="857"/>
      <c r="Q114" s="1132">
        <v>54180.36</v>
      </c>
      <c r="R114" s="1234" t="s">
        <v>340</v>
      </c>
      <c r="S114" s="714">
        <f t="shared" si="21"/>
        <v>54180.36</v>
      </c>
      <c r="T114" s="181">
        <f t="shared" si="22"/>
        <v>54</v>
      </c>
    </row>
    <row r="115" spans="1:20" s="157" customFormat="1" ht="26.25" customHeight="1" x14ac:dyDescent="0.25">
      <c r="A115" s="100">
        <v>77</v>
      </c>
      <c r="B115" s="1200"/>
      <c r="C115" s="512" t="s">
        <v>375</v>
      </c>
      <c r="D115" s="512"/>
      <c r="E115" s="1210"/>
      <c r="F115" s="942">
        <v>150</v>
      </c>
      <c r="G115" s="1087">
        <v>15</v>
      </c>
      <c r="H115" s="942">
        <v>150</v>
      </c>
      <c r="I115" s="105">
        <f t="shared" si="23"/>
        <v>0</v>
      </c>
      <c r="J115" s="641"/>
      <c r="K115" s="536"/>
      <c r="L115" s="562"/>
      <c r="M115" s="536"/>
      <c r="N115" s="536"/>
      <c r="O115" s="1212"/>
      <c r="P115" s="677"/>
      <c r="Q115" s="1132">
        <v>15750</v>
      </c>
      <c r="R115" s="1235"/>
      <c r="S115" s="714">
        <f t="shared" si="21"/>
        <v>15750</v>
      </c>
      <c r="T115" s="181">
        <f t="shared" si="22"/>
        <v>105</v>
      </c>
    </row>
    <row r="116" spans="1:20" s="157" customFormat="1" ht="21.75" customHeight="1" thickBot="1" x14ac:dyDescent="0.3">
      <c r="A116" s="100">
        <v>78</v>
      </c>
      <c r="B116" s="1201"/>
      <c r="C116" s="512" t="s">
        <v>376</v>
      </c>
      <c r="D116" s="512"/>
      <c r="E116" s="1211"/>
      <c r="F116" s="942">
        <v>190</v>
      </c>
      <c r="G116" s="1087">
        <v>19</v>
      </c>
      <c r="H116" s="942">
        <v>190</v>
      </c>
      <c r="I116" s="105">
        <f t="shared" si="23"/>
        <v>0</v>
      </c>
      <c r="J116" s="641"/>
      <c r="K116" s="536"/>
      <c r="L116" s="562"/>
      <c r="M116" s="536"/>
      <c r="N116" s="536"/>
      <c r="O116" s="1213"/>
      <c r="P116" s="857"/>
      <c r="Q116" s="1132">
        <v>16150</v>
      </c>
      <c r="R116" s="1236"/>
      <c r="S116" s="714">
        <f t="shared" si="21"/>
        <v>16150</v>
      </c>
      <c r="T116" s="181">
        <f t="shared" si="22"/>
        <v>85</v>
      </c>
    </row>
    <row r="117" spans="1:20" s="157" customFormat="1" ht="43.5" thickTop="1" x14ac:dyDescent="0.25">
      <c r="A117" s="100">
        <v>79</v>
      </c>
      <c r="B117" s="708" t="s">
        <v>403</v>
      </c>
      <c r="C117" s="512" t="s">
        <v>311</v>
      </c>
      <c r="D117" s="512"/>
      <c r="E117" s="966">
        <v>44720</v>
      </c>
      <c r="F117" s="942">
        <v>1304.69</v>
      </c>
      <c r="G117" s="1087">
        <v>52</v>
      </c>
      <c r="H117" s="942">
        <v>1304.69</v>
      </c>
      <c r="I117" s="105">
        <f t="shared" si="23"/>
        <v>0</v>
      </c>
      <c r="J117" s="643"/>
      <c r="K117" s="536"/>
      <c r="L117" s="562"/>
      <c r="M117" s="536"/>
      <c r="N117" s="562"/>
      <c r="O117" s="1041">
        <v>18109</v>
      </c>
      <c r="P117" s="677"/>
      <c r="Q117" s="838">
        <v>75672.02</v>
      </c>
      <c r="R117" s="1134" t="s">
        <v>442</v>
      </c>
      <c r="S117" s="65">
        <f t="shared" si="15"/>
        <v>75672.02</v>
      </c>
      <c r="T117" s="65">
        <f t="shared" ref="T117:T129" si="24">S117/H117</f>
        <v>58</v>
      </c>
    </row>
    <row r="118" spans="1:20" s="157" customFormat="1" ht="36" customHeight="1" thickBot="1" x14ac:dyDescent="0.35">
      <c r="A118" s="100">
        <v>80</v>
      </c>
      <c r="B118" s="1125" t="s">
        <v>361</v>
      </c>
      <c r="C118" s="1150" t="s">
        <v>378</v>
      </c>
      <c r="D118" s="1150"/>
      <c r="E118" s="966">
        <v>44723</v>
      </c>
      <c r="F118" s="942">
        <v>18209.29</v>
      </c>
      <c r="G118" s="1087">
        <v>21</v>
      </c>
      <c r="H118" s="942">
        <v>18680.490000000002</v>
      </c>
      <c r="I118" s="105">
        <f t="shared" si="23"/>
        <v>471.20000000000073</v>
      </c>
      <c r="J118" s="1116" t="s">
        <v>379</v>
      </c>
      <c r="K118" s="536"/>
      <c r="L118" s="562"/>
      <c r="M118" s="536"/>
      <c r="N118" s="562"/>
      <c r="O118" s="1119" t="s">
        <v>379</v>
      </c>
      <c r="P118" s="677"/>
      <c r="Q118" s="838"/>
      <c r="R118" s="1133"/>
      <c r="S118" s="65">
        <f t="shared" si="15"/>
        <v>0</v>
      </c>
      <c r="T118" s="65">
        <f t="shared" si="24"/>
        <v>0</v>
      </c>
    </row>
    <row r="119" spans="1:20" s="157" customFormat="1" ht="23.25" customHeight="1" x14ac:dyDescent="0.25">
      <c r="A119" s="100">
        <v>81</v>
      </c>
      <c r="B119" s="1203" t="s">
        <v>67</v>
      </c>
      <c r="C119" s="512" t="s">
        <v>383</v>
      </c>
      <c r="D119" s="512"/>
      <c r="E119" s="966">
        <v>44727</v>
      </c>
      <c r="F119" s="942">
        <v>1001.32</v>
      </c>
      <c r="G119" s="1087">
        <v>86</v>
      </c>
      <c r="H119" s="942">
        <v>1001.32</v>
      </c>
      <c r="I119" s="105">
        <f t="shared" si="23"/>
        <v>0</v>
      </c>
      <c r="J119" s="643"/>
      <c r="K119" s="536"/>
      <c r="L119" s="562"/>
      <c r="M119" s="536"/>
      <c r="N119" s="1117"/>
      <c r="O119" s="1205" t="s">
        <v>384</v>
      </c>
      <c r="P119" s="1118"/>
      <c r="Q119" s="1132">
        <v>90369.13</v>
      </c>
      <c r="R119" s="1232" t="s">
        <v>438</v>
      </c>
      <c r="S119" s="65">
        <f t="shared" si="15"/>
        <v>90369.13</v>
      </c>
      <c r="T119" s="65">
        <f t="shared" si="24"/>
        <v>90.25</v>
      </c>
    </row>
    <row r="120" spans="1:20" s="157" customFormat="1" ht="25.5" customHeight="1" thickBot="1" x14ac:dyDescent="0.3">
      <c r="A120" s="100">
        <v>82</v>
      </c>
      <c r="B120" s="1204"/>
      <c r="C120" s="512" t="s">
        <v>65</v>
      </c>
      <c r="D120" s="512"/>
      <c r="E120" s="966">
        <v>44727</v>
      </c>
      <c r="F120" s="942">
        <v>501.36</v>
      </c>
      <c r="G120" s="1087">
        <v>42</v>
      </c>
      <c r="H120" s="942">
        <v>501.36</v>
      </c>
      <c r="I120" s="105">
        <f t="shared" si="23"/>
        <v>0</v>
      </c>
      <c r="J120" s="643"/>
      <c r="K120" s="536"/>
      <c r="L120" s="562"/>
      <c r="M120" s="536"/>
      <c r="N120" s="1117"/>
      <c r="O120" s="1206"/>
      <c r="P120" s="1118"/>
      <c r="Q120" s="1132">
        <v>45122.400000000001</v>
      </c>
      <c r="R120" s="1233"/>
      <c r="S120" s="65">
        <f t="shared" si="15"/>
        <v>45122.400000000001</v>
      </c>
      <c r="T120" s="65">
        <f t="shared" si="24"/>
        <v>90</v>
      </c>
    </row>
    <row r="121" spans="1:20" s="157" customFormat="1" ht="26.25" customHeight="1" x14ac:dyDescent="0.25">
      <c r="A121" s="100">
        <v>83</v>
      </c>
      <c r="B121" s="1199" t="s">
        <v>310</v>
      </c>
      <c r="C121" s="512" t="s">
        <v>100</v>
      </c>
      <c r="D121" s="512"/>
      <c r="E121" s="966">
        <v>44729</v>
      </c>
      <c r="F121" s="942">
        <v>1501.45</v>
      </c>
      <c r="G121" s="1087">
        <v>54</v>
      </c>
      <c r="H121" s="942">
        <v>1501.45</v>
      </c>
      <c r="I121" s="105">
        <f t="shared" si="23"/>
        <v>0</v>
      </c>
      <c r="J121" s="643"/>
      <c r="K121" s="536"/>
      <c r="L121" s="562"/>
      <c r="M121" s="536"/>
      <c r="N121" s="1117"/>
      <c r="O121" s="1207">
        <v>18150</v>
      </c>
      <c r="P121" s="1118"/>
      <c r="Q121" s="838">
        <v>108104.4</v>
      </c>
      <c r="R121" s="1230" t="s">
        <v>463</v>
      </c>
      <c r="S121" s="65">
        <f t="shared" ref="S121:S125" si="25">Q121+M121+K121</f>
        <v>108104.4</v>
      </c>
      <c r="T121" s="65">
        <f t="shared" ref="T121:T125" si="26">S121/H121</f>
        <v>72</v>
      </c>
    </row>
    <row r="122" spans="1:20" s="157" customFormat="1" ht="18.75" customHeight="1" thickBot="1" x14ac:dyDescent="0.3">
      <c r="A122" s="100">
        <v>84</v>
      </c>
      <c r="B122" s="1201"/>
      <c r="C122" s="512" t="s">
        <v>389</v>
      </c>
      <c r="D122" s="512"/>
      <c r="E122" s="966">
        <v>44729</v>
      </c>
      <c r="F122" s="942">
        <v>1006.3</v>
      </c>
      <c r="G122" s="1087">
        <v>35</v>
      </c>
      <c r="H122" s="942">
        <v>1006.3</v>
      </c>
      <c r="I122" s="105">
        <f t="shared" si="23"/>
        <v>0</v>
      </c>
      <c r="J122" s="643"/>
      <c r="K122" s="536"/>
      <c r="L122" s="562"/>
      <c r="M122" s="536"/>
      <c r="N122" s="1117"/>
      <c r="O122" s="1208"/>
      <c r="P122" s="1091"/>
      <c r="Q122" s="842">
        <v>32201.599999999999</v>
      </c>
      <c r="R122" s="1231"/>
      <c r="S122" s="65">
        <f t="shared" si="25"/>
        <v>32201.599999999999</v>
      </c>
      <c r="T122" s="65">
        <f t="shared" si="26"/>
        <v>32</v>
      </c>
    </row>
    <row r="123" spans="1:20" s="157" customFormat="1" ht="24.75" customHeight="1" x14ac:dyDescent="0.25">
      <c r="A123" s="100">
        <v>85</v>
      </c>
      <c r="B123" s="708" t="s">
        <v>397</v>
      </c>
      <c r="C123" s="512" t="s">
        <v>398</v>
      </c>
      <c r="D123" s="512"/>
      <c r="E123" s="966">
        <v>44728</v>
      </c>
      <c r="F123" s="942">
        <v>1345.6</v>
      </c>
      <c r="G123" s="1087"/>
      <c r="H123" s="942">
        <v>1345.6</v>
      </c>
      <c r="I123" s="105">
        <f t="shared" si="23"/>
        <v>0</v>
      </c>
      <c r="J123" s="643"/>
      <c r="K123" s="536"/>
      <c r="L123" s="562"/>
      <c r="M123" s="536"/>
      <c r="N123" s="562"/>
      <c r="O123" s="1127" t="s">
        <v>399</v>
      </c>
      <c r="P123" s="537"/>
      <c r="Q123" s="842">
        <v>94192</v>
      </c>
      <c r="R123" s="973" t="s">
        <v>400</v>
      </c>
      <c r="S123" s="65">
        <f t="shared" si="25"/>
        <v>94192</v>
      </c>
      <c r="T123" s="65">
        <f t="shared" si="26"/>
        <v>70</v>
      </c>
    </row>
    <row r="124" spans="1:20" s="157" customFormat="1" ht="28.5" x14ac:dyDescent="0.25">
      <c r="A124" s="100">
        <v>86</v>
      </c>
      <c r="B124" s="1148" t="s">
        <v>374</v>
      </c>
      <c r="C124" s="512" t="s">
        <v>43</v>
      </c>
      <c r="D124" s="512"/>
      <c r="E124" s="966">
        <v>44732</v>
      </c>
      <c r="F124" s="942">
        <v>2002.14</v>
      </c>
      <c r="G124" s="1087">
        <v>441</v>
      </c>
      <c r="H124" s="942">
        <v>2002.14</v>
      </c>
      <c r="I124" s="105">
        <f t="shared" si="23"/>
        <v>0</v>
      </c>
      <c r="J124" s="643"/>
      <c r="K124" s="536"/>
      <c r="L124" s="562"/>
      <c r="M124" s="536"/>
      <c r="N124" s="562"/>
      <c r="O124" s="857" t="s">
        <v>427</v>
      </c>
      <c r="P124" s="978"/>
      <c r="Q124" s="842">
        <v>104111.28</v>
      </c>
      <c r="R124" s="535" t="s">
        <v>400</v>
      </c>
      <c r="S124" s="65">
        <f t="shared" si="25"/>
        <v>104111.28</v>
      </c>
      <c r="T124" s="65">
        <f t="shared" si="26"/>
        <v>52</v>
      </c>
    </row>
    <row r="125" spans="1:20" s="157" customFormat="1" ht="29.25" customHeight="1" x14ac:dyDescent="0.25">
      <c r="A125" s="100">
        <v>88</v>
      </c>
      <c r="B125" s="1138" t="s">
        <v>409</v>
      </c>
      <c r="C125" s="1137" t="s">
        <v>410</v>
      </c>
      <c r="D125" s="1145" t="s">
        <v>417</v>
      </c>
      <c r="E125" s="952">
        <v>44734</v>
      </c>
      <c r="F125" s="942">
        <v>3828.1</v>
      </c>
      <c r="G125" s="1087">
        <v>20</v>
      </c>
      <c r="H125" s="942">
        <v>3804.4</v>
      </c>
      <c r="I125" s="105">
        <f t="shared" si="23"/>
        <v>-23.699999999999818</v>
      </c>
      <c r="J125" s="643"/>
      <c r="K125" s="536"/>
      <c r="L125" s="562"/>
      <c r="M125" s="536"/>
      <c r="N125" s="562"/>
      <c r="O125" s="1136" t="s">
        <v>411</v>
      </c>
      <c r="P125" s="978"/>
      <c r="Q125" s="842">
        <f>200000+167497.6</f>
        <v>367497.6</v>
      </c>
      <c r="R125" s="973" t="s">
        <v>396</v>
      </c>
      <c r="S125" s="65">
        <f t="shared" si="25"/>
        <v>367497.6</v>
      </c>
      <c r="T125" s="65">
        <f t="shared" si="26"/>
        <v>96.598044369677211</v>
      </c>
    </row>
    <row r="126" spans="1:20" s="157" customFormat="1" ht="18.75" customHeight="1" x14ac:dyDescent="0.25">
      <c r="A126" s="100">
        <v>89</v>
      </c>
      <c r="B126" s="1199" t="s">
        <v>403</v>
      </c>
      <c r="C126" s="512" t="s">
        <v>311</v>
      </c>
      <c r="D126" s="512"/>
      <c r="E126" s="1191">
        <v>44734</v>
      </c>
      <c r="F126" s="942">
        <v>2397.7399999999998</v>
      </c>
      <c r="G126" s="1087">
        <v>98</v>
      </c>
      <c r="H126" s="942">
        <v>2397.7399999999998</v>
      </c>
      <c r="I126" s="105">
        <f t="shared" si="23"/>
        <v>0</v>
      </c>
      <c r="J126" s="643"/>
      <c r="K126" s="536"/>
      <c r="L126" s="562"/>
      <c r="M126" s="536"/>
      <c r="N126" s="562"/>
      <c r="O126" s="976"/>
      <c r="P126" s="537"/>
      <c r="Q126" s="842"/>
      <c r="R126" s="973"/>
      <c r="S126" s="65">
        <f t="shared" si="15"/>
        <v>0</v>
      </c>
      <c r="T126" s="65">
        <f t="shared" si="24"/>
        <v>0</v>
      </c>
    </row>
    <row r="127" spans="1:20" s="157" customFormat="1" ht="18.75" customHeight="1" x14ac:dyDescent="0.25">
      <c r="A127" s="100">
        <v>90</v>
      </c>
      <c r="B127" s="1200"/>
      <c r="C127" s="512" t="s">
        <v>100</v>
      </c>
      <c r="D127" s="512"/>
      <c r="E127" s="1192"/>
      <c r="F127" s="942">
        <v>333.52</v>
      </c>
      <c r="G127" s="1087">
        <v>13</v>
      </c>
      <c r="H127" s="942">
        <v>333.52</v>
      </c>
      <c r="I127" s="105">
        <f t="shared" si="23"/>
        <v>0</v>
      </c>
      <c r="J127" s="643"/>
      <c r="K127" s="536"/>
      <c r="L127" s="562"/>
      <c r="M127" s="536"/>
      <c r="N127" s="562"/>
      <c r="O127" s="976"/>
      <c r="P127" s="537"/>
      <c r="Q127" s="842"/>
      <c r="R127" s="973"/>
      <c r="S127" s="65">
        <f t="shared" si="15"/>
        <v>0</v>
      </c>
      <c r="T127" s="65">
        <f t="shared" si="24"/>
        <v>0</v>
      </c>
    </row>
    <row r="128" spans="1:20" s="157" customFormat="1" ht="18.75" customHeight="1" x14ac:dyDescent="0.25">
      <c r="A128" s="100">
        <v>91</v>
      </c>
      <c r="B128" s="1200"/>
      <c r="C128" s="512" t="s">
        <v>416</v>
      </c>
      <c r="D128" s="512"/>
      <c r="E128" s="1192"/>
      <c r="F128" s="942">
        <v>272.27999999999997</v>
      </c>
      <c r="G128" s="1087">
        <v>11</v>
      </c>
      <c r="H128" s="942">
        <v>272.27999999999997</v>
      </c>
      <c r="I128" s="105">
        <f t="shared" si="23"/>
        <v>0</v>
      </c>
      <c r="J128" s="643"/>
      <c r="K128" s="536"/>
      <c r="L128" s="562"/>
      <c r="M128" s="536"/>
      <c r="N128" s="1043"/>
      <c r="O128" s="976"/>
      <c r="P128" s="537"/>
      <c r="Q128" s="842"/>
      <c r="R128" s="973"/>
      <c r="S128" s="65">
        <f t="shared" si="15"/>
        <v>0</v>
      </c>
      <c r="T128" s="65">
        <f t="shared" si="24"/>
        <v>0</v>
      </c>
    </row>
    <row r="129" spans="1:20" s="157" customFormat="1" ht="19.5" customHeight="1" x14ac:dyDescent="0.25">
      <c r="A129" s="100">
        <v>92</v>
      </c>
      <c r="B129" s="1200"/>
      <c r="C129" s="512" t="s">
        <v>83</v>
      </c>
      <c r="D129" s="512"/>
      <c r="E129" s="1192"/>
      <c r="F129" s="942">
        <v>2026.96</v>
      </c>
      <c r="G129" s="1087">
        <v>73</v>
      </c>
      <c r="H129" s="942">
        <v>2026.96</v>
      </c>
      <c r="I129" s="105">
        <f t="shared" si="23"/>
        <v>0</v>
      </c>
      <c r="J129" s="654"/>
      <c r="K129" s="536"/>
      <c r="L129" s="562"/>
      <c r="M129" s="536"/>
      <c r="N129" s="1044"/>
      <c r="O129" s="976"/>
      <c r="P129" s="537"/>
      <c r="Q129" s="842"/>
      <c r="R129" s="975"/>
      <c r="S129" s="65">
        <f t="shared" si="15"/>
        <v>0</v>
      </c>
      <c r="T129" s="65">
        <f t="shared" si="24"/>
        <v>0</v>
      </c>
    </row>
    <row r="130" spans="1:20" s="157" customFormat="1" ht="19.5" customHeight="1" x14ac:dyDescent="0.25">
      <c r="A130" s="100">
        <v>93</v>
      </c>
      <c r="B130" s="1201"/>
      <c r="C130" s="512" t="s">
        <v>389</v>
      </c>
      <c r="D130" s="512"/>
      <c r="E130" s="1202"/>
      <c r="F130" s="942">
        <v>2938.76</v>
      </c>
      <c r="G130" s="1087">
        <v>103</v>
      </c>
      <c r="H130" s="942">
        <v>2938.76</v>
      </c>
      <c r="I130" s="105">
        <f t="shared" si="23"/>
        <v>0</v>
      </c>
      <c r="J130" s="654"/>
      <c r="K130" s="536"/>
      <c r="L130" s="562"/>
      <c r="M130" s="536"/>
      <c r="N130" s="1045"/>
      <c r="O130" s="976"/>
      <c r="P130" s="978"/>
      <c r="Q130" s="842"/>
      <c r="R130" s="975"/>
      <c r="S130" s="65">
        <f t="shared" si="15"/>
        <v>0</v>
      </c>
      <c r="T130" s="65">
        <f>S130/H130</f>
        <v>0</v>
      </c>
    </row>
    <row r="131" spans="1:20" s="157" customFormat="1" ht="42.75" x14ac:dyDescent="0.25">
      <c r="A131" s="100">
        <v>94</v>
      </c>
      <c r="B131" s="708" t="s">
        <v>403</v>
      </c>
      <c r="C131" s="512" t="s">
        <v>433</v>
      </c>
      <c r="D131" s="512"/>
      <c r="E131" s="952">
        <v>44735</v>
      </c>
      <c r="F131" s="942">
        <v>490.73</v>
      </c>
      <c r="G131" s="1087">
        <v>20</v>
      </c>
      <c r="H131" s="942">
        <v>490.73</v>
      </c>
      <c r="I131" s="275">
        <f t="shared" si="23"/>
        <v>0</v>
      </c>
      <c r="J131" s="501"/>
      <c r="K131" s="536"/>
      <c r="L131" s="562"/>
      <c r="M131" s="536"/>
      <c r="N131" s="1037"/>
      <c r="O131" s="974"/>
      <c r="P131" s="1038"/>
      <c r="Q131" s="1039"/>
      <c r="R131" s="1040"/>
      <c r="S131" s="65">
        <f t="shared" si="15"/>
        <v>0</v>
      </c>
      <c r="T131" s="65">
        <f t="shared" ref="T131" si="27">S131/H131</f>
        <v>0</v>
      </c>
    </row>
    <row r="132" spans="1:20" s="157" customFormat="1" ht="32.25" customHeight="1" x14ac:dyDescent="0.25">
      <c r="A132" s="100">
        <v>95</v>
      </c>
      <c r="B132" s="708" t="s">
        <v>284</v>
      </c>
      <c r="C132" s="512" t="s">
        <v>434</v>
      </c>
      <c r="D132" s="512"/>
      <c r="E132" s="952">
        <v>44735</v>
      </c>
      <c r="F132" s="942">
        <v>5005.3900000000003</v>
      </c>
      <c r="G132" s="1087">
        <v>193</v>
      </c>
      <c r="H132" s="942">
        <v>5005.3900000000003</v>
      </c>
      <c r="I132" s="275">
        <f t="shared" si="23"/>
        <v>0</v>
      </c>
      <c r="J132" s="501"/>
      <c r="K132" s="536"/>
      <c r="L132" s="562"/>
      <c r="M132" s="536"/>
      <c r="N132" s="693"/>
      <c r="O132" s="976"/>
      <c r="P132" s="537"/>
      <c r="Q132" s="842"/>
      <c r="R132" s="973"/>
      <c r="S132" s="65">
        <f t="shared" ref="S132:S138" si="28">Q132+M132+K132</f>
        <v>0</v>
      </c>
      <c r="T132" s="65">
        <f t="shared" ref="T132:T138" si="29">S132/H132</f>
        <v>0</v>
      </c>
    </row>
    <row r="133" spans="1:20" s="157" customFormat="1" ht="19.5" customHeight="1" x14ac:dyDescent="0.25">
      <c r="A133" s="100">
        <v>96</v>
      </c>
      <c r="B133" s="512" t="s">
        <v>220</v>
      </c>
      <c r="C133" s="512" t="s">
        <v>426</v>
      </c>
      <c r="D133" s="512"/>
      <c r="E133" s="952">
        <v>44737</v>
      </c>
      <c r="F133" s="942">
        <v>4465.1400000000003</v>
      </c>
      <c r="G133" s="1087">
        <v>5</v>
      </c>
      <c r="H133" s="942">
        <v>4465.1400000000003</v>
      </c>
      <c r="I133" s="275">
        <f t="shared" si="23"/>
        <v>0</v>
      </c>
      <c r="J133" s="501"/>
      <c r="K133" s="536"/>
      <c r="L133" s="562"/>
      <c r="M133" s="745"/>
      <c r="N133" s="760"/>
      <c r="O133" s="976" t="s">
        <v>437</v>
      </c>
      <c r="P133" s="537"/>
      <c r="Q133" s="842"/>
      <c r="R133" s="973"/>
      <c r="S133" s="65">
        <f t="shared" si="28"/>
        <v>0</v>
      </c>
      <c r="T133" s="65">
        <f t="shared" si="29"/>
        <v>0</v>
      </c>
    </row>
    <row r="134" spans="1:20" s="157" customFormat="1" ht="19.5" customHeight="1" thickBot="1" x14ac:dyDescent="0.3">
      <c r="A134" s="100">
        <v>97</v>
      </c>
      <c r="B134" s="1159" t="s">
        <v>220</v>
      </c>
      <c r="C134" s="512" t="s">
        <v>318</v>
      </c>
      <c r="D134" s="512"/>
      <c r="E134" s="952">
        <v>44739</v>
      </c>
      <c r="F134" s="942">
        <v>2011.63</v>
      </c>
      <c r="G134" s="1087">
        <v>114</v>
      </c>
      <c r="H134" s="942">
        <v>2011.63</v>
      </c>
      <c r="I134" s="275">
        <f t="shared" si="23"/>
        <v>0</v>
      </c>
      <c r="J134" s="501"/>
      <c r="K134" s="536"/>
      <c r="L134" s="562"/>
      <c r="M134" s="536"/>
      <c r="N134" s="693"/>
      <c r="O134" s="976"/>
      <c r="P134" s="537"/>
      <c r="Q134" s="842"/>
      <c r="R134" s="973"/>
      <c r="S134" s="65">
        <f t="shared" si="28"/>
        <v>0</v>
      </c>
      <c r="T134" s="65">
        <f t="shared" si="29"/>
        <v>0</v>
      </c>
    </row>
    <row r="135" spans="1:20" s="157" customFormat="1" ht="19.5" customHeight="1" x14ac:dyDescent="0.25">
      <c r="A135" s="100">
        <v>98</v>
      </c>
      <c r="B135" s="1188" t="s">
        <v>457</v>
      </c>
      <c r="C135" s="1088" t="s">
        <v>83</v>
      </c>
      <c r="D135" s="512"/>
      <c r="E135" s="1191">
        <v>44740</v>
      </c>
      <c r="F135" s="942">
        <v>1810.96</v>
      </c>
      <c r="G135" s="1087">
        <v>63</v>
      </c>
      <c r="H135" s="942">
        <v>1810.96</v>
      </c>
      <c r="I135" s="275">
        <f t="shared" si="23"/>
        <v>0</v>
      </c>
      <c r="J135" s="501"/>
      <c r="K135" s="536"/>
      <c r="L135" s="562"/>
      <c r="M135" s="536"/>
      <c r="N135" s="693"/>
      <c r="O135" s="976"/>
      <c r="P135" s="537"/>
      <c r="Q135" s="842"/>
      <c r="R135" s="973"/>
      <c r="S135" s="65">
        <f t="shared" si="28"/>
        <v>0</v>
      </c>
      <c r="T135" s="65">
        <f t="shared" si="29"/>
        <v>0</v>
      </c>
    </row>
    <row r="136" spans="1:20" s="157" customFormat="1" ht="19.5" customHeight="1" x14ac:dyDescent="0.25">
      <c r="A136" s="100">
        <v>99</v>
      </c>
      <c r="B136" s="1189"/>
      <c r="C136" s="1089" t="s">
        <v>451</v>
      </c>
      <c r="D136" s="512"/>
      <c r="E136" s="1192"/>
      <c r="F136" s="942">
        <v>1020.22</v>
      </c>
      <c r="G136" s="1087">
        <v>36</v>
      </c>
      <c r="H136" s="935">
        <v>1020.22</v>
      </c>
      <c r="I136" s="275">
        <f t="shared" si="23"/>
        <v>0</v>
      </c>
      <c r="J136" s="641"/>
      <c r="K136" s="536"/>
      <c r="L136" s="562"/>
      <c r="M136" s="536"/>
      <c r="N136" s="795"/>
      <c r="O136" s="976"/>
      <c r="P136" s="536"/>
      <c r="Q136" s="842"/>
      <c r="R136" s="973"/>
      <c r="S136" s="65">
        <f t="shared" si="28"/>
        <v>0</v>
      </c>
      <c r="T136" s="65">
        <f t="shared" si="29"/>
        <v>0</v>
      </c>
    </row>
    <row r="137" spans="1:20" s="157" customFormat="1" ht="19.5" customHeight="1" thickBot="1" x14ac:dyDescent="0.3">
      <c r="A137" s="100">
        <v>100</v>
      </c>
      <c r="B137" s="1190"/>
      <c r="C137" s="1090" t="s">
        <v>389</v>
      </c>
      <c r="D137" s="512"/>
      <c r="E137" s="1192"/>
      <c r="F137" s="942">
        <v>436.33</v>
      </c>
      <c r="G137" s="1087">
        <v>15</v>
      </c>
      <c r="H137" s="935">
        <v>436.33</v>
      </c>
      <c r="I137" s="105">
        <f t="shared" si="23"/>
        <v>0</v>
      </c>
      <c r="J137" s="641"/>
      <c r="K137" s="536"/>
      <c r="L137" s="562"/>
      <c r="M137" s="536"/>
      <c r="N137" s="795"/>
      <c r="O137" s="1166"/>
      <c r="P137" s="536"/>
      <c r="Q137" s="842"/>
      <c r="R137" s="975"/>
      <c r="S137" s="65">
        <f t="shared" si="28"/>
        <v>0</v>
      </c>
      <c r="T137" s="65">
        <f t="shared" si="29"/>
        <v>0</v>
      </c>
    </row>
    <row r="138" spans="1:20" s="157" customFormat="1" ht="19.5" customHeight="1" x14ac:dyDescent="0.25">
      <c r="A138" s="100">
        <v>101</v>
      </c>
      <c r="B138" s="1193" t="s">
        <v>67</v>
      </c>
      <c r="C138" s="1094" t="s">
        <v>87</v>
      </c>
      <c r="D138" s="1162"/>
      <c r="E138" s="1195">
        <v>44740</v>
      </c>
      <c r="F138" s="1164">
        <v>516.39</v>
      </c>
      <c r="G138" s="1087">
        <v>27</v>
      </c>
      <c r="H138" s="935">
        <v>516.39</v>
      </c>
      <c r="I138" s="105">
        <f t="shared" si="23"/>
        <v>0</v>
      </c>
      <c r="J138" s="501"/>
      <c r="K138" s="536"/>
      <c r="L138" s="562"/>
      <c r="M138" s="536"/>
      <c r="N138" s="795"/>
      <c r="O138" s="1197" t="s">
        <v>458</v>
      </c>
      <c r="P138" s="1092"/>
      <c r="Q138" s="842"/>
      <c r="R138" s="973"/>
      <c r="S138" s="65">
        <f t="shared" si="28"/>
        <v>0</v>
      </c>
      <c r="T138" s="65">
        <f t="shared" si="29"/>
        <v>0</v>
      </c>
    </row>
    <row r="139" spans="1:20" s="157" customFormat="1" ht="16.5" customHeight="1" thickBot="1" x14ac:dyDescent="0.3">
      <c r="A139" s="100">
        <v>102</v>
      </c>
      <c r="B139" s="1194"/>
      <c r="C139" s="1160" t="s">
        <v>356</v>
      </c>
      <c r="D139" s="1163"/>
      <c r="E139" s="1196"/>
      <c r="F139" s="1165">
        <v>105.79</v>
      </c>
      <c r="G139" s="1096">
        <v>10</v>
      </c>
      <c r="H139" s="765">
        <v>105.79</v>
      </c>
      <c r="I139" s="105">
        <f t="shared" si="23"/>
        <v>0</v>
      </c>
      <c r="J139" s="512"/>
      <c r="K139" s="536"/>
      <c r="L139" s="562"/>
      <c r="M139" s="536"/>
      <c r="N139" s="795"/>
      <c r="O139" s="1198"/>
      <c r="P139" s="1092"/>
      <c r="Q139" s="977"/>
      <c r="R139" s="973"/>
      <c r="S139" s="65">
        <f t="shared" si="15"/>
        <v>0</v>
      </c>
      <c r="T139" s="65">
        <f t="shared" ref="T139" si="30">S139/H139</f>
        <v>0</v>
      </c>
    </row>
    <row r="140" spans="1:20" s="157" customFormat="1" ht="16.5" customHeight="1" x14ac:dyDescent="0.25">
      <c r="A140" s="100">
        <v>103</v>
      </c>
      <c r="B140" s="1161" t="s">
        <v>128</v>
      </c>
      <c r="C140" s="742" t="s">
        <v>462</v>
      </c>
      <c r="D140" s="758"/>
      <c r="E140" s="940">
        <v>44742</v>
      </c>
      <c r="F140" s="943">
        <v>18506.88</v>
      </c>
      <c r="G140" s="1096">
        <v>680</v>
      </c>
      <c r="H140" s="765">
        <v>18506.88</v>
      </c>
      <c r="I140" s="105">
        <f t="shared" si="23"/>
        <v>0</v>
      </c>
      <c r="J140" s="512"/>
      <c r="K140" s="536"/>
      <c r="L140" s="562"/>
      <c r="M140" s="536"/>
      <c r="N140" s="536" t="s">
        <v>112</v>
      </c>
      <c r="O140" s="1167"/>
      <c r="P140" s="536"/>
      <c r="Q140" s="920"/>
      <c r="R140" s="535"/>
      <c r="S140" s="65">
        <f t="shared" si="15"/>
        <v>0</v>
      </c>
      <c r="T140" s="65">
        <f t="shared" ref="T140" si="31">S140/H140</f>
        <v>0</v>
      </c>
    </row>
    <row r="141" spans="1:20" s="157" customFormat="1" ht="17.25" customHeight="1" x14ac:dyDescent="0.25">
      <c r="A141" s="100">
        <v>104</v>
      </c>
      <c r="B141" s="936"/>
      <c r="C141" s="742"/>
      <c r="D141" s="756"/>
      <c r="E141" s="757"/>
      <c r="F141" s="943"/>
      <c r="G141" s="1096"/>
      <c r="H141" s="765"/>
      <c r="I141" s="275">
        <f t="shared" si="23"/>
        <v>0</v>
      </c>
      <c r="J141" s="644"/>
      <c r="K141" s="645"/>
      <c r="L141" s="539"/>
      <c r="M141" s="645"/>
      <c r="N141" s="546"/>
      <c r="O141" s="747"/>
      <c r="P141" s="678"/>
      <c r="Q141" s="843"/>
      <c r="R141" s="535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7" customFormat="1" ht="16.5" customHeight="1" x14ac:dyDescent="0.25">
      <c r="A142" s="100">
        <v>105</v>
      </c>
      <c r="B142" s="936"/>
      <c r="C142" s="742"/>
      <c r="D142" s="756"/>
      <c r="E142" s="757"/>
      <c r="F142" s="943"/>
      <c r="G142" s="1096"/>
      <c r="H142" s="765"/>
      <c r="I142" s="275">
        <f t="shared" si="23"/>
        <v>0</v>
      </c>
      <c r="J142" s="644"/>
      <c r="K142" s="645"/>
      <c r="L142" s="539"/>
      <c r="M142" s="645"/>
      <c r="N142" s="546"/>
      <c r="O142" s="747"/>
      <c r="P142" s="715"/>
      <c r="Q142" s="843"/>
      <c r="R142" s="535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37"/>
      <c r="C143" s="938"/>
      <c r="D143" s="939"/>
      <c r="E143" s="940"/>
      <c r="F143" s="944"/>
      <c r="G143" s="1097"/>
      <c r="H143" s="941"/>
      <c r="I143" s="275">
        <f t="shared" si="23"/>
        <v>0</v>
      </c>
      <c r="J143" s="644"/>
      <c r="K143" s="645"/>
      <c r="L143" s="539"/>
      <c r="M143" s="645"/>
      <c r="N143" s="546"/>
      <c r="O143" s="747"/>
      <c r="P143" s="678"/>
      <c r="Q143" s="843"/>
      <c r="R143" s="535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44"/>
      <c r="C144" s="742"/>
      <c r="D144" s="743"/>
      <c r="E144" s="749"/>
      <c r="F144" s="945"/>
      <c r="G144" s="491"/>
      <c r="H144" s="766"/>
      <c r="I144" s="275">
        <f t="shared" si="23"/>
        <v>0</v>
      </c>
      <c r="J144" s="644"/>
      <c r="K144" s="645"/>
      <c r="L144" s="539"/>
      <c r="M144" s="645"/>
      <c r="N144" s="546"/>
      <c r="O144" s="747"/>
      <c r="P144" s="678"/>
      <c r="Q144" s="843"/>
      <c r="R144" s="535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08"/>
      <c r="C145" s="501"/>
      <c r="D145" s="520"/>
      <c r="E145" s="750"/>
      <c r="F145" s="521"/>
      <c r="G145" s="522"/>
      <c r="H145" s="767"/>
      <c r="I145" s="275">
        <f t="shared" si="23"/>
        <v>0</v>
      </c>
      <c r="J145" s="644"/>
      <c r="K145" s="645"/>
      <c r="L145" s="539"/>
      <c r="M145" s="645"/>
      <c r="N145" s="702"/>
      <c r="O145" s="746"/>
      <c r="P145" s="716"/>
      <c r="Q145" s="844"/>
      <c r="R145" s="717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4"/>
      <c r="C146" s="525"/>
      <c r="D146" s="520"/>
      <c r="E146" s="750"/>
      <c r="F146" s="521"/>
      <c r="G146" s="522"/>
      <c r="H146" s="767"/>
      <c r="I146" s="275">
        <f t="shared" si="23"/>
        <v>0</v>
      </c>
      <c r="J146" s="256"/>
      <c r="K146" s="239"/>
      <c r="L146" s="292"/>
      <c r="M146" s="238"/>
      <c r="N146" s="513"/>
      <c r="O146" s="718"/>
      <c r="P146" s="678"/>
      <c r="Q146" s="845"/>
      <c r="R146" s="679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4"/>
      <c r="C147" s="525"/>
      <c r="D147" s="520"/>
      <c r="E147" s="750"/>
      <c r="F147" s="521"/>
      <c r="G147" s="522"/>
      <c r="H147" s="767"/>
      <c r="I147" s="275">
        <f t="shared" si="23"/>
        <v>0</v>
      </c>
      <c r="J147" s="256"/>
      <c r="K147" s="239"/>
      <c r="L147" s="292"/>
      <c r="M147" s="238"/>
      <c r="N147" s="513"/>
      <c r="O147" s="559"/>
      <c r="P147" s="716"/>
      <c r="Q147" s="844"/>
      <c r="R147" s="717"/>
      <c r="S147" s="65"/>
      <c r="T147" s="65"/>
    </row>
    <row r="148" spans="1:20" s="157" customFormat="1" x14ac:dyDescent="0.25">
      <c r="A148" s="100"/>
      <c r="B148" s="524"/>
      <c r="C148" s="526"/>
      <c r="D148" s="520"/>
      <c r="E148" s="661"/>
      <c r="F148" s="521"/>
      <c r="G148" s="522"/>
      <c r="H148" s="767"/>
      <c r="I148" s="275">
        <f t="shared" si="23"/>
        <v>0</v>
      </c>
      <c r="J148" s="256"/>
      <c r="K148" s="239"/>
      <c r="L148" s="292"/>
      <c r="M148" s="238"/>
      <c r="N148" s="513"/>
      <c r="O148" s="559"/>
      <c r="P148" s="678"/>
      <c r="Q148" s="845"/>
      <c r="R148" s="679"/>
      <c r="S148" s="65"/>
      <c r="T148" s="65"/>
    </row>
    <row r="149" spans="1:20" s="157" customFormat="1" x14ac:dyDescent="0.25">
      <c r="A149" s="100"/>
      <c r="B149" s="524"/>
      <c r="C149" s="527"/>
      <c r="D149" s="520"/>
      <c r="E149" s="661"/>
      <c r="F149" s="521"/>
      <c r="G149" s="522"/>
      <c r="H149" s="523"/>
      <c r="I149" s="275">
        <f t="shared" si="23"/>
        <v>0</v>
      </c>
      <c r="J149" s="256"/>
      <c r="K149" s="239"/>
      <c r="L149" s="292"/>
      <c r="M149" s="238"/>
      <c r="N149" s="513"/>
      <c r="O149" s="559"/>
      <c r="P149" s="678"/>
      <c r="Q149" s="845"/>
      <c r="R149" s="679"/>
      <c r="S149" s="65"/>
      <c r="T149" s="65"/>
    </row>
    <row r="150" spans="1:20" s="157" customFormat="1" x14ac:dyDescent="0.25">
      <c r="A150" s="100"/>
      <c r="B150" s="524"/>
      <c r="C150" s="501"/>
      <c r="D150" s="520"/>
      <c r="E150" s="661"/>
      <c r="F150" s="521"/>
      <c r="G150" s="522"/>
      <c r="H150" s="523"/>
      <c r="I150" s="275">
        <f t="shared" si="23"/>
        <v>0</v>
      </c>
      <c r="J150" s="256"/>
      <c r="K150" s="239"/>
      <c r="L150" s="292"/>
      <c r="M150" s="238"/>
      <c r="N150" s="513"/>
      <c r="O150" s="559"/>
      <c r="P150" s="678"/>
      <c r="Q150" s="845"/>
      <c r="R150" s="679"/>
      <c r="S150" s="65"/>
      <c r="T150" s="65"/>
    </row>
    <row r="151" spans="1:20" s="157" customFormat="1" x14ac:dyDescent="0.25">
      <c r="A151" s="100"/>
      <c r="B151" s="524"/>
      <c r="C151" s="501"/>
      <c r="D151" s="520"/>
      <c r="E151" s="661"/>
      <c r="F151" s="521"/>
      <c r="G151" s="522"/>
      <c r="H151" s="523"/>
      <c r="I151" s="275">
        <f t="shared" si="23"/>
        <v>0</v>
      </c>
      <c r="J151" s="256"/>
      <c r="K151" s="239"/>
      <c r="L151" s="292"/>
      <c r="M151" s="238"/>
      <c r="N151" s="513"/>
      <c r="O151" s="559"/>
      <c r="P151" s="678"/>
      <c r="Q151" s="845"/>
      <c r="R151" s="679"/>
      <c r="S151" s="65"/>
      <c r="T151" s="65"/>
    </row>
    <row r="152" spans="1:20" s="157" customFormat="1" x14ac:dyDescent="0.25">
      <c r="A152" s="100"/>
      <c r="B152" s="524"/>
      <c r="C152" s="527"/>
      <c r="D152" s="520"/>
      <c r="E152" s="661"/>
      <c r="F152" s="521"/>
      <c r="G152" s="522"/>
      <c r="H152" s="523"/>
      <c r="I152" s="275">
        <f t="shared" si="23"/>
        <v>0</v>
      </c>
      <c r="J152" s="256"/>
      <c r="K152" s="239"/>
      <c r="L152" s="292"/>
      <c r="M152" s="238"/>
      <c r="N152" s="513"/>
      <c r="O152" s="559"/>
      <c r="P152" s="678"/>
      <c r="Q152" s="845"/>
      <c r="R152" s="679"/>
      <c r="S152" s="65"/>
      <c r="T152" s="65"/>
    </row>
    <row r="153" spans="1:20" s="157" customFormat="1" x14ac:dyDescent="0.25">
      <c r="A153" s="100"/>
      <c r="B153" s="524"/>
      <c r="C153" s="501"/>
      <c r="D153" s="520"/>
      <c r="E153" s="661"/>
      <c r="F153" s="521"/>
      <c r="G153" s="522"/>
      <c r="H153" s="523"/>
      <c r="I153" s="275">
        <f t="shared" si="23"/>
        <v>0</v>
      </c>
      <c r="J153" s="256"/>
      <c r="K153" s="239"/>
      <c r="L153" s="292"/>
      <c r="M153" s="238"/>
      <c r="N153" s="513"/>
      <c r="O153" s="559"/>
      <c r="P153" s="678"/>
      <c r="Q153" s="845"/>
      <c r="R153" s="679"/>
      <c r="S153" s="65"/>
      <c r="T153" s="65"/>
    </row>
    <row r="154" spans="1:20" s="157" customFormat="1" x14ac:dyDescent="0.25">
      <c r="A154" s="100"/>
      <c r="B154" s="524"/>
      <c r="C154" s="501"/>
      <c r="D154" s="520"/>
      <c r="E154" s="661"/>
      <c r="F154" s="521"/>
      <c r="G154" s="522"/>
      <c r="H154" s="523"/>
      <c r="I154" s="275">
        <f t="shared" si="23"/>
        <v>0</v>
      </c>
      <c r="J154" s="256"/>
      <c r="K154" s="239"/>
      <c r="L154" s="292"/>
      <c r="M154" s="238"/>
      <c r="N154" s="513"/>
      <c r="O154" s="559"/>
      <c r="P154" s="678"/>
      <c r="Q154" s="845"/>
      <c r="R154" s="679"/>
      <c r="S154" s="65"/>
      <c r="T154" s="65"/>
    </row>
    <row r="155" spans="1:20" s="157" customFormat="1" x14ac:dyDescent="0.25">
      <c r="A155" s="100"/>
      <c r="B155" s="524"/>
      <c r="C155" s="501"/>
      <c r="D155" s="520"/>
      <c r="E155" s="661"/>
      <c r="F155" s="521"/>
      <c r="G155" s="522"/>
      <c r="H155" s="523"/>
      <c r="I155" s="275">
        <f t="shared" si="23"/>
        <v>0</v>
      </c>
      <c r="J155" s="256"/>
      <c r="K155" s="239"/>
      <c r="L155" s="292"/>
      <c r="M155" s="238"/>
      <c r="N155" s="513"/>
      <c r="O155" s="559"/>
      <c r="P155" s="678"/>
      <c r="Q155" s="845"/>
      <c r="R155" s="679"/>
      <c r="S155" s="65"/>
      <c r="T155" s="65"/>
    </row>
    <row r="156" spans="1:20" s="157" customFormat="1" x14ac:dyDescent="0.25">
      <c r="A156" s="100"/>
      <c r="B156" s="524"/>
      <c r="C156" s="501"/>
      <c r="D156" s="520"/>
      <c r="E156" s="661"/>
      <c r="F156" s="521"/>
      <c r="G156" s="522"/>
      <c r="H156" s="523"/>
      <c r="I156" s="275">
        <f t="shared" si="23"/>
        <v>0</v>
      </c>
      <c r="J156" s="256"/>
      <c r="K156" s="239"/>
      <c r="L156" s="292"/>
      <c r="M156" s="238"/>
      <c r="N156" s="513"/>
      <c r="O156" s="559"/>
      <c r="P156" s="678"/>
      <c r="Q156" s="845"/>
      <c r="R156" s="679"/>
      <c r="S156" s="65"/>
      <c r="T156" s="65"/>
    </row>
    <row r="157" spans="1:20" s="157" customFormat="1" x14ac:dyDescent="0.25">
      <c r="A157" s="100"/>
      <c r="B157" s="524"/>
      <c r="C157" s="501"/>
      <c r="D157" s="520"/>
      <c r="E157" s="661"/>
      <c r="F157" s="521"/>
      <c r="G157" s="522"/>
      <c r="H157" s="523"/>
      <c r="I157" s="275">
        <f t="shared" si="23"/>
        <v>0</v>
      </c>
      <c r="J157" s="256"/>
      <c r="K157" s="239"/>
      <c r="L157" s="292"/>
      <c r="M157" s="238"/>
      <c r="N157" s="513"/>
      <c r="O157" s="559"/>
      <c r="P157" s="678"/>
      <c r="Q157" s="845"/>
      <c r="R157" s="679"/>
      <c r="S157" s="65"/>
      <c r="T157" s="65"/>
    </row>
    <row r="158" spans="1:20" s="157" customFormat="1" x14ac:dyDescent="0.25">
      <c r="A158" s="100"/>
      <c r="B158" s="524"/>
      <c r="C158" s="501"/>
      <c r="D158" s="520"/>
      <c r="E158" s="661"/>
      <c r="F158" s="521"/>
      <c r="G158" s="522"/>
      <c r="H158" s="523"/>
      <c r="I158" s="275">
        <f t="shared" si="23"/>
        <v>0</v>
      </c>
      <c r="J158" s="256"/>
      <c r="K158" s="239"/>
      <c r="L158" s="292"/>
      <c r="M158" s="238"/>
      <c r="N158" s="513"/>
      <c r="O158" s="559"/>
      <c r="P158" s="678"/>
      <c r="Q158" s="845"/>
      <c r="R158" s="679"/>
      <c r="S158" s="65"/>
      <c r="T158" s="65"/>
    </row>
    <row r="159" spans="1:20" s="157" customFormat="1" x14ac:dyDescent="0.25">
      <c r="A159" s="100"/>
      <c r="B159" s="524"/>
      <c r="C159" s="501"/>
      <c r="D159" s="520"/>
      <c r="E159" s="661"/>
      <c r="F159" s="521"/>
      <c r="G159" s="522"/>
      <c r="H159" s="523"/>
      <c r="I159" s="275">
        <f t="shared" si="23"/>
        <v>0</v>
      </c>
      <c r="J159" s="256"/>
      <c r="K159" s="239"/>
      <c r="L159" s="292"/>
      <c r="M159" s="238"/>
      <c r="N159" s="513"/>
      <c r="O159" s="559"/>
      <c r="P159" s="678"/>
      <c r="Q159" s="845"/>
      <c r="R159" s="679"/>
      <c r="S159" s="65"/>
      <c r="T159" s="65"/>
    </row>
    <row r="160" spans="1:20" s="157" customFormat="1" x14ac:dyDescent="0.25">
      <c r="A160" s="100"/>
      <c r="B160" s="524"/>
      <c r="C160" s="501"/>
      <c r="D160" s="520"/>
      <c r="E160" s="661"/>
      <c r="F160" s="521"/>
      <c r="G160" s="522"/>
      <c r="H160" s="523"/>
      <c r="I160" s="275">
        <f t="shared" si="23"/>
        <v>0</v>
      </c>
      <c r="J160" s="256"/>
      <c r="K160" s="239"/>
      <c r="L160" s="292"/>
      <c r="M160" s="238"/>
      <c r="N160" s="513"/>
      <c r="O160" s="559"/>
      <c r="P160" s="678"/>
      <c r="Q160" s="845"/>
      <c r="R160" s="679"/>
      <c r="S160" s="65"/>
      <c r="T160" s="65"/>
    </row>
    <row r="161" spans="1:20" s="157" customFormat="1" x14ac:dyDescent="0.25">
      <c r="A161" s="100"/>
      <c r="B161" s="358"/>
      <c r="C161" s="362"/>
      <c r="D161" s="451"/>
      <c r="E161" s="659"/>
      <c r="F161" s="594"/>
      <c r="G161" s="595"/>
      <c r="H161" s="596"/>
      <c r="I161" s="275">
        <f t="shared" si="23"/>
        <v>0</v>
      </c>
      <c r="J161" s="256"/>
      <c r="K161" s="239"/>
      <c r="L161" s="292"/>
      <c r="M161" s="238"/>
      <c r="N161" s="513"/>
      <c r="O161" s="559"/>
      <c r="P161" s="678"/>
      <c r="Q161" s="845"/>
      <c r="R161" s="679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59"/>
      <c r="F162" s="594"/>
      <c r="G162" s="595"/>
      <c r="H162" s="596"/>
      <c r="I162" s="275">
        <f t="shared" si="23"/>
        <v>0</v>
      </c>
      <c r="J162" s="256"/>
      <c r="K162" s="239"/>
      <c r="L162" s="292"/>
      <c r="M162" s="238"/>
      <c r="N162" s="513"/>
      <c r="O162" s="559"/>
      <c r="P162" s="678"/>
      <c r="Q162" s="845"/>
      <c r="R162" s="679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59"/>
      <c r="F163" s="594"/>
      <c r="G163" s="595"/>
      <c r="H163" s="596"/>
      <c r="I163" s="275">
        <f t="shared" si="23"/>
        <v>0</v>
      </c>
      <c r="J163" s="256"/>
      <c r="K163" s="239"/>
      <c r="L163" s="292"/>
      <c r="M163" s="238"/>
      <c r="N163" s="513"/>
      <c r="O163" s="559"/>
      <c r="P163" s="678"/>
      <c r="Q163" s="845"/>
      <c r="R163" s="679"/>
      <c r="S163" s="65"/>
      <c r="T163" s="65"/>
    </row>
    <row r="164" spans="1:20" s="157" customFormat="1" x14ac:dyDescent="0.25">
      <c r="A164" s="100"/>
      <c r="B164" s="593"/>
      <c r="C164" s="73"/>
      <c r="D164" s="161"/>
      <c r="E164" s="154"/>
      <c r="F164" s="105"/>
      <c r="G164" s="100"/>
      <c r="H164" s="506"/>
      <c r="I164" s="275">
        <f t="shared" si="23"/>
        <v>0</v>
      </c>
      <c r="J164" s="256"/>
      <c r="K164" s="239"/>
      <c r="L164" s="292"/>
      <c r="M164" s="238"/>
      <c r="N164" s="513"/>
      <c r="O164" s="559"/>
      <c r="P164" s="517"/>
      <c r="Q164" s="846"/>
      <c r="R164" s="518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6"/>
      <c r="I165" s="275">
        <f t="shared" si="23"/>
        <v>0</v>
      </c>
      <c r="J165" s="256"/>
      <c r="K165" s="239"/>
      <c r="L165" s="292"/>
      <c r="M165" s="238"/>
      <c r="N165" s="513"/>
      <c r="O165" s="559"/>
      <c r="P165" s="517"/>
      <c r="Q165" s="846"/>
      <c r="R165" s="518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6"/>
      <c r="I166" s="275">
        <f t="shared" si="23"/>
        <v>0</v>
      </c>
      <c r="J166" s="256"/>
      <c r="K166" s="239"/>
      <c r="L166" s="292"/>
      <c r="M166" s="238"/>
      <c r="N166" s="513"/>
      <c r="O166" s="559"/>
      <c r="P166" s="517"/>
      <c r="Q166" s="846"/>
      <c r="R166" s="518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6"/>
      <c r="I167" s="275">
        <f t="shared" si="23"/>
        <v>0</v>
      </c>
      <c r="J167" s="256"/>
      <c r="K167" s="239"/>
      <c r="L167" s="292"/>
      <c r="M167" s="238"/>
      <c r="N167" s="513"/>
      <c r="O167" s="559"/>
      <c r="P167" s="517"/>
      <c r="Q167" s="846"/>
      <c r="R167" s="518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6"/>
      <c r="I168" s="275">
        <f t="shared" si="23"/>
        <v>0</v>
      </c>
      <c r="J168" s="256"/>
      <c r="K168" s="239"/>
      <c r="L168" s="292"/>
      <c r="M168" s="238"/>
      <c r="N168" s="513"/>
      <c r="O168" s="559"/>
      <c r="P168" s="517"/>
      <c r="Q168" s="846"/>
      <c r="R168" s="518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6"/>
      <c r="I169" s="275">
        <f t="shared" si="23"/>
        <v>0</v>
      </c>
      <c r="J169" s="256"/>
      <c r="K169" s="239"/>
      <c r="L169" s="292"/>
      <c r="M169" s="238"/>
      <c r="N169" s="513"/>
      <c r="O169" s="559"/>
      <c r="P169" s="517"/>
      <c r="Q169" s="846"/>
      <c r="R169" s="518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6"/>
      <c r="I170" s="275">
        <f t="shared" si="23"/>
        <v>0</v>
      </c>
      <c r="J170" s="256"/>
      <c r="K170" s="239"/>
      <c r="L170" s="292"/>
      <c r="M170" s="238"/>
      <c r="N170" s="513"/>
      <c r="O170" s="559"/>
      <c r="P170" s="517"/>
      <c r="Q170" s="846"/>
      <c r="R170" s="518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6"/>
      <c r="I171" s="275">
        <f t="shared" si="23"/>
        <v>0</v>
      </c>
      <c r="J171" s="256"/>
      <c r="K171" s="239"/>
      <c r="L171" s="292"/>
      <c r="M171" s="238"/>
      <c r="N171" s="441"/>
      <c r="O171" s="560"/>
      <c r="P171" s="237"/>
      <c r="Q171" s="847"/>
      <c r="R171" s="481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6"/>
      <c r="I172" s="275">
        <f t="shared" si="23"/>
        <v>0</v>
      </c>
      <c r="J172" s="256"/>
      <c r="K172" s="239"/>
      <c r="L172" s="292"/>
      <c r="M172" s="238"/>
      <c r="N172" s="441"/>
      <c r="O172" s="560"/>
      <c r="P172" s="237"/>
      <c r="Q172" s="847"/>
      <c r="R172" s="481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6"/>
      <c r="I173" s="275">
        <f t="shared" si="23"/>
        <v>0</v>
      </c>
      <c r="J173" s="256"/>
      <c r="K173" s="239"/>
      <c r="L173" s="292"/>
      <c r="M173" s="238"/>
      <c r="N173" s="441"/>
      <c r="O173" s="560"/>
      <c r="P173" s="237"/>
      <c r="Q173" s="847"/>
      <c r="R173" s="481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3"/>
      <c r="G174" s="100"/>
      <c r="H174" s="506"/>
      <c r="I174" s="275">
        <f t="shared" si="23"/>
        <v>0</v>
      </c>
      <c r="J174" s="256"/>
      <c r="K174" s="291"/>
      <c r="L174" s="292"/>
      <c r="M174" s="266"/>
      <c r="N174" s="441"/>
      <c r="O174" s="268"/>
      <c r="P174" s="289"/>
      <c r="Q174" s="848"/>
      <c r="R174" s="482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3"/>
      <c r="G175" s="100"/>
      <c r="H175" s="506"/>
      <c r="I175" s="105">
        <f t="shared" si="23"/>
        <v>0</v>
      </c>
      <c r="J175" s="189"/>
      <c r="K175" s="108"/>
      <c r="L175" s="172"/>
      <c r="M175" s="71"/>
      <c r="N175" s="442"/>
      <c r="O175" s="127"/>
      <c r="P175" s="116"/>
      <c r="Q175" s="849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3"/>
      <c r="G176" s="100"/>
      <c r="H176" s="506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49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3"/>
      <c r="G177" s="100"/>
      <c r="H177" s="506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49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3"/>
      <c r="G178" s="100"/>
      <c r="H178" s="506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49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3"/>
      <c r="G179" s="100"/>
      <c r="H179" s="506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566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3"/>
      <c r="G180" s="100"/>
      <c r="H180" s="506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6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3"/>
      <c r="G181" s="100"/>
      <c r="H181" s="506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6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3"/>
      <c r="G182" s="100"/>
      <c r="H182" s="506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6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3"/>
      <c r="G183" s="100"/>
      <c r="H183" s="506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6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3"/>
      <c r="G184" s="100"/>
      <c r="H184" s="506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850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3"/>
      <c r="G185" s="100"/>
      <c r="H185" s="506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50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2"/>
      <c r="F186" s="653"/>
      <c r="G186" s="100"/>
      <c r="H186" s="506"/>
      <c r="I186" s="105">
        <f t="shared" si="23"/>
        <v>0</v>
      </c>
      <c r="J186" s="129"/>
      <c r="K186" s="168"/>
      <c r="L186" s="604"/>
      <c r="M186" s="71"/>
      <c r="N186" s="443"/>
      <c r="O186" s="127"/>
      <c r="P186" s="95"/>
      <c r="Q186" s="566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58" t="s">
        <v>31</v>
      </c>
      <c r="G187" s="72">
        <f>SUM(G5:G186)</f>
        <v>3814</v>
      </c>
      <c r="H187" s="508">
        <f>SUM(H3:H186)</f>
        <v>701143.33999999962</v>
      </c>
      <c r="I187" s="686">
        <f>PIERNA!I37</f>
        <v>0</v>
      </c>
      <c r="J187" s="46"/>
      <c r="K187" s="170">
        <f>SUM(K5:K186)</f>
        <v>338211</v>
      </c>
      <c r="L187" s="605"/>
      <c r="M187" s="170">
        <f>SUM(M5:M186)</f>
        <v>1042840</v>
      </c>
      <c r="N187" s="444"/>
      <c r="O187" s="561"/>
      <c r="P187" s="117"/>
      <c r="Q187" s="851">
        <f>SUM(Q5:Q186)</f>
        <v>29147755.880759999</v>
      </c>
      <c r="R187" s="152"/>
      <c r="S187" s="178">
        <f>Q187+M187+K187</f>
        <v>30528806.880759999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06"/>
      <c r="N188" s="183"/>
      <c r="O188" s="166"/>
      <c r="P188" s="95"/>
      <c r="Q188" s="566"/>
      <c r="R188" s="153" t="s">
        <v>42</v>
      </c>
    </row>
  </sheetData>
  <sortState ref="B98:O105">
    <sortCondition ref="E98:E105"/>
  </sortState>
  <mergeCells count="30">
    <mergeCell ref="R121:R122"/>
    <mergeCell ref="R119:R120"/>
    <mergeCell ref="R114:R116"/>
    <mergeCell ref="R112:R113"/>
    <mergeCell ref="O107:O108"/>
    <mergeCell ref="R107:R108"/>
    <mergeCell ref="R100:R103"/>
    <mergeCell ref="B107:B108"/>
    <mergeCell ref="Q1:Q2"/>
    <mergeCell ref="K1:K2"/>
    <mergeCell ref="M1:M2"/>
    <mergeCell ref="B100:B103"/>
    <mergeCell ref="E100:E103"/>
    <mergeCell ref="O100:O103"/>
    <mergeCell ref="B112:B113"/>
    <mergeCell ref="O112:O113"/>
    <mergeCell ref="B114:B116"/>
    <mergeCell ref="E114:E116"/>
    <mergeCell ref="O114:O116"/>
    <mergeCell ref="B126:B130"/>
    <mergeCell ref="E126:E130"/>
    <mergeCell ref="B119:B120"/>
    <mergeCell ref="O119:O120"/>
    <mergeCell ref="B121:B122"/>
    <mergeCell ref="O121:O122"/>
    <mergeCell ref="B135:B137"/>
    <mergeCell ref="E135:E137"/>
    <mergeCell ref="B138:B139"/>
    <mergeCell ref="E138:E139"/>
    <mergeCell ref="O138:O13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52"/>
      <c r="B1" s="1252"/>
      <c r="C1" s="1252"/>
      <c r="D1" s="1252"/>
      <c r="E1" s="1252"/>
      <c r="F1" s="1252"/>
      <c r="G1" s="1252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46"/>
      <c r="B5" s="1262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246"/>
      <c r="B6" s="1262"/>
      <c r="C6" s="692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54" t="s">
        <v>11</v>
      </c>
      <c r="D40" s="125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97"/>
  </cols>
  <sheetData>
    <row r="1" spans="1:9" ht="40.5" x14ac:dyDescent="0.55000000000000004">
      <c r="A1" s="1252" t="s">
        <v>279</v>
      </c>
      <c r="B1" s="1252"/>
      <c r="C1" s="1252"/>
      <c r="D1" s="1252"/>
      <c r="E1" s="1252"/>
      <c r="F1" s="1252"/>
      <c r="G1" s="1252"/>
      <c r="H1" s="11">
        <v>1</v>
      </c>
      <c r="I1" s="99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98"/>
    </row>
    <row r="4" spans="1:9" ht="15.75" thickTop="1" x14ac:dyDescent="0.25">
      <c r="A4" s="294"/>
      <c r="B4" s="294"/>
      <c r="C4" s="294"/>
      <c r="D4" s="243"/>
      <c r="E4" s="334"/>
      <c r="F4" s="253"/>
      <c r="G4" s="160"/>
      <c r="H4" s="160"/>
      <c r="I4" s="999"/>
    </row>
    <row r="5" spans="1:9" x14ac:dyDescent="0.25">
      <c r="A5" s="1250" t="s">
        <v>52</v>
      </c>
      <c r="B5" s="1263" t="s">
        <v>420</v>
      </c>
      <c r="C5" s="283">
        <v>90</v>
      </c>
      <c r="D5" s="248">
        <v>44735</v>
      </c>
      <c r="E5" s="259">
        <v>490.73</v>
      </c>
      <c r="F5" s="253">
        <v>20</v>
      </c>
      <c r="G5" s="295"/>
      <c r="H5" t="s">
        <v>41</v>
      </c>
    </row>
    <row r="6" spans="1:9" ht="15.75" x14ac:dyDescent="0.25">
      <c r="A6" s="1250"/>
      <c r="B6" s="1263"/>
      <c r="C6" s="692"/>
      <c r="D6" s="261"/>
      <c r="E6" s="259"/>
      <c r="F6" s="253"/>
      <c r="G6" s="262">
        <f>F35</f>
        <v>0</v>
      </c>
      <c r="H6" s="7">
        <f>E6-G6+E7+E5-G5+E4+E8</f>
        <v>490.73</v>
      </c>
      <c r="I6" s="1000"/>
    </row>
    <row r="7" spans="1:9" x14ac:dyDescent="0.25">
      <c r="A7" s="240"/>
      <c r="B7" s="282"/>
      <c r="C7" s="283"/>
      <c r="D7" s="248"/>
      <c r="E7" s="259"/>
      <c r="F7" s="253"/>
      <c r="G7" s="240"/>
      <c r="H7" s="240"/>
    </row>
    <row r="8" spans="1:9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1048" t="s">
        <v>2</v>
      </c>
      <c r="F9" s="1049" t="s">
        <v>9</v>
      </c>
      <c r="G9" s="1050"/>
      <c r="H9" s="1051"/>
      <c r="I9" s="1052"/>
    </row>
    <row r="10" spans="1:9" ht="15.75" thickTop="1" x14ac:dyDescent="0.25">
      <c r="A10" s="80" t="s">
        <v>32</v>
      </c>
      <c r="B10" s="284">
        <f>F4+F5+F6+F7-C10+F8</f>
        <v>20</v>
      </c>
      <c r="C10" s="15"/>
      <c r="D10" s="264"/>
      <c r="E10" s="1053"/>
      <c r="F10" s="1054">
        <f t="shared" ref="F10:F26" si="0">D10</f>
        <v>0</v>
      </c>
      <c r="G10" s="1055"/>
      <c r="H10" s="238"/>
      <c r="I10" s="238">
        <f>E4+E5+E6+E7-F10+E8</f>
        <v>490.73</v>
      </c>
    </row>
    <row r="11" spans="1:9" x14ac:dyDescent="0.25">
      <c r="A11" s="207"/>
      <c r="B11" s="284">
        <f>B10-C11</f>
        <v>20</v>
      </c>
      <c r="C11" s="15"/>
      <c r="D11" s="264"/>
      <c r="E11" s="1053"/>
      <c r="F11" s="1054">
        <f t="shared" si="0"/>
        <v>0</v>
      </c>
      <c r="G11" s="1055"/>
      <c r="H11" s="238"/>
      <c r="I11" s="238">
        <f>I10-F11</f>
        <v>490.73</v>
      </c>
    </row>
    <row r="12" spans="1:9" x14ac:dyDescent="0.25">
      <c r="A12" s="195"/>
      <c r="B12" s="284">
        <f t="shared" ref="B12:B28" si="1">B11-C12</f>
        <v>20</v>
      </c>
      <c r="C12" s="15"/>
      <c r="D12" s="264"/>
      <c r="E12" s="1053"/>
      <c r="F12" s="1054">
        <f t="shared" si="0"/>
        <v>0</v>
      </c>
      <c r="G12" s="1055"/>
      <c r="H12" s="238"/>
      <c r="I12" s="238">
        <f t="shared" ref="I12:I30" si="2">I11-F12</f>
        <v>490.73</v>
      </c>
    </row>
    <row r="13" spans="1:9" x14ac:dyDescent="0.25">
      <c r="A13" s="82" t="s">
        <v>33</v>
      </c>
      <c r="B13" s="284">
        <f t="shared" si="1"/>
        <v>20</v>
      </c>
      <c r="C13" s="15"/>
      <c r="D13" s="264"/>
      <c r="E13" s="1053"/>
      <c r="F13" s="1054">
        <f t="shared" si="0"/>
        <v>0</v>
      </c>
      <c r="G13" s="1055"/>
      <c r="H13" s="238"/>
      <c r="I13" s="238">
        <f t="shared" si="2"/>
        <v>490.73</v>
      </c>
    </row>
    <row r="14" spans="1:9" x14ac:dyDescent="0.25">
      <c r="A14" s="73"/>
      <c r="B14" s="284">
        <f t="shared" si="1"/>
        <v>20</v>
      </c>
      <c r="C14" s="15"/>
      <c r="D14" s="264"/>
      <c r="E14" s="1053"/>
      <c r="F14" s="1054">
        <f t="shared" si="0"/>
        <v>0</v>
      </c>
      <c r="G14" s="1055"/>
      <c r="H14" s="238"/>
      <c r="I14" s="238">
        <f t="shared" si="2"/>
        <v>490.73</v>
      </c>
    </row>
    <row r="15" spans="1:9" x14ac:dyDescent="0.25">
      <c r="A15" s="73"/>
      <c r="B15" s="284">
        <f t="shared" si="1"/>
        <v>20</v>
      </c>
      <c r="C15" s="15"/>
      <c r="D15" s="264"/>
      <c r="E15" s="1053"/>
      <c r="F15" s="1054">
        <f t="shared" si="0"/>
        <v>0</v>
      </c>
      <c r="G15" s="1055"/>
      <c r="H15" s="238"/>
      <c r="I15" s="238">
        <f t="shared" si="2"/>
        <v>490.73</v>
      </c>
    </row>
    <row r="16" spans="1:9" x14ac:dyDescent="0.25">
      <c r="B16" s="284">
        <f t="shared" si="1"/>
        <v>20</v>
      </c>
      <c r="C16" s="15"/>
      <c r="D16" s="69"/>
      <c r="E16" s="1053"/>
      <c r="F16" s="1054">
        <f t="shared" si="0"/>
        <v>0</v>
      </c>
      <c r="G16" s="1055"/>
      <c r="H16" s="238"/>
      <c r="I16" s="238">
        <f t="shared" si="2"/>
        <v>490.73</v>
      </c>
    </row>
    <row r="17" spans="1:9" x14ac:dyDescent="0.25">
      <c r="B17" s="284">
        <f t="shared" si="1"/>
        <v>20</v>
      </c>
      <c r="C17" s="15"/>
      <c r="D17" s="69"/>
      <c r="E17" s="293"/>
      <c r="F17" s="264">
        <f t="shared" si="0"/>
        <v>0</v>
      </c>
      <c r="G17" s="265"/>
      <c r="H17" s="266"/>
      <c r="I17" s="301">
        <f t="shared" si="2"/>
        <v>490.73</v>
      </c>
    </row>
    <row r="18" spans="1:9" x14ac:dyDescent="0.25">
      <c r="A18" s="122"/>
      <c r="B18" s="284">
        <f t="shared" si="1"/>
        <v>20</v>
      </c>
      <c r="C18" s="15"/>
      <c r="D18" s="69"/>
      <c r="E18" s="293"/>
      <c r="F18" s="264">
        <f t="shared" si="0"/>
        <v>0</v>
      </c>
      <c r="G18" s="265"/>
      <c r="H18" s="266"/>
      <c r="I18" s="301">
        <f t="shared" si="2"/>
        <v>490.73</v>
      </c>
    </row>
    <row r="19" spans="1:9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01">
        <f t="shared" si="2"/>
        <v>490.73</v>
      </c>
    </row>
    <row r="20" spans="1:9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01">
        <f t="shared" si="2"/>
        <v>490.73</v>
      </c>
    </row>
    <row r="21" spans="1:9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01">
        <f t="shared" si="2"/>
        <v>490.73</v>
      </c>
    </row>
    <row r="22" spans="1:9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60">
        <f t="shared" si="2"/>
        <v>490.73</v>
      </c>
    </row>
    <row r="23" spans="1:9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60">
        <f t="shared" si="2"/>
        <v>490.73</v>
      </c>
    </row>
    <row r="24" spans="1:9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60">
        <f t="shared" si="2"/>
        <v>490.73</v>
      </c>
    </row>
    <row r="25" spans="1:9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60">
        <f t="shared" si="2"/>
        <v>490.73</v>
      </c>
    </row>
    <row r="26" spans="1:9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60">
        <f t="shared" si="2"/>
        <v>490.73</v>
      </c>
    </row>
    <row r="27" spans="1:9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01">
        <f t="shared" si="2"/>
        <v>490.73</v>
      </c>
    </row>
    <row r="28" spans="1:9" x14ac:dyDescent="0.25">
      <c r="A28" s="122"/>
      <c r="B28" s="284">
        <f t="shared" si="1"/>
        <v>20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490.73</v>
      </c>
    </row>
    <row r="29" spans="1:9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490.73</v>
      </c>
    </row>
    <row r="30" spans="1:9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490.73</v>
      </c>
    </row>
    <row r="31" spans="1:9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9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254" t="s">
        <v>11</v>
      </c>
      <c r="D40" s="1255"/>
      <c r="E40" s="57">
        <f>E4+E5+E6+E7-F35</f>
        <v>490.73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97"/>
  </cols>
  <sheetData>
    <row r="1" spans="1:10" ht="40.5" x14ac:dyDescent="0.55000000000000004">
      <c r="A1" s="1252" t="s">
        <v>279</v>
      </c>
      <c r="B1" s="1252"/>
      <c r="C1" s="1252"/>
      <c r="D1" s="1252"/>
      <c r="E1" s="1252"/>
      <c r="F1" s="1252"/>
      <c r="G1" s="1252"/>
      <c r="H1" s="11">
        <v>1</v>
      </c>
      <c r="I1" s="996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98"/>
    </row>
    <row r="4" spans="1:10" ht="15.75" thickTop="1" x14ac:dyDescent="0.25">
      <c r="A4" s="294"/>
      <c r="B4" s="294"/>
      <c r="C4" s="294"/>
      <c r="D4" s="243"/>
      <c r="E4" s="334"/>
      <c r="F4" s="253"/>
      <c r="G4" s="160"/>
      <c r="H4" s="160"/>
      <c r="I4" s="999"/>
    </row>
    <row r="5" spans="1:10" ht="15" customHeight="1" x14ac:dyDescent="0.25">
      <c r="A5" s="1250" t="s">
        <v>415</v>
      </c>
      <c r="B5" s="1264" t="s">
        <v>416</v>
      </c>
      <c r="C5" s="283">
        <v>90</v>
      </c>
      <c r="D5" s="248">
        <v>44734</v>
      </c>
      <c r="E5" s="259">
        <v>272.27999999999997</v>
      </c>
      <c r="F5" s="253">
        <v>11</v>
      </c>
      <c r="G5" s="295"/>
      <c r="H5" t="s">
        <v>41</v>
      </c>
    </row>
    <row r="6" spans="1:10" ht="15.75" x14ac:dyDescent="0.25">
      <c r="A6" s="1250"/>
      <c r="B6" s="1264"/>
      <c r="C6" s="692"/>
      <c r="D6" s="261"/>
      <c r="E6" s="259"/>
      <c r="F6" s="253"/>
      <c r="G6" s="262">
        <f>F35</f>
        <v>0</v>
      </c>
      <c r="H6" s="7">
        <f>E6-G6+E7+E5-G5+E4+E8</f>
        <v>272.27999999999997</v>
      </c>
      <c r="I6" s="1000"/>
    </row>
    <row r="7" spans="1:10" x14ac:dyDescent="0.25">
      <c r="A7" s="240"/>
      <c r="B7" s="282"/>
      <c r="C7" s="283"/>
      <c r="D7" s="248"/>
      <c r="E7" s="259"/>
      <c r="F7" s="253"/>
      <c r="G7" s="240"/>
      <c r="H7" s="240"/>
    </row>
    <row r="8" spans="1:10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01"/>
    </row>
    <row r="10" spans="1:10" ht="15.75" thickTop="1" x14ac:dyDescent="0.25">
      <c r="A10" s="80" t="s">
        <v>32</v>
      </c>
      <c r="B10" s="284">
        <f>F4+F5+F6+F7-C10+F8</f>
        <v>11</v>
      </c>
      <c r="C10" s="15"/>
      <c r="D10" s="264"/>
      <c r="E10" s="293"/>
      <c r="F10" s="264">
        <f>D10</f>
        <v>0</v>
      </c>
      <c r="G10" s="265"/>
      <c r="H10" s="266"/>
      <c r="I10" s="301">
        <f>E4+E5+E6+E7-F10+E8</f>
        <v>272.27999999999997</v>
      </c>
      <c r="J10" s="240"/>
    </row>
    <row r="11" spans="1:10" x14ac:dyDescent="0.25">
      <c r="A11" s="207"/>
      <c r="B11" s="284">
        <f>B10-C11</f>
        <v>11</v>
      </c>
      <c r="C11" s="15"/>
      <c r="D11" s="264"/>
      <c r="E11" s="293"/>
      <c r="F11" s="264">
        <f>D11</f>
        <v>0</v>
      </c>
      <c r="G11" s="265"/>
      <c r="H11" s="266"/>
      <c r="I11" s="301">
        <f>I10-F11</f>
        <v>272.27999999999997</v>
      </c>
      <c r="J11" s="240"/>
    </row>
    <row r="12" spans="1:10" x14ac:dyDescent="0.25">
      <c r="A12" s="195"/>
      <c r="B12" s="284">
        <f t="shared" ref="B12:B28" si="0">B11-C12</f>
        <v>11</v>
      </c>
      <c r="C12" s="15"/>
      <c r="D12" s="264"/>
      <c r="E12" s="293"/>
      <c r="F12" s="264">
        <f t="shared" ref="F12:F26" si="1">D12</f>
        <v>0</v>
      </c>
      <c r="G12" s="265"/>
      <c r="H12" s="266"/>
      <c r="I12" s="301">
        <f t="shared" ref="I12:I30" si="2">I11-F12</f>
        <v>272.27999999999997</v>
      </c>
      <c r="J12" s="240"/>
    </row>
    <row r="13" spans="1:10" x14ac:dyDescent="0.25">
      <c r="A13" s="82" t="s">
        <v>33</v>
      </c>
      <c r="B13" s="284">
        <f t="shared" si="0"/>
        <v>11</v>
      </c>
      <c r="C13" s="15"/>
      <c r="D13" s="264"/>
      <c r="E13" s="293"/>
      <c r="F13" s="264">
        <f t="shared" si="1"/>
        <v>0</v>
      </c>
      <c r="G13" s="265"/>
      <c r="H13" s="266"/>
      <c r="I13" s="301">
        <f t="shared" si="2"/>
        <v>272.27999999999997</v>
      </c>
      <c r="J13" s="240"/>
    </row>
    <row r="14" spans="1:10" x14ac:dyDescent="0.25">
      <c r="A14" s="73"/>
      <c r="B14" s="284">
        <f t="shared" si="0"/>
        <v>11</v>
      </c>
      <c r="C14" s="15"/>
      <c r="D14" s="264"/>
      <c r="E14" s="293"/>
      <c r="F14" s="264">
        <f t="shared" si="1"/>
        <v>0</v>
      </c>
      <c r="G14" s="265"/>
      <c r="H14" s="266"/>
      <c r="I14" s="301">
        <f t="shared" si="2"/>
        <v>272.27999999999997</v>
      </c>
      <c r="J14" s="240"/>
    </row>
    <row r="15" spans="1:10" x14ac:dyDescent="0.25">
      <c r="A15" s="73"/>
      <c r="B15" s="284">
        <f t="shared" si="0"/>
        <v>11</v>
      </c>
      <c r="C15" s="15"/>
      <c r="D15" s="264"/>
      <c r="E15" s="293"/>
      <c r="F15" s="264">
        <f t="shared" si="1"/>
        <v>0</v>
      </c>
      <c r="G15" s="265"/>
      <c r="H15" s="266"/>
      <c r="I15" s="301">
        <f t="shared" si="2"/>
        <v>272.27999999999997</v>
      </c>
      <c r="J15" s="240"/>
    </row>
    <row r="16" spans="1:10" x14ac:dyDescent="0.25">
      <c r="B16" s="284">
        <f t="shared" si="0"/>
        <v>11</v>
      </c>
      <c r="C16" s="15"/>
      <c r="D16" s="69"/>
      <c r="E16" s="293"/>
      <c r="F16" s="264">
        <f t="shared" si="1"/>
        <v>0</v>
      </c>
      <c r="G16" s="265"/>
      <c r="H16" s="266"/>
      <c r="I16" s="301">
        <f t="shared" si="2"/>
        <v>272.27999999999997</v>
      </c>
      <c r="J16" s="240"/>
    </row>
    <row r="17" spans="1:10" x14ac:dyDescent="0.25">
      <c r="B17" s="284">
        <f t="shared" si="0"/>
        <v>11</v>
      </c>
      <c r="C17" s="15"/>
      <c r="D17" s="69"/>
      <c r="E17" s="293"/>
      <c r="F17" s="264">
        <f t="shared" si="1"/>
        <v>0</v>
      </c>
      <c r="G17" s="265"/>
      <c r="H17" s="266"/>
      <c r="I17" s="301">
        <f t="shared" si="2"/>
        <v>272.27999999999997</v>
      </c>
      <c r="J17" s="240"/>
    </row>
    <row r="18" spans="1:10" x14ac:dyDescent="0.25">
      <c r="A18" s="122"/>
      <c r="B18" s="284">
        <f t="shared" si="0"/>
        <v>11</v>
      </c>
      <c r="C18" s="15"/>
      <c r="D18" s="69"/>
      <c r="E18" s="293"/>
      <c r="F18" s="264">
        <f t="shared" si="1"/>
        <v>0</v>
      </c>
      <c r="G18" s="265"/>
      <c r="H18" s="266"/>
      <c r="I18" s="301">
        <f t="shared" si="2"/>
        <v>272.27999999999997</v>
      </c>
      <c r="J18" s="240"/>
    </row>
    <row r="19" spans="1:10" x14ac:dyDescent="0.25">
      <c r="A19" s="122"/>
      <c r="B19" s="284">
        <f t="shared" si="0"/>
        <v>11</v>
      </c>
      <c r="C19" s="15"/>
      <c r="D19" s="69"/>
      <c r="E19" s="293"/>
      <c r="F19" s="264">
        <f t="shared" si="1"/>
        <v>0</v>
      </c>
      <c r="G19" s="265"/>
      <c r="H19" s="266"/>
      <c r="I19" s="301">
        <f t="shared" si="2"/>
        <v>272.27999999999997</v>
      </c>
      <c r="J19" s="240"/>
    </row>
    <row r="20" spans="1:10" x14ac:dyDescent="0.25">
      <c r="A20" s="122"/>
      <c r="B20" s="284">
        <f t="shared" si="0"/>
        <v>11</v>
      </c>
      <c r="C20" s="15"/>
      <c r="D20" s="69"/>
      <c r="E20" s="293"/>
      <c r="F20" s="264">
        <f t="shared" si="1"/>
        <v>0</v>
      </c>
      <c r="G20" s="265"/>
      <c r="H20" s="266"/>
      <c r="I20" s="301">
        <f t="shared" si="2"/>
        <v>272.27999999999997</v>
      </c>
      <c r="J20" s="240"/>
    </row>
    <row r="21" spans="1:10" x14ac:dyDescent="0.25">
      <c r="A21" s="122"/>
      <c r="B21" s="284">
        <f t="shared" si="0"/>
        <v>11</v>
      </c>
      <c r="C21" s="15"/>
      <c r="D21" s="69"/>
      <c r="E21" s="293"/>
      <c r="F21" s="264">
        <f t="shared" si="1"/>
        <v>0</v>
      </c>
      <c r="G21" s="265"/>
      <c r="H21" s="266"/>
      <c r="I21" s="301">
        <f t="shared" si="2"/>
        <v>272.27999999999997</v>
      </c>
      <c r="J21" s="240"/>
    </row>
    <row r="22" spans="1:10" x14ac:dyDescent="0.25">
      <c r="A22" s="122"/>
      <c r="B22" s="284">
        <f t="shared" si="0"/>
        <v>11</v>
      </c>
      <c r="C22" s="15"/>
      <c r="D22" s="69"/>
      <c r="E22" s="216"/>
      <c r="F22" s="69">
        <f t="shared" si="1"/>
        <v>0</v>
      </c>
      <c r="G22" s="265"/>
      <c r="H22" s="266"/>
      <c r="I22" s="60">
        <f t="shared" si="2"/>
        <v>272.27999999999997</v>
      </c>
      <c r="J22" s="240"/>
    </row>
    <row r="23" spans="1:10" x14ac:dyDescent="0.25">
      <c r="A23" s="123"/>
      <c r="B23" s="284">
        <f t="shared" si="0"/>
        <v>11</v>
      </c>
      <c r="C23" s="15"/>
      <c r="D23" s="69"/>
      <c r="E23" s="216"/>
      <c r="F23" s="69">
        <f t="shared" si="1"/>
        <v>0</v>
      </c>
      <c r="G23" s="265"/>
      <c r="H23" s="266"/>
      <c r="I23" s="60">
        <f t="shared" si="2"/>
        <v>272.27999999999997</v>
      </c>
      <c r="J23" s="240"/>
    </row>
    <row r="24" spans="1:10" x14ac:dyDescent="0.25">
      <c r="A24" s="122"/>
      <c r="B24" s="284">
        <f t="shared" si="0"/>
        <v>11</v>
      </c>
      <c r="C24" s="15"/>
      <c r="D24" s="69"/>
      <c r="E24" s="216"/>
      <c r="F24" s="69">
        <f t="shared" si="1"/>
        <v>0</v>
      </c>
      <c r="G24" s="265"/>
      <c r="H24" s="266"/>
      <c r="I24" s="60">
        <f t="shared" si="2"/>
        <v>272.27999999999997</v>
      </c>
      <c r="J24" s="240"/>
    </row>
    <row r="25" spans="1:10" x14ac:dyDescent="0.25">
      <c r="A25" s="122"/>
      <c r="B25" s="284">
        <f t="shared" si="0"/>
        <v>11</v>
      </c>
      <c r="C25" s="15"/>
      <c r="D25" s="69"/>
      <c r="E25" s="216"/>
      <c r="F25" s="69">
        <f t="shared" si="1"/>
        <v>0</v>
      </c>
      <c r="G25" s="265"/>
      <c r="H25" s="266"/>
      <c r="I25" s="60">
        <f t="shared" si="2"/>
        <v>272.27999999999997</v>
      </c>
      <c r="J25" s="240"/>
    </row>
    <row r="26" spans="1:10" x14ac:dyDescent="0.25">
      <c r="A26" s="122"/>
      <c r="B26" s="284">
        <f t="shared" si="0"/>
        <v>11</v>
      </c>
      <c r="C26" s="15"/>
      <c r="D26" s="69"/>
      <c r="E26" s="216"/>
      <c r="F26" s="69">
        <f t="shared" si="1"/>
        <v>0</v>
      </c>
      <c r="G26" s="265"/>
      <c r="H26" s="266"/>
      <c r="I26" s="60">
        <f t="shared" si="2"/>
        <v>272.27999999999997</v>
      </c>
      <c r="J26" s="240"/>
    </row>
    <row r="27" spans="1:10" x14ac:dyDescent="0.25">
      <c r="A27" s="122"/>
      <c r="B27" s="284">
        <f t="shared" si="0"/>
        <v>11</v>
      </c>
      <c r="C27" s="15"/>
      <c r="D27" s="69"/>
      <c r="E27" s="216"/>
      <c r="F27" s="69">
        <v>0</v>
      </c>
      <c r="G27" s="265"/>
      <c r="H27" s="266"/>
      <c r="I27" s="301">
        <f t="shared" si="2"/>
        <v>272.27999999999997</v>
      </c>
      <c r="J27" s="240"/>
    </row>
    <row r="28" spans="1:10" x14ac:dyDescent="0.25">
      <c r="A28" s="122"/>
      <c r="B28" s="284">
        <f t="shared" si="0"/>
        <v>11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272.27999999999997</v>
      </c>
    </row>
    <row r="29" spans="1:10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272.27999999999997</v>
      </c>
    </row>
    <row r="30" spans="1:10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272.27999999999997</v>
      </c>
    </row>
    <row r="31" spans="1:10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10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11</v>
      </c>
    </row>
    <row r="39" spans="1:9" ht="15.75" thickBot="1" x14ac:dyDescent="0.3"/>
    <row r="40" spans="1:9" ht="15.75" thickBot="1" x14ac:dyDescent="0.3">
      <c r="C40" s="1254" t="s">
        <v>11</v>
      </c>
      <c r="D40" s="1255"/>
      <c r="E40" s="57">
        <f>E4+E5+E6+E7-F35</f>
        <v>272.27999999999997</v>
      </c>
      <c r="F40" s="73"/>
    </row>
  </sheetData>
  <sortState ref="C10:H11">
    <sortCondition ref="G10:G11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56" t="s">
        <v>271</v>
      </c>
      <c r="B1" s="1256"/>
      <c r="C1" s="1256"/>
      <c r="D1" s="1256"/>
      <c r="E1" s="1256"/>
      <c r="F1" s="1256"/>
      <c r="G1" s="1256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50" t="s">
        <v>128</v>
      </c>
      <c r="B5" s="1265" t="s">
        <v>129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250"/>
      <c r="B6" s="1265"/>
      <c r="C6" s="692"/>
      <c r="D6" s="261"/>
      <c r="E6" s="259"/>
      <c r="F6" s="253"/>
      <c r="G6" s="262">
        <f>F35</f>
        <v>359.53</v>
      </c>
      <c r="H6" s="7">
        <f>E6-G6+E7+E5-G5+E4+E8</f>
        <v>687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239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20</v>
      </c>
      <c r="C11" s="15"/>
      <c r="D11" s="858"/>
      <c r="E11" s="859"/>
      <c r="F11" s="858">
        <f t="shared" si="0"/>
        <v>0</v>
      </c>
      <c r="G11" s="422"/>
      <c r="H11" s="423"/>
      <c r="I11" s="318">
        <f>I10-F11</f>
        <v>687</v>
      </c>
      <c r="J11" s="240"/>
    </row>
    <row r="12" spans="1:13" x14ac:dyDescent="0.25">
      <c r="A12" s="195"/>
      <c r="B12" s="284">
        <f t="shared" ref="B12:B28" si="1">B11-C12</f>
        <v>20</v>
      </c>
      <c r="C12" s="15"/>
      <c r="D12" s="858"/>
      <c r="E12" s="859"/>
      <c r="F12" s="858">
        <f t="shared" si="0"/>
        <v>0</v>
      </c>
      <c r="G12" s="422"/>
      <c r="H12" s="423"/>
      <c r="I12" s="318">
        <f t="shared" ref="I12:I30" si="2">I11-F12</f>
        <v>687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20</v>
      </c>
      <c r="C13" s="15"/>
      <c r="D13" s="858"/>
      <c r="E13" s="859"/>
      <c r="F13" s="858">
        <f t="shared" si="0"/>
        <v>0</v>
      </c>
      <c r="G13" s="422"/>
      <c r="H13" s="423"/>
      <c r="I13" s="318">
        <f t="shared" si="2"/>
        <v>687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20</v>
      </c>
      <c r="C14" s="15"/>
      <c r="D14" s="858"/>
      <c r="E14" s="859"/>
      <c r="F14" s="858">
        <f t="shared" si="0"/>
        <v>0</v>
      </c>
      <c r="G14" s="422"/>
      <c r="H14" s="423"/>
      <c r="I14" s="318">
        <f t="shared" si="2"/>
        <v>687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20</v>
      </c>
      <c r="C15" s="15"/>
      <c r="D15" s="858"/>
      <c r="E15" s="859"/>
      <c r="F15" s="858">
        <f t="shared" si="0"/>
        <v>0</v>
      </c>
      <c r="G15" s="422"/>
      <c r="H15" s="423"/>
      <c r="I15" s="318">
        <f t="shared" si="2"/>
        <v>687</v>
      </c>
      <c r="J15" s="240"/>
      <c r="K15" s="240"/>
      <c r="L15" s="240"/>
      <c r="M15" s="240"/>
    </row>
    <row r="16" spans="1:13" x14ac:dyDescent="0.25">
      <c r="B16" s="284">
        <f t="shared" si="1"/>
        <v>20</v>
      </c>
      <c r="C16" s="15"/>
      <c r="D16" s="227"/>
      <c r="E16" s="859"/>
      <c r="F16" s="858">
        <f t="shared" si="0"/>
        <v>0</v>
      </c>
      <c r="G16" s="422"/>
      <c r="H16" s="423"/>
      <c r="I16" s="318">
        <f t="shared" si="2"/>
        <v>687</v>
      </c>
      <c r="J16" s="240"/>
      <c r="K16" s="240"/>
      <c r="L16" s="240"/>
      <c r="M16" s="240"/>
    </row>
    <row r="17" spans="1:13" x14ac:dyDescent="0.25">
      <c r="B17" s="284">
        <f t="shared" si="1"/>
        <v>20</v>
      </c>
      <c r="C17" s="15"/>
      <c r="D17" s="227"/>
      <c r="E17" s="859"/>
      <c r="F17" s="858">
        <f t="shared" si="0"/>
        <v>0</v>
      </c>
      <c r="G17" s="422"/>
      <c r="H17" s="423"/>
      <c r="I17" s="318">
        <f t="shared" si="2"/>
        <v>687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20</v>
      </c>
      <c r="C18" s="15"/>
      <c r="D18" s="227"/>
      <c r="E18" s="859"/>
      <c r="F18" s="858">
        <f t="shared" si="0"/>
        <v>0</v>
      </c>
      <c r="G18" s="422"/>
      <c r="H18" s="423"/>
      <c r="I18" s="318">
        <f t="shared" si="2"/>
        <v>687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687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687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687</v>
      </c>
      <c r="J21" s="240"/>
    </row>
    <row r="22" spans="1:13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687</v>
      </c>
      <c r="J22" s="240"/>
    </row>
    <row r="23" spans="1:13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687</v>
      </c>
      <c r="J23" s="240"/>
    </row>
    <row r="24" spans="1:13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687</v>
      </c>
      <c r="J24" s="240"/>
    </row>
    <row r="25" spans="1:13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687</v>
      </c>
      <c r="J25" s="240"/>
    </row>
    <row r="26" spans="1:13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687</v>
      </c>
      <c r="J26" s="240"/>
    </row>
    <row r="27" spans="1:13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18">
        <f t="shared" si="2"/>
        <v>687</v>
      </c>
      <c r="J27" s="240"/>
    </row>
    <row r="28" spans="1:13" x14ac:dyDescent="0.25">
      <c r="A28" s="122"/>
      <c r="B28" s="284">
        <f t="shared" si="1"/>
        <v>20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687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687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687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359.53</v>
      </c>
      <c r="F35" s="6">
        <f>SUM(F10:F34)</f>
        <v>359.53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254" t="s">
        <v>11</v>
      </c>
      <c r="D40" s="1255"/>
      <c r="E40" s="57">
        <f>E4+E5+E6+E7-F35</f>
        <v>687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workbookViewId="0">
      <selection activeCell="G18" sqref="G18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256" t="s">
        <v>273</v>
      </c>
      <c r="B1" s="1256"/>
      <c r="C1" s="1256"/>
      <c r="D1" s="1256"/>
      <c r="E1" s="1256"/>
      <c r="F1" s="1256"/>
      <c r="G1" s="1256"/>
      <c r="H1" s="11">
        <v>1</v>
      </c>
      <c r="K1" s="1256" t="s">
        <v>271</v>
      </c>
      <c r="L1" s="1256"/>
      <c r="M1" s="1256"/>
      <c r="N1" s="1256"/>
      <c r="O1" s="1256"/>
      <c r="P1" s="1256"/>
      <c r="Q1" s="1256"/>
      <c r="R1" s="11">
        <v>2</v>
      </c>
      <c r="U1" s="1252" t="s">
        <v>281</v>
      </c>
      <c r="V1" s="1252"/>
      <c r="W1" s="1252"/>
      <c r="X1" s="1252"/>
      <c r="Y1" s="1252"/>
      <c r="Z1" s="1252"/>
      <c r="AA1" s="1252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  <c r="W4" s="128"/>
      <c r="X4" s="154"/>
      <c r="Y4" s="86"/>
      <c r="Z4" s="73"/>
      <c r="AA4" s="38"/>
    </row>
    <row r="5" spans="1:29" ht="15" customHeight="1" x14ac:dyDescent="0.25">
      <c r="A5" s="953" t="s">
        <v>86</v>
      </c>
      <c r="B5" s="1265" t="s">
        <v>87</v>
      </c>
      <c r="C5" s="770">
        <v>48.5</v>
      </c>
      <c r="D5" s="771">
        <v>44676</v>
      </c>
      <c r="E5" s="772">
        <v>500</v>
      </c>
      <c r="F5" s="773">
        <v>50</v>
      </c>
      <c r="G5" s="276">
        <f>F36</f>
        <v>460</v>
      </c>
      <c r="H5" s="7">
        <f>E5-G5+E4+E6</f>
        <v>40</v>
      </c>
      <c r="K5" s="1010" t="s">
        <v>86</v>
      </c>
      <c r="L5" s="1265" t="s">
        <v>87</v>
      </c>
      <c r="M5" s="770">
        <v>50</v>
      </c>
      <c r="N5" s="771">
        <v>44709</v>
      </c>
      <c r="O5" s="772">
        <v>515.65</v>
      </c>
      <c r="P5" s="773">
        <v>27</v>
      </c>
      <c r="Q5" s="276">
        <f>P36</f>
        <v>0</v>
      </c>
      <c r="R5" s="7">
        <f>O5-Q5+O4+O6</f>
        <v>515.65</v>
      </c>
      <c r="U5" s="1246" t="s">
        <v>86</v>
      </c>
      <c r="V5" s="1265" t="s">
        <v>87</v>
      </c>
      <c r="W5" s="770">
        <v>45</v>
      </c>
      <c r="X5" s="1151">
        <v>44740</v>
      </c>
      <c r="Y5" s="772">
        <v>516.39</v>
      </c>
      <c r="Z5" s="773">
        <v>27</v>
      </c>
      <c r="AA5" s="276">
        <f>Z36</f>
        <v>0</v>
      </c>
      <c r="AB5" s="7">
        <f>Y5-AA5+Y4+Y6</f>
        <v>516.39</v>
      </c>
    </row>
    <row r="6" spans="1:29" ht="15.75" customHeight="1" thickBot="1" x14ac:dyDescent="0.3">
      <c r="A6" s="243"/>
      <c r="B6" s="1266"/>
      <c r="C6" s="277"/>
      <c r="D6" s="278"/>
      <c r="E6" s="270"/>
      <c r="F6" s="243"/>
      <c r="K6" s="243"/>
      <c r="L6" s="1266"/>
      <c r="M6" s="277"/>
      <c r="N6" s="278"/>
      <c r="O6" s="270"/>
      <c r="P6" s="243"/>
      <c r="U6" s="1246"/>
      <c r="V6" s="1266"/>
      <c r="W6" s="277"/>
      <c r="X6" s="278"/>
      <c r="Y6" s="270"/>
      <c r="Z6" s="243"/>
    </row>
    <row r="7" spans="1:29" ht="16.5" customHeight="1" thickTop="1" thickBot="1" x14ac:dyDescent="0.3">
      <c r="A7" s="243"/>
      <c r="B7" s="85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52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243"/>
      <c r="V7" s="852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728"/>
      <c r="B8" s="854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116</v>
      </c>
      <c r="H8" s="266">
        <v>50</v>
      </c>
      <c r="I8" s="269">
        <f>E5-F8+E4+E6</f>
        <v>400</v>
      </c>
      <c r="K8" s="728"/>
      <c r="L8" s="854">
        <f>P4+P5+P6-M8</f>
        <v>27</v>
      </c>
      <c r="M8" s="53"/>
      <c r="N8" s="69">
        <v>0</v>
      </c>
      <c r="O8" s="328"/>
      <c r="P8" s="275">
        <f t="shared" ref="P8:P35" si="1">N8</f>
        <v>0</v>
      </c>
      <c r="Q8" s="265"/>
      <c r="R8" s="266"/>
      <c r="S8" s="269">
        <f>O5-P8+O4+O6</f>
        <v>515.65</v>
      </c>
      <c r="U8" s="728"/>
      <c r="V8" s="854">
        <f>Z4+Z5+Z6-W8</f>
        <v>27</v>
      </c>
      <c r="W8" s="53"/>
      <c r="X8" s="69">
        <v>0</v>
      </c>
      <c r="Y8" s="328"/>
      <c r="Z8" s="275">
        <f t="shared" ref="Z8:Z35" si="2">X8</f>
        <v>0</v>
      </c>
      <c r="AA8" s="265"/>
      <c r="AB8" s="266"/>
      <c r="AC8" s="269">
        <f>Y5-Z8+Y4+Y6</f>
        <v>516.39</v>
      </c>
    </row>
    <row r="9" spans="1:29" ht="15" customHeight="1" x14ac:dyDescent="0.25">
      <c r="B9" s="855">
        <f>B8-C9</f>
        <v>35</v>
      </c>
      <c r="C9" s="53">
        <v>5</v>
      </c>
      <c r="D9" s="986">
        <v>50</v>
      </c>
      <c r="E9" s="989">
        <v>44693</v>
      </c>
      <c r="F9" s="1006">
        <f t="shared" si="0"/>
        <v>50</v>
      </c>
      <c r="G9" s="990" t="s">
        <v>173</v>
      </c>
      <c r="H9" s="991">
        <v>47</v>
      </c>
      <c r="I9" s="269">
        <f>I8-F9</f>
        <v>350</v>
      </c>
      <c r="L9" s="855">
        <f>L8-M9</f>
        <v>27</v>
      </c>
      <c r="M9" s="53"/>
      <c r="N9" s="69">
        <v>0</v>
      </c>
      <c r="O9" s="324"/>
      <c r="P9" s="275">
        <f t="shared" si="1"/>
        <v>0</v>
      </c>
      <c r="Q9" s="265"/>
      <c r="R9" s="266"/>
      <c r="S9" s="269">
        <f>S8-P9</f>
        <v>515.65</v>
      </c>
      <c r="V9" s="855">
        <f>V8-W9</f>
        <v>27</v>
      </c>
      <c r="W9" s="53"/>
      <c r="X9" s="69">
        <v>0</v>
      </c>
      <c r="Y9" s="324"/>
      <c r="Z9" s="275">
        <f t="shared" si="2"/>
        <v>0</v>
      </c>
      <c r="AA9" s="265"/>
      <c r="AB9" s="266"/>
      <c r="AC9" s="269">
        <f>AC8-Z9</f>
        <v>516.39</v>
      </c>
    </row>
    <row r="10" spans="1:29" ht="15" customHeight="1" x14ac:dyDescent="0.25">
      <c r="B10" s="855">
        <f t="shared" ref="B10:B35" si="3">B9-C10</f>
        <v>25</v>
      </c>
      <c r="C10" s="15">
        <v>10</v>
      </c>
      <c r="D10" s="986">
        <v>100</v>
      </c>
      <c r="E10" s="989">
        <v>44698</v>
      </c>
      <c r="F10" s="1006">
        <f t="shared" si="0"/>
        <v>100</v>
      </c>
      <c r="G10" s="990" t="s">
        <v>200</v>
      </c>
      <c r="H10" s="991">
        <v>47</v>
      </c>
      <c r="I10" s="269">
        <f>I9-F10</f>
        <v>250</v>
      </c>
      <c r="L10" s="855">
        <f t="shared" ref="L10:L35" si="4">L9-M10</f>
        <v>27</v>
      </c>
      <c r="M10" s="15"/>
      <c r="N10" s="69">
        <v>0</v>
      </c>
      <c r="O10" s="324"/>
      <c r="P10" s="275">
        <f t="shared" si="1"/>
        <v>0</v>
      </c>
      <c r="Q10" s="265"/>
      <c r="R10" s="266"/>
      <c r="S10" s="269">
        <f>S9-P10</f>
        <v>515.65</v>
      </c>
      <c r="V10" s="855">
        <f t="shared" ref="V10:V35" si="5">V9-W10</f>
        <v>27</v>
      </c>
      <c r="W10" s="15"/>
      <c r="X10" s="69">
        <v>0</v>
      </c>
      <c r="Y10" s="324"/>
      <c r="Z10" s="275">
        <f t="shared" si="2"/>
        <v>0</v>
      </c>
      <c r="AA10" s="265"/>
      <c r="AB10" s="266"/>
      <c r="AC10" s="269">
        <f>AC9-Z10</f>
        <v>516.39</v>
      </c>
    </row>
    <row r="11" spans="1:29" ht="15" customHeight="1" x14ac:dyDescent="0.25">
      <c r="A11" s="55" t="s">
        <v>33</v>
      </c>
      <c r="B11" s="855">
        <f t="shared" si="3"/>
        <v>24</v>
      </c>
      <c r="C11" s="15">
        <v>1</v>
      </c>
      <c r="D11" s="986">
        <v>10</v>
      </c>
      <c r="E11" s="989">
        <v>44702</v>
      </c>
      <c r="F11" s="1006">
        <f t="shared" si="0"/>
        <v>10</v>
      </c>
      <c r="G11" s="990" t="s">
        <v>199</v>
      </c>
      <c r="H11" s="991">
        <v>47</v>
      </c>
      <c r="I11" s="269">
        <f t="shared" ref="I11:I34" si="6">I10-F11</f>
        <v>240</v>
      </c>
      <c r="K11" s="55" t="s">
        <v>33</v>
      </c>
      <c r="L11" s="855">
        <f t="shared" si="4"/>
        <v>27</v>
      </c>
      <c r="M11" s="15"/>
      <c r="N11" s="69">
        <v>0</v>
      </c>
      <c r="O11" s="324"/>
      <c r="P11" s="275">
        <f t="shared" si="1"/>
        <v>0</v>
      </c>
      <c r="Q11" s="265"/>
      <c r="R11" s="266"/>
      <c r="S11" s="269">
        <f t="shared" ref="S11:S34" si="7">S10-P11</f>
        <v>515.65</v>
      </c>
      <c r="U11" s="55" t="s">
        <v>33</v>
      </c>
      <c r="V11" s="855">
        <f t="shared" si="5"/>
        <v>27</v>
      </c>
      <c r="W11" s="15"/>
      <c r="X11" s="69">
        <v>0</v>
      </c>
      <c r="Y11" s="324"/>
      <c r="Z11" s="275">
        <f t="shared" si="2"/>
        <v>0</v>
      </c>
      <c r="AA11" s="265"/>
      <c r="AB11" s="266"/>
      <c r="AC11" s="269">
        <f t="shared" ref="AC11:AC34" si="8">AC10-Z11</f>
        <v>516.39</v>
      </c>
    </row>
    <row r="12" spans="1:29" ht="15" customHeight="1" x14ac:dyDescent="0.25">
      <c r="A12" s="19"/>
      <c r="B12" s="855">
        <f t="shared" si="3"/>
        <v>23</v>
      </c>
      <c r="C12" s="53">
        <v>1</v>
      </c>
      <c r="D12" s="1020">
        <v>10</v>
      </c>
      <c r="E12" s="1056">
        <v>44707</v>
      </c>
      <c r="F12" s="1057">
        <f t="shared" si="0"/>
        <v>10</v>
      </c>
      <c r="G12" s="1023" t="s">
        <v>250</v>
      </c>
      <c r="H12" s="318">
        <v>47</v>
      </c>
      <c r="I12" s="269">
        <f t="shared" si="6"/>
        <v>230</v>
      </c>
      <c r="K12" s="19"/>
      <c r="L12" s="855">
        <f t="shared" si="4"/>
        <v>27</v>
      </c>
      <c r="M12" s="53"/>
      <c r="N12" s="69">
        <v>0</v>
      </c>
      <c r="O12" s="324"/>
      <c r="P12" s="275">
        <f t="shared" si="1"/>
        <v>0</v>
      </c>
      <c r="Q12" s="265"/>
      <c r="R12" s="266"/>
      <c r="S12" s="269">
        <f t="shared" si="7"/>
        <v>515.65</v>
      </c>
      <c r="U12" s="19"/>
      <c r="V12" s="855">
        <f t="shared" si="5"/>
        <v>27</v>
      </c>
      <c r="W12" s="53"/>
      <c r="X12" s="69">
        <v>0</v>
      </c>
      <c r="Y12" s="324"/>
      <c r="Z12" s="275">
        <f t="shared" si="2"/>
        <v>0</v>
      </c>
      <c r="AA12" s="265"/>
      <c r="AB12" s="266"/>
      <c r="AC12" s="269">
        <f t="shared" si="8"/>
        <v>516.39</v>
      </c>
    </row>
    <row r="13" spans="1:29" ht="15" customHeight="1" x14ac:dyDescent="0.25">
      <c r="B13" s="855">
        <f t="shared" si="3"/>
        <v>13</v>
      </c>
      <c r="C13" s="53">
        <v>10</v>
      </c>
      <c r="D13" s="1020">
        <v>100</v>
      </c>
      <c r="E13" s="1058">
        <v>44708</v>
      </c>
      <c r="F13" s="1057">
        <f t="shared" si="0"/>
        <v>100</v>
      </c>
      <c r="G13" s="1023" t="s">
        <v>255</v>
      </c>
      <c r="H13" s="318">
        <v>47</v>
      </c>
      <c r="I13" s="269">
        <f t="shared" si="6"/>
        <v>130</v>
      </c>
      <c r="L13" s="855">
        <f t="shared" si="4"/>
        <v>27</v>
      </c>
      <c r="M13" s="53"/>
      <c r="N13" s="69">
        <v>0</v>
      </c>
      <c r="O13" s="324"/>
      <c r="P13" s="275">
        <f t="shared" si="1"/>
        <v>0</v>
      </c>
      <c r="Q13" s="265"/>
      <c r="R13" s="266"/>
      <c r="S13" s="269">
        <f t="shared" si="7"/>
        <v>515.65</v>
      </c>
      <c r="V13" s="855">
        <f t="shared" si="5"/>
        <v>27</v>
      </c>
      <c r="W13" s="53"/>
      <c r="X13" s="69">
        <v>0</v>
      </c>
      <c r="Y13" s="324"/>
      <c r="Z13" s="275">
        <f t="shared" si="2"/>
        <v>0</v>
      </c>
      <c r="AA13" s="265"/>
      <c r="AB13" s="266"/>
      <c r="AC13" s="269">
        <f t="shared" si="8"/>
        <v>516.39</v>
      </c>
    </row>
    <row r="14" spans="1:29" ht="15" customHeight="1" x14ac:dyDescent="0.25">
      <c r="B14" s="855">
        <f t="shared" si="3"/>
        <v>12</v>
      </c>
      <c r="C14" s="15">
        <v>1</v>
      </c>
      <c r="D14" s="227">
        <v>10</v>
      </c>
      <c r="E14" s="1059">
        <v>44712</v>
      </c>
      <c r="F14" s="1060">
        <f t="shared" si="0"/>
        <v>10</v>
      </c>
      <c r="G14" s="422" t="s">
        <v>488</v>
      </c>
      <c r="H14" s="423">
        <v>47</v>
      </c>
      <c r="I14" s="269">
        <f t="shared" si="6"/>
        <v>120</v>
      </c>
      <c r="L14" s="855">
        <f t="shared" si="4"/>
        <v>27</v>
      </c>
      <c r="M14" s="15"/>
      <c r="N14" s="69">
        <v>0</v>
      </c>
      <c r="O14" s="324"/>
      <c r="P14" s="275">
        <f t="shared" si="1"/>
        <v>0</v>
      </c>
      <c r="Q14" s="265"/>
      <c r="R14" s="266"/>
      <c r="S14" s="269">
        <f t="shared" si="7"/>
        <v>515.65</v>
      </c>
      <c r="V14" s="855">
        <f t="shared" si="5"/>
        <v>27</v>
      </c>
      <c r="W14" s="15"/>
      <c r="X14" s="69">
        <v>0</v>
      </c>
      <c r="Y14" s="324"/>
      <c r="Z14" s="275">
        <f t="shared" si="2"/>
        <v>0</v>
      </c>
      <c r="AA14" s="265"/>
      <c r="AB14" s="266"/>
      <c r="AC14" s="269">
        <f t="shared" si="8"/>
        <v>516.39</v>
      </c>
    </row>
    <row r="15" spans="1:29" ht="15" customHeight="1" x14ac:dyDescent="0.25">
      <c r="B15" s="855">
        <f t="shared" si="3"/>
        <v>11</v>
      </c>
      <c r="C15" s="15">
        <v>1</v>
      </c>
      <c r="D15" s="227">
        <v>10</v>
      </c>
      <c r="E15" s="1059">
        <v>44716</v>
      </c>
      <c r="F15" s="1060">
        <f t="shared" si="0"/>
        <v>10</v>
      </c>
      <c r="G15" s="422" t="s">
        <v>511</v>
      </c>
      <c r="H15" s="423">
        <v>47</v>
      </c>
      <c r="I15" s="269">
        <f t="shared" si="6"/>
        <v>110</v>
      </c>
      <c r="L15" s="855">
        <f t="shared" si="4"/>
        <v>27</v>
      </c>
      <c r="M15" s="15"/>
      <c r="N15" s="69">
        <v>0</v>
      </c>
      <c r="O15" s="324"/>
      <c r="P15" s="275">
        <f t="shared" si="1"/>
        <v>0</v>
      </c>
      <c r="Q15" s="265"/>
      <c r="R15" s="266"/>
      <c r="S15" s="269">
        <f t="shared" si="7"/>
        <v>515.65</v>
      </c>
      <c r="V15" s="855">
        <f t="shared" si="5"/>
        <v>27</v>
      </c>
      <c r="W15" s="15"/>
      <c r="X15" s="69">
        <v>0</v>
      </c>
      <c r="Y15" s="324"/>
      <c r="Z15" s="275">
        <f t="shared" si="2"/>
        <v>0</v>
      </c>
      <c r="AA15" s="265"/>
      <c r="AB15" s="266"/>
      <c r="AC15" s="269">
        <f t="shared" si="8"/>
        <v>516.39</v>
      </c>
    </row>
    <row r="16" spans="1:29" ht="15" customHeight="1" x14ac:dyDescent="0.25">
      <c r="B16" s="855">
        <f t="shared" si="3"/>
        <v>10</v>
      </c>
      <c r="C16" s="15">
        <v>1</v>
      </c>
      <c r="D16" s="227">
        <v>10</v>
      </c>
      <c r="E16" s="1059">
        <v>44716</v>
      </c>
      <c r="F16" s="1060">
        <f t="shared" si="0"/>
        <v>10</v>
      </c>
      <c r="G16" s="422" t="s">
        <v>525</v>
      </c>
      <c r="H16" s="423">
        <v>47</v>
      </c>
      <c r="I16" s="269">
        <f t="shared" si="6"/>
        <v>100</v>
      </c>
      <c r="L16" s="855">
        <f t="shared" si="4"/>
        <v>27</v>
      </c>
      <c r="M16" s="15"/>
      <c r="N16" s="69">
        <v>0</v>
      </c>
      <c r="O16" s="324"/>
      <c r="P16" s="275">
        <f t="shared" si="1"/>
        <v>0</v>
      </c>
      <c r="Q16" s="265"/>
      <c r="R16" s="266"/>
      <c r="S16" s="269">
        <f t="shared" si="7"/>
        <v>515.65</v>
      </c>
      <c r="V16" s="855">
        <f t="shared" si="5"/>
        <v>27</v>
      </c>
      <c r="W16" s="15"/>
      <c r="X16" s="69">
        <v>0</v>
      </c>
      <c r="Y16" s="324"/>
      <c r="Z16" s="275">
        <f t="shared" si="2"/>
        <v>0</v>
      </c>
      <c r="AA16" s="265"/>
      <c r="AB16" s="266"/>
      <c r="AC16" s="269">
        <f t="shared" si="8"/>
        <v>516.39</v>
      </c>
    </row>
    <row r="17" spans="1:29" ht="15" customHeight="1" x14ac:dyDescent="0.25">
      <c r="B17" s="855">
        <f t="shared" si="3"/>
        <v>4</v>
      </c>
      <c r="C17" s="15">
        <v>6</v>
      </c>
      <c r="D17" s="227">
        <v>60</v>
      </c>
      <c r="E17" s="1059">
        <v>44719</v>
      </c>
      <c r="F17" s="1060">
        <f t="shared" si="0"/>
        <v>60</v>
      </c>
      <c r="G17" s="422" t="s">
        <v>547</v>
      </c>
      <c r="H17" s="423">
        <v>47</v>
      </c>
      <c r="I17" s="269">
        <f t="shared" si="6"/>
        <v>40</v>
      </c>
      <c r="L17" s="855">
        <f t="shared" si="4"/>
        <v>27</v>
      </c>
      <c r="M17" s="15"/>
      <c r="N17" s="69">
        <v>0</v>
      </c>
      <c r="O17" s="324"/>
      <c r="P17" s="275">
        <f t="shared" si="1"/>
        <v>0</v>
      </c>
      <c r="Q17" s="265"/>
      <c r="R17" s="266"/>
      <c r="S17" s="269">
        <f t="shared" si="7"/>
        <v>515.65</v>
      </c>
      <c r="V17" s="855">
        <f t="shared" si="5"/>
        <v>27</v>
      </c>
      <c r="W17" s="15"/>
      <c r="X17" s="69">
        <v>0</v>
      </c>
      <c r="Y17" s="324"/>
      <c r="Z17" s="275">
        <f t="shared" si="2"/>
        <v>0</v>
      </c>
      <c r="AA17" s="265"/>
      <c r="AB17" s="266"/>
      <c r="AC17" s="269">
        <f t="shared" si="8"/>
        <v>516.39</v>
      </c>
    </row>
    <row r="18" spans="1:29" ht="15" customHeight="1" x14ac:dyDescent="0.25">
      <c r="B18" s="855">
        <f t="shared" si="3"/>
        <v>4</v>
      </c>
      <c r="C18" s="15"/>
      <c r="D18" s="227">
        <v>0</v>
      </c>
      <c r="E18" s="1059"/>
      <c r="F18" s="1060">
        <f t="shared" si="0"/>
        <v>0</v>
      </c>
      <c r="G18" s="422"/>
      <c r="H18" s="423"/>
      <c r="I18" s="269">
        <f t="shared" si="6"/>
        <v>40</v>
      </c>
      <c r="L18" s="855">
        <f t="shared" si="4"/>
        <v>27</v>
      </c>
      <c r="M18" s="15"/>
      <c r="N18" s="69">
        <v>0</v>
      </c>
      <c r="O18" s="324"/>
      <c r="P18" s="275">
        <f t="shared" si="1"/>
        <v>0</v>
      </c>
      <c r="Q18" s="265"/>
      <c r="R18" s="266"/>
      <c r="S18" s="269">
        <f t="shared" si="7"/>
        <v>515.65</v>
      </c>
      <c r="V18" s="855">
        <f t="shared" si="5"/>
        <v>27</v>
      </c>
      <c r="W18" s="15"/>
      <c r="X18" s="69">
        <v>0</v>
      </c>
      <c r="Y18" s="324"/>
      <c r="Z18" s="275">
        <f t="shared" si="2"/>
        <v>0</v>
      </c>
      <c r="AA18" s="265"/>
      <c r="AB18" s="266"/>
      <c r="AC18" s="269">
        <f t="shared" si="8"/>
        <v>516.39</v>
      </c>
    </row>
    <row r="19" spans="1:29" ht="15" customHeight="1" x14ac:dyDescent="0.25">
      <c r="B19" s="855">
        <f t="shared" si="3"/>
        <v>4</v>
      </c>
      <c r="C19" s="15"/>
      <c r="D19" s="227">
        <v>0</v>
      </c>
      <c r="E19" s="1059"/>
      <c r="F19" s="1060">
        <f t="shared" si="0"/>
        <v>0</v>
      </c>
      <c r="G19" s="422"/>
      <c r="H19" s="423"/>
      <c r="I19" s="269">
        <f t="shared" si="6"/>
        <v>40</v>
      </c>
      <c r="L19" s="855">
        <f t="shared" si="4"/>
        <v>27</v>
      </c>
      <c r="M19" s="15"/>
      <c r="N19" s="69">
        <v>0</v>
      </c>
      <c r="O19" s="324"/>
      <c r="P19" s="275">
        <f t="shared" si="1"/>
        <v>0</v>
      </c>
      <c r="Q19" s="265"/>
      <c r="R19" s="266"/>
      <c r="S19" s="269">
        <f t="shared" si="7"/>
        <v>515.65</v>
      </c>
      <c r="V19" s="855">
        <f t="shared" si="5"/>
        <v>27</v>
      </c>
      <c r="W19" s="15"/>
      <c r="X19" s="69">
        <v>0</v>
      </c>
      <c r="Y19" s="324"/>
      <c r="Z19" s="275">
        <f t="shared" si="2"/>
        <v>0</v>
      </c>
      <c r="AA19" s="265"/>
      <c r="AB19" s="266"/>
      <c r="AC19" s="269">
        <f t="shared" si="8"/>
        <v>516.39</v>
      </c>
    </row>
    <row r="20" spans="1:29" ht="15" customHeight="1" x14ac:dyDescent="0.25">
      <c r="B20" s="855">
        <f t="shared" si="3"/>
        <v>4</v>
      </c>
      <c r="C20" s="15"/>
      <c r="D20" s="227">
        <v>0</v>
      </c>
      <c r="E20" s="1059"/>
      <c r="F20" s="1060">
        <f t="shared" si="0"/>
        <v>0</v>
      </c>
      <c r="G20" s="422"/>
      <c r="H20" s="423"/>
      <c r="I20" s="269">
        <f t="shared" si="6"/>
        <v>40</v>
      </c>
      <c r="L20" s="855">
        <f t="shared" si="4"/>
        <v>27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7"/>
        <v>515.65</v>
      </c>
      <c r="V20" s="855">
        <f t="shared" si="5"/>
        <v>27</v>
      </c>
      <c r="W20" s="15"/>
      <c r="X20" s="69">
        <v>0</v>
      </c>
      <c r="Y20" s="324"/>
      <c r="Z20" s="275">
        <f t="shared" si="2"/>
        <v>0</v>
      </c>
      <c r="AA20" s="265"/>
      <c r="AB20" s="266"/>
      <c r="AC20" s="269">
        <f t="shared" si="8"/>
        <v>516.39</v>
      </c>
    </row>
    <row r="21" spans="1:29" ht="15" customHeight="1" x14ac:dyDescent="0.25">
      <c r="B21" s="855">
        <f t="shared" si="3"/>
        <v>4</v>
      </c>
      <c r="C21" s="15"/>
      <c r="D21" s="227">
        <v>0</v>
      </c>
      <c r="E21" s="1059"/>
      <c r="F21" s="1060">
        <f t="shared" si="0"/>
        <v>0</v>
      </c>
      <c r="G21" s="422"/>
      <c r="H21" s="423"/>
      <c r="I21" s="269">
        <f t="shared" si="6"/>
        <v>40</v>
      </c>
      <c r="L21" s="855">
        <f t="shared" si="4"/>
        <v>27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7"/>
        <v>515.65</v>
      </c>
      <c r="V21" s="855">
        <f t="shared" si="5"/>
        <v>27</v>
      </c>
      <c r="W21" s="15"/>
      <c r="X21" s="69">
        <v>0</v>
      </c>
      <c r="Y21" s="324"/>
      <c r="Z21" s="275">
        <f t="shared" si="2"/>
        <v>0</v>
      </c>
      <c r="AA21" s="265"/>
      <c r="AB21" s="266"/>
      <c r="AC21" s="269">
        <f t="shared" si="8"/>
        <v>516.39</v>
      </c>
    </row>
    <row r="22" spans="1:29" ht="15" customHeight="1" x14ac:dyDescent="0.25">
      <c r="B22" s="855">
        <f t="shared" si="3"/>
        <v>4</v>
      </c>
      <c r="C22" s="15"/>
      <c r="D22" s="227">
        <v>0</v>
      </c>
      <c r="E22" s="1059"/>
      <c r="F22" s="1060">
        <f t="shared" si="0"/>
        <v>0</v>
      </c>
      <c r="G22" s="911"/>
      <c r="H22" s="912"/>
      <c r="I22" s="269">
        <f t="shared" si="6"/>
        <v>40</v>
      </c>
      <c r="L22" s="855">
        <f t="shared" si="4"/>
        <v>27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7"/>
        <v>515.65</v>
      </c>
      <c r="V22" s="855">
        <f t="shared" si="5"/>
        <v>27</v>
      </c>
      <c r="W22" s="15"/>
      <c r="X22" s="69">
        <v>0</v>
      </c>
      <c r="Y22" s="324"/>
      <c r="Z22" s="275">
        <f t="shared" si="2"/>
        <v>0</v>
      </c>
      <c r="AA22" s="70"/>
      <c r="AB22" s="71"/>
      <c r="AC22" s="269">
        <f t="shared" si="8"/>
        <v>516.39</v>
      </c>
    </row>
    <row r="23" spans="1:29" ht="15" customHeight="1" x14ac:dyDescent="0.25">
      <c r="B23" s="855">
        <f t="shared" si="3"/>
        <v>4</v>
      </c>
      <c r="C23" s="15"/>
      <c r="D23" s="227">
        <v>0</v>
      </c>
      <c r="E23" s="1059"/>
      <c r="F23" s="1060">
        <f t="shared" si="0"/>
        <v>0</v>
      </c>
      <c r="G23" s="911"/>
      <c r="H23" s="912"/>
      <c r="I23" s="269">
        <f t="shared" si="6"/>
        <v>40</v>
      </c>
      <c r="L23" s="855">
        <f t="shared" si="4"/>
        <v>27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7"/>
        <v>515.65</v>
      </c>
      <c r="V23" s="855">
        <f t="shared" si="5"/>
        <v>27</v>
      </c>
      <c r="W23" s="15"/>
      <c r="X23" s="69">
        <v>0</v>
      </c>
      <c r="Y23" s="324"/>
      <c r="Z23" s="275">
        <f t="shared" si="2"/>
        <v>0</v>
      </c>
      <c r="AA23" s="70"/>
      <c r="AB23" s="71"/>
      <c r="AC23" s="269">
        <f t="shared" si="8"/>
        <v>516.39</v>
      </c>
    </row>
    <row r="24" spans="1:29" ht="15" customHeight="1" x14ac:dyDescent="0.25">
      <c r="B24" s="855">
        <f t="shared" si="3"/>
        <v>4</v>
      </c>
      <c r="C24" s="15"/>
      <c r="D24" s="227">
        <v>0</v>
      </c>
      <c r="E24" s="1059"/>
      <c r="F24" s="1060">
        <f t="shared" si="0"/>
        <v>0</v>
      </c>
      <c r="G24" s="911"/>
      <c r="H24" s="912"/>
      <c r="I24" s="269">
        <f t="shared" si="6"/>
        <v>40</v>
      </c>
      <c r="L24" s="855">
        <f t="shared" si="4"/>
        <v>27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7"/>
        <v>515.65</v>
      </c>
      <c r="V24" s="855">
        <f t="shared" si="5"/>
        <v>27</v>
      </c>
      <c r="W24" s="15"/>
      <c r="X24" s="69">
        <v>0</v>
      </c>
      <c r="Y24" s="324"/>
      <c r="Z24" s="275">
        <f t="shared" si="2"/>
        <v>0</v>
      </c>
      <c r="AA24" s="70"/>
      <c r="AB24" s="71"/>
      <c r="AC24" s="269">
        <f t="shared" si="8"/>
        <v>516.39</v>
      </c>
    </row>
    <row r="25" spans="1:29" ht="15" customHeight="1" x14ac:dyDescent="0.25">
      <c r="B25" s="855">
        <f t="shared" si="3"/>
        <v>4</v>
      </c>
      <c r="C25" s="15"/>
      <c r="D25" s="227">
        <v>0</v>
      </c>
      <c r="E25" s="1059"/>
      <c r="F25" s="1060">
        <f t="shared" si="0"/>
        <v>0</v>
      </c>
      <c r="G25" s="911"/>
      <c r="H25" s="912"/>
      <c r="I25" s="269">
        <f t="shared" si="6"/>
        <v>40</v>
      </c>
      <c r="L25" s="855">
        <f t="shared" si="4"/>
        <v>27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7"/>
        <v>515.65</v>
      </c>
      <c r="V25" s="855">
        <f t="shared" si="5"/>
        <v>27</v>
      </c>
      <c r="W25" s="15"/>
      <c r="X25" s="69">
        <v>0</v>
      </c>
      <c r="Y25" s="324"/>
      <c r="Z25" s="275">
        <f t="shared" si="2"/>
        <v>0</v>
      </c>
      <c r="AA25" s="70"/>
      <c r="AB25" s="71"/>
      <c r="AC25" s="269">
        <f t="shared" si="8"/>
        <v>516.39</v>
      </c>
    </row>
    <row r="26" spans="1:29" ht="15" customHeight="1" x14ac:dyDescent="0.25">
      <c r="B26" s="855">
        <f t="shared" si="3"/>
        <v>4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6"/>
        <v>40</v>
      </c>
      <c r="L26" s="855">
        <f t="shared" si="4"/>
        <v>27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7"/>
        <v>515.65</v>
      </c>
      <c r="V26" s="855">
        <f t="shared" si="5"/>
        <v>27</v>
      </c>
      <c r="W26" s="15"/>
      <c r="X26" s="69">
        <v>0</v>
      </c>
      <c r="Y26" s="324"/>
      <c r="Z26" s="275">
        <f t="shared" si="2"/>
        <v>0</v>
      </c>
      <c r="AA26" s="70"/>
      <c r="AB26" s="71"/>
      <c r="AC26" s="269">
        <f t="shared" si="8"/>
        <v>516.39</v>
      </c>
    </row>
    <row r="27" spans="1:29" ht="15" customHeight="1" x14ac:dyDescent="0.25">
      <c r="B27" s="855">
        <f t="shared" si="3"/>
        <v>4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6"/>
        <v>40</v>
      </c>
      <c r="L27" s="855">
        <f t="shared" si="4"/>
        <v>27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7"/>
        <v>515.65</v>
      </c>
      <c r="V27" s="855">
        <f t="shared" si="5"/>
        <v>27</v>
      </c>
      <c r="W27" s="15"/>
      <c r="X27" s="69">
        <v>0</v>
      </c>
      <c r="Y27" s="324"/>
      <c r="Z27" s="275">
        <f t="shared" si="2"/>
        <v>0</v>
      </c>
      <c r="AA27" s="70"/>
      <c r="AB27" s="71"/>
      <c r="AC27" s="229">
        <f t="shared" si="8"/>
        <v>516.39</v>
      </c>
    </row>
    <row r="28" spans="1:29" ht="15" customHeight="1" x14ac:dyDescent="0.25">
      <c r="A28" s="47"/>
      <c r="B28" s="855">
        <f t="shared" si="3"/>
        <v>4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6"/>
        <v>40</v>
      </c>
      <c r="K28" s="47"/>
      <c r="L28" s="855">
        <f t="shared" si="4"/>
        <v>27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7"/>
        <v>515.65</v>
      </c>
      <c r="U28" s="47"/>
      <c r="V28" s="855">
        <f t="shared" si="5"/>
        <v>27</v>
      </c>
      <c r="W28" s="15"/>
      <c r="X28" s="69">
        <v>0</v>
      </c>
      <c r="Y28" s="324"/>
      <c r="Z28" s="275">
        <f t="shared" si="2"/>
        <v>0</v>
      </c>
      <c r="AA28" s="70"/>
      <c r="AB28" s="71"/>
      <c r="AC28" s="229">
        <f t="shared" si="8"/>
        <v>516.39</v>
      </c>
    </row>
    <row r="29" spans="1:29" ht="15" customHeight="1" x14ac:dyDescent="0.25">
      <c r="A29" s="47"/>
      <c r="B29" s="855">
        <f t="shared" si="3"/>
        <v>4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6"/>
        <v>40</v>
      </c>
      <c r="K29" s="47"/>
      <c r="L29" s="855">
        <f t="shared" si="4"/>
        <v>27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7"/>
        <v>515.65</v>
      </c>
      <c r="U29" s="47"/>
      <c r="V29" s="855">
        <f t="shared" si="5"/>
        <v>27</v>
      </c>
      <c r="W29" s="15"/>
      <c r="X29" s="69">
        <v>0</v>
      </c>
      <c r="Y29" s="324"/>
      <c r="Z29" s="275">
        <f t="shared" si="2"/>
        <v>0</v>
      </c>
      <c r="AA29" s="265"/>
      <c r="AB29" s="266"/>
      <c r="AC29" s="269">
        <f t="shared" si="8"/>
        <v>516.39</v>
      </c>
    </row>
    <row r="30" spans="1:29" ht="15" customHeight="1" x14ac:dyDescent="0.25">
      <c r="A30" s="47"/>
      <c r="B30" s="855">
        <f t="shared" si="3"/>
        <v>4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6"/>
        <v>40</v>
      </c>
      <c r="K30" s="47"/>
      <c r="L30" s="855">
        <f t="shared" si="4"/>
        <v>27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7"/>
        <v>515.65</v>
      </c>
      <c r="U30" s="47"/>
      <c r="V30" s="855">
        <f t="shared" si="5"/>
        <v>27</v>
      </c>
      <c r="W30" s="15"/>
      <c r="X30" s="69">
        <v>0</v>
      </c>
      <c r="Y30" s="324"/>
      <c r="Z30" s="275">
        <f t="shared" si="2"/>
        <v>0</v>
      </c>
      <c r="AA30" s="265"/>
      <c r="AB30" s="266"/>
      <c r="AC30" s="269">
        <f t="shared" si="8"/>
        <v>516.39</v>
      </c>
    </row>
    <row r="31" spans="1:29" ht="15" customHeight="1" x14ac:dyDescent="0.25">
      <c r="A31" s="47"/>
      <c r="B31" s="855">
        <f t="shared" si="3"/>
        <v>4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6"/>
        <v>40</v>
      </c>
      <c r="K31" s="47"/>
      <c r="L31" s="855">
        <f t="shared" si="4"/>
        <v>27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7"/>
        <v>515.65</v>
      </c>
      <c r="U31" s="47"/>
      <c r="V31" s="855">
        <f t="shared" si="5"/>
        <v>27</v>
      </c>
      <c r="W31" s="15"/>
      <c r="X31" s="69">
        <v>0</v>
      </c>
      <c r="Y31" s="324"/>
      <c r="Z31" s="275">
        <f t="shared" si="2"/>
        <v>0</v>
      </c>
      <c r="AA31" s="265"/>
      <c r="AB31" s="266"/>
      <c r="AC31" s="269">
        <f t="shared" si="8"/>
        <v>516.39</v>
      </c>
    </row>
    <row r="32" spans="1:29" ht="15" customHeight="1" x14ac:dyDescent="0.25">
      <c r="A32" s="47"/>
      <c r="B32" s="855">
        <f t="shared" si="3"/>
        <v>4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6"/>
        <v>40</v>
      </c>
      <c r="K32" s="47"/>
      <c r="L32" s="855">
        <f t="shared" si="4"/>
        <v>27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7"/>
        <v>515.65</v>
      </c>
      <c r="U32" s="47"/>
      <c r="V32" s="855">
        <f t="shared" si="5"/>
        <v>27</v>
      </c>
      <c r="W32" s="15"/>
      <c r="X32" s="69">
        <v>0</v>
      </c>
      <c r="Y32" s="324"/>
      <c r="Z32" s="275">
        <f t="shared" si="2"/>
        <v>0</v>
      </c>
      <c r="AA32" s="265"/>
      <c r="AB32" s="266"/>
      <c r="AC32" s="269">
        <f t="shared" si="8"/>
        <v>516.39</v>
      </c>
    </row>
    <row r="33" spans="1:29" ht="15" customHeight="1" x14ac:dyDescent="0.25">
      <c r="A33" s="47"/>
      <c r="B33" s="855">
        <f t="shared" si="3"/>
        <v>4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6"/>
        <v>40</v>
      </c>
      <c r="K33" s="47"/>
      <c r="L33" s="855">
        <f t="shared" si="4"/>
        <v>27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7"/>
        <v>515.65</v>
      </c>
      <c r="U33" s="47"/>
      <c r="V33" s="855">
        <f t="shared" si="5"/>
        <v>27</v>
      </c>
      <c r="W33" s="15"/>
      <c r="X33" s="69">
        <v>0</v>
      </c>
      <c r="Y33" s="324"/>
      <c r="Z33" s="275">
        <f t="shared" si="2"/>
        <v>0</v>
      </c>
      <c r="AA33" s="265"/>
      <c r="AB33" s="266"/>
      <c r="AC33" s="269">
        <f t="shared" si="8"/>
        <v>516.39</v>
      </c>
    </row>
    <row r="34" spans="1:29" ht="15" customHeight="1" x14ac:dyDescent="0.25">
      <c r="A34" s="47"/>
      <c r="B34" s="855">
        <f t="shared" si="3"/>
        <v>4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6"/>
        <v>40</v>
      </c>
      <c r="K34" s="47"/>
      <c r="L34" s="855">
        <f t="shared" si="4"/>
        <v>27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7"/>
        <v>515.65</v>
      </c>
      <c r="U34" s="47"/>
      <c r="V34" s="855">
        <f t="shared" si="5"/>
        <v>27</v>
      </c>
      <c r="W34" s="15"/>
      <c r="X34" s="69">
        <v>0</v>
      </c>
      <c r="Y34" s="324"/>
      <c r="Z34" s="275">
        <f t="shared" si="2"/>
        <v>0</v>
      </c>
      <c r="AA34" s="265"/>
      <c r="AB34" s="266"/>
      <c r="AC34" s="269">
        <f t="shared" si="8"/>
        <v>516.39</v>
      </c>
    </row>
    <row r="35" spans="1:29" ht="15.75" thickBot="1" x14ac:dyDescent="0.3">
      <c r="A35" s="121"/>
      <c r="B35" s="855">
        <f t="shared" si="3"/>
        <v>4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55">
        <f t="shared" si="4"/>
        <v>27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  <c r="U35" s="121"/>
      <c r="V35" s="855">
        <f t="shared" si="5"/>
        <v>27</v>
      </c>
      <c r="W35" s="37"/>
      <c r="X35" s="69">
        <v>0</v>
      </c>
      <c r="Y35" s="217"/>
      <c r="Z35" s="275">
        <f t="shared" si="2"/>
        <v>0</v>
      </c>
      <c r="AA35" s="139"/>
      <c r="AB35" s="211"/>
      <c r="AC35" s="303"/>
    </row>
    <row r="36" spans="1:29" ht="15.75" thickTop="1" x14ac:dyDescent="0.25">
      <c r="A36" s="47">
        <f>SUM(A28:A35)</f>
        <v>0</v>
      </c>
      <c r="C36" s="73">
        <f>SUM(C8:C35)</f>
        <v>46</v>
      </c>
      <c r="D36" s="105">
        <f>SUM(D8:D35)</f>
        <v>460</v>
      </c>
      <c r="E36" s="75"/>
      <c r="F36" s="105">
        <f>SUM(F8:F35)</f>
        <v>460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  <c r="U36" s="47">
        <f>SUM(U28:U35)</f>
        <v>0</v>
      </c>
      <c r="W36" s="73">
        <f>SUM(W8:W35)</f>
        <v>0</v>
      </c>
      <c r="X36" s="105">
        <f>SUM(X8:X35)</f>
        <v>0</v>
      </c>
      <c r="Y36" s="75"/>
      <c r="Z36" s="105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853"/>
      <c r="D38" s="1241" t="s">
        <v>21</v>
      </c>
      <c r="E38" s="1242"/>
      <c r="F38" s="141">
        <f>E4+E5-F36+E6</f>
        <v>40</v>
      </c>
      <c r="L38" s="853"/>
      <c r="N38" s="1241" t="s">
        <v>21</v>
      </c>
      <c r="O38" s="1242"/>
      <c r="P38" s="141">
        <f>O4+O5-P36+O6</f>
        <v>515.65</v>
      </c>
      <c r="V38" s="853"/>
      <c r="X38" s="1241" t="s">
        <v>21</v>
      </c>
      <c r="Y38" s="1242"/>
      <c r="Z38" s="141">
        <f>Y4+Y5-Z36+Y6</f>
        <v>516.39</v>
      </c>
    </row>
    <row r="39" spans="1:29" ht="15.75" thickBot="1" x14ac:dyDescent="0.3">
      <c r="A39" s="125"/>
      <c r="D39" s="954" t="s">
        <v>4</v>
      </c>
      <c r="E39" s="955"/>
      <c r="F39" s="49">
        <f>F4+F5-C36+F6</f>
        <v>4</v>
      </c>
      <c r="K39" s="125"/>
      <c r="N39" s="1011" t="s">
        <v>4</v>
      </c>
      <c r="O39" s="1012"/>
      <c r="P39" s="49">
        <f>P4+P5-M36+P6</f>
        <v>27</v>
      </c>
      <c r="U39" s="125"/>
      <c r="X39" s="1154" t="s">
        <v>4</v>
      </c>
      <c r="Y39" s="1155"/>
      <c r="Z39" s="49">
        <f>Z4+Z5-W36+Z6</f>
        <v>27</v>
      </c>
    </row>
    <row r="40" spans="1:29" x14ac:dyDescent="0.25">
      <c r="B40" s="853"/>
      <c r="L40" s="853"/>
      <c r="V40" s="853"/>
    </row>
  </sheetData>
  <mergeCells count="10">
    <mergeCell ref="U1:AA1"/>
    <mergeCell ref="V5:V6"/>
    <mergeCell ref="X38:Y38"/>
    <mergeCell ref="U5:U6"/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52"/>
      <c r="B1" s="1252"/>
      <c r="C1" s="1252"/>
      <c r="D1" s="1252"/>
      <c r="E1" s="1252"/>
      <c r="F1" s="1252"/>
      <c r="G1" s="125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250"/>
      <c r="B5" s="1267" t="s">
        <v>77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250"/>
      <c r="B6" s="1268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4"/>
      <c r="D8" s="69">
        <f t="shared" ref="D8:D39" si="0">C8*B8</f>
        <v>0</v>
      </c>
      <c r="E8" s="326"/>
      <c r="F8" s="675">
        <f t="shared" ref="F8:F15" si="1">D8</f>
        <v>0</v>
      </c>
      <c r="G8" s="265"/>
      <c r="H8" s="286"/>
      <c r="I8" s="710">
        <f>E4+E5+E6-F8</f>
        <v>0</v>
      </c>
      <c r="J8" s="673">
        <f>H8*F8</f>
        <v>0</v>
      </c>
    </row>
    <row r="9" spans="1:10" ht="15.75" x14ac:dyDescent="0.25">
      <c r="B9" s="195">
        <v>13</v>
      </c>
      <c r="C9" s="674"/>
      <c r="D9" s="69">
        <f t="shared" si="0"/>
        <v>0</v>
      </c>
      <c r="E9" s="326"/>
      <c r="F9" s="711">
        <f t="shared" si="1"/>
        <v>0</v>
      </c>
      <c r="G9" s="265"/>
      <c r="H9" s="286"/>
      <c r="I9" s="712">
        <f>I8-F9</f>
        <v>0</v>
      </c>
      <c r="J9" s="709">
        <f t="shared" ref="J9:J39" si="2">H9*F9</f>
        <v>0</v>
      </c>
    </row>
    <row r="10" spans="1:10" ht="15.75" x14ac:dyDescent="0.25">
      <c r="B10" s="195">
        <v>13</v>
      </c>
      <c r="C10" s="674"/>
      <c r="D10" s="69">
        <f t="shared" si="0"/>
        <v>0</v>
      </c>
      <c r="E10" s="326"/>
      <c r="F10" s="711">
        <f t="shared" si="1"/>
        <v>0</v>
      </c>
      <c r="G10" s="265"/>
      <c r="H10" s="286"/>
      <c r="I10" s="712">
        <f t="shared" ref="I10:I38" si="3">I9-F10</f>
        <v>0</v>
      </c>
      <c r="J10" s="709">
        <f t="shared" si="2"/>
        <v>0</v>
      </c>
    </row>
    <row r="11" spans="1:10" ht="15.75" x14ac:dyDescent="0.25">
      <c r="A11" s="55" t="s">
        <v>33</v>
      </c>
      <c r="B11" s="195">
        <v>13</v>
      </c>
      <c r="C11" s="674"/>
      <c r="D11" s="69">
        <f t="shared" si="0"/>
        <v>0</v>
      </c>
      <c r="E11" s="326"/>
      <c r="F11" s="711">
        <f t="shared" si="1"/>
        <v>0</v>
      </c>
      <c r="G11" s="265"/>
      <c r="H11" s="286"/>
      <c r="I11" s="712">
        <f t="shared" si="3"/>
        <v>0</v>
      </c>
      <c r="J11" s="709">
        <f t="shared" si="2"/>
        <v>0</v>
      </c>
    </row>
    <row r="12" spans="1:10" ht="15.75" x14ac:dyDescent="0.25">
      <c r="B12" s="195">
        <v>13</v>
      </c>
      <c r="C12" s="674"/>
      <c r="D12" s="69">
        <f t="shared" si="0"/>
        <v>0</v>
      </c>
      <c r="E12" s="326"/>
      <c r="F12" s="711">
        <f t="shared" si="1"/>
        <v>0</v>
      </c>
      <c r="G12" s="265"/>
      <c r="H12" s="286"/>
      <c r="I12" s="712">
        <f t="shared" si="3"/>
        <v>0</v>
      </c>
      <c r="J12" s="709">
        <f t="shared" si="2"/>
        <v>0</v>
      </c>
    </row>
    <row r="13" spans="1:10" ht="15.75" x14ac:dyDescent="0.25">
      <c r="A13" s="19"/>
      <c r="B13" s="195">
        <v>13</v>
      </c>
      <c r="C13" s="898"/>
      <c r="D13" s="69">
        <f t="shared" si="0"/>
        <v>0</v>
      </c>
      <c r="E13" s="326"/>
      <c r="F13" s="711">
        <f t="shared" si="1"/>
        <v>0</v>
      </c>
      <c r="G13" s="265"/>
      <c r="H13" s="286"/>
      <c r="I13" s="712">
        <f t="shared" si="3"/>
        <v>0</v>
      </c>
      <c r="J13" s="709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5">
        <f t="shared" si="1"/>
        <v>0</v>
      </c>
      <c r="G14" s="265"/>
      <c r="H14" s="286"/>
      <c r="I14" s="712">
        <f t="shared" si="3"/>
        <v>0</v>
      </c>
      <c r="J14" s="676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5">
        <f t="shared" si="1"/>
        <v>0</v>
      </c>
      <c r="G15" s="70"/>
      <c r="H15" s="588"/>
      <c r="I15" s="712">
        <f t="shared" si="3"/>
        <v>0</v>
      </c>
      <c r="J15" s="676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5">
        <f>D16</f>
        <v>0</v>
      </c>
      <c r="G16" s="70"/>
      <c r="H16" s="588"/>
      <c r="I16" s="712">
        <f t="shared" si="3"/>
        <v>0</v>
      </c>
      <c r="J16" s="676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5">
        <f>D17</f>
        <v>0</v>
      </c>
      <c r="G17" s="70"/>
      <c r="H17" s="588"/>
      <c r="I17" s="712">
        <f t="shared" si="3"/>
        <v>0</v>
      </c>
      <c r="J17" s="676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5">
        <f t="shared" ref="F18:F39" si="4">D18</f>
        <v>0</v>
      </c>
      <c r="G18" s="70"/>
      <c r="H18" s="823"/>
      <c r="I18" s="712">
        <f t="shared" si="3"/>
        <v>0</v>
      </c>
      <c r="J18" s="676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5">
        <f t="shared" si="4"/>
        <v>0</v>
      </c>
      <c r="G19" s="265"/>
      <c r="H19" s="824"/>
      <c r="I19" s="712">
        <f t="shared" si="3"/>
        <v>0</v>
      </c>
      <c r="J19" s="676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5">
        <f t="shared" si="4"/>
        <v>0</v>
      </c>
      <c r="G20" s="265"/>
      <c r="H20" s="824"/>
      <c r="I20" s="712">
        <f t="shared" si="3"/>
        <v>0</v>
      </c>
      <c r="J20" s="676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5">
        <f t="shared" si="4"/>
        <v>0</v>
      </c>
      <c r="G21" s="265"/>
      <c r="H21" s="824"/>
      <c r="I21" s="712">
        <f t="shared" si="3"/>
        <v>0</v>
      </c>
      <c r="J21" s="676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5">
        <f t="shared" si="4"/>
        <v>0</v>
      </c>
      <c r="G22" s="265"/>
      <c r="H22" s="824"/>
      <c r="I22" s="712">
        <f t="shared" si="3"/>
        <v>0</v>
      </c>
      <c r="J22" s="676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5">
        <f t="shared" si="4"/>
        <v>0</v>
      </c>
      <c r="G23" s="265"/>
      <c r="H23" s="860"/>
      <c r="I23" s="712">
        <f t="shared" si="3"/>
        <v>0</v>
      </c>
      <c r="J23" s="676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5">
        <f t="shared" si="4"/>
        <v>0</v>
      </c>
      <c r="G24" s="265"/>
      <c r="H24" s="860"/>
      <c r="I24" s="713">
        <f t="shared" si="3"/>
        <v>0</v>
      </c>
      <c r="J24" s="676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5">
        <f t="shared" si="4"/>
        <v>0</v>
      </c>
      <c r="G25" s="265"/>
      <c r="H25" s="860"/>
      <c r="I25" s="713">
        <f t="shared" si="3"/>
        <v>0</v>
      </c>
      <c r="J25" s="676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5">
        <f t="shared" si="4"/>
        <v>0</v>
      </c>
      <c r="G26" s="70"/>
      <c r="H26" s="861"/>
      <c r="I26" s="713">
        <f t="shared" si="3"/>
        <v>0</v>
      </c>
      <c r="J26" s="676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5">
        <f t="shared" si="4"/>
        <v>0</v>
      </c>
      <c r="G27" s="70"/>
      <c r="H27" s="861"/>
      <c r="I27" s="713">
        <f t="shared" si="3"/>
        <v>0</v>
      </c>
      <c r="J27" s="676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5">
        <f t="shared" si="4"/>
        <v>0</v>
      </c>
      <c r="G28" s="70"/>
      <c r="H28" s="861"/>
      <c r="I28" s="713">
        <f t="shared" si="3"/>
        <v>0</v>
      </c>
      <c r="J28" s="676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5">
        <f t="shared" si="4"/>
        <v>0</v>
      </c>
      <c r="G29" s="70"/>
      <c r="H29" s="861"/>
      <c r="I29" s="713">
        <f t="shared" si="3"/>
        <v>0</v>
      </c>
      <c r="J29" s="676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5">
        <f t="shared" si="4"/>
        <v>0</v>
      </c>
      <c r="G30" s="70"/>
      <c r="H30" s="861"/>
      <c r="I30" s="713">
        <f t="shared" si="3"/>
        <v>0</v>
      </c>
      <c r="J30" s="676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5">
        <f t="shared" si="4"/>
        <v>0</v>
      </c>
      <c r="G31" s="70"/>
      <c r="H31" s="861"/>
      <c r="I31" s="713">
        <f t="shared" si="3"/>
        <v>0</v>
      </c>
      <c r="J31" s="676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5">
        <f t="shared" si="4"/>
        <v>0</v>
      </c>
      <c r="G32" s="70"/>
      <c r="H32" s="861"/>
      <c r="I32" s="713">
        <f t="shared" si="3"/>
        <v>0</v>
      </c>
      <c r="J32" s="676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5">
        <f t="shared" si="4"/>
        <v>0</v>
      </c>
      <c r="G33" s="70"/>
      <c r="H33" s="861"/>
      <c r="I33" s="713">
        <f t="shared" si="3"/>
        <v>0</v>
      </c>
      <c r="J33" s="676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5">
        <f t="shared" si="4"/>
        <v>0</v>
      </c>
      <c r="G34" s="70"/>
      <c r="H34" s="861"/>
      <c r="I34" s="713">
        <f t="shared" si="3"/>
        <v>0</v>
      </c>
      <c r="J34" s="676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5">
        <f t="shared" si="4"/>
        <v>0</v>
      </c>
      <c r="G35" s="70"/>
      <c r="H35" s="861"/>
      <c r="I35" s="713">
        <f t="shared" si="3"/>
        <v>0</v>
      </c>
      <c r="J35" s="676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5">
        <f t="shared" si="4"/>
        <v>0</v>
      </c>
      <c r="G36" s="70"/>
      <c r="H36" s="588"/>
      <c r="I36" s="713">
        <f t="shared" si="3"/>
        <v>0</v>
      </c>
      <c r="J36" s="676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5">
        <f t="shared" si="4"/>
        <v>0</v>
      </c>
      <c r="G37" s="70"/>
      <c r="H37" s="588"/>
      <c r="I37" s="713">
        <f t="shared" si="3"/>
        <v>0</v>
      </c>
      <c r="J37" s="676">
        <f t="shared" si="2"/>
        <v>0</v>
      </c>
    </row>
    <row r="38" spans="1:10" ht="15.75" x14ac:dyDescent="0.25">
      <c r="A38" s="47"/>
      <c r="B38" s="195">
        <v>13</v>
      </c>
      <c r="C38" s="674"/>
      <c r="D38" s="69">
        <f t="shared" si="0"/>
        <v>0</v>
      </c>
      <c r="E38" s="326"/>
      <c r="F38" s="675">
        <f t="shared" si="4"/>
        <v>0</v>
      </c>
      <c r="G38" s="70"/>
      <c r="H38" s="588"/>
      <c r="I38" s="713">
        <f t="shared" si="3"/>
        <v>0</v>
      </c>
      <c r="J38" s="676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1"/>
      <c r="J39" s="67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41" t="s">
        <v>21</v>
      </c>
      <c r="E42" s="1242"/>
      <c r="F42" s="141">
        <f>E4+E5-F40+E6</f>
        <v>0</v>
      </c>
    </row>
    <row r="43" spans="1:10" ht="15.75" thickBot="1" x14ac:dyDescent="0.3">
      <c r="A43" s="125"/>
      <c r="D43" s="866" t="s">
        <v>4</v>
      </c>
      <c r="E43" s="86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52"/>
      <c r="B1" s="1252"/>
      <c r="C1" s="1252"/>
      <c r="D1" s="1252"/>
      <c r="E1" s="1252"/>
      <c r="F1" s="1252"/>
      <c r="G1" s="1252"/>
      <c r="H1" s="11">
        <v>1</v>
      </c>
    </row>
    <row r="2" spans="1:15" ht="16.5" thickBot="1" x14ac:dyDescent="0.3">
      <c r="K2" s="639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69"/>
      <c r="B5" s="808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69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4">
        <f>E5+E6-F8+E4</f>
        <v>0</v>
      </c>
      <c r="J8" s="680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4">
        <f>I8-F9</f>
        <v>0</v>
      </c>
      <c r="J9" s="680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4">
        <f t="shared" ref="I10:I27" si="3">I9-F10</f>
        <v>0</v>
      </c>
      <c r="J10" s="680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4">
        <f t="shared" si="3"/>
        <v>0</v>
      </c>
      <c r="J11" s="680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4">
        <f t="shared" si="3"/>
        <v>0</v>
      </c>
      <c r="J12" s="680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66">
        <f t="shared" si="3"/>
        <v>0</v>
      </c>
      <c r="J13" s="680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66">
        <f t="shared" si="3"/>
        <v>0</v>
      </c>
      <c r="J14" s="680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66">
        <f t="shared" si="3"/>
        <v>0</v>
      </c>
      <c r="J15" s="680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67">
        <f t="shared" si="3"/>
        <v>0</v>
      </c>
      <c r="J16" s="665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67">
        <f t="shared" si="3"/>
        <v>0</v>
      </c>
      <c r="J17" s="665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67">
        <f t="shared" si="3"/>
        <v>0</v>
      </c>
      <c r="J18" s="665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67">
        <f t="shared" si="3"/>
        <v>0</v>
      </c>
      <c r="J19" s="665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67">
        <f t="shared" si="3"/>
        <v>0</v>
      </c>
      <c r="J20" s="665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67">
        <f t="shared" si="3"/>
        <v>0</v>
      </c>
      <c r="J21" s="665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67">
        <f t="shared" si="3"/>
        <v>0</v>
      </c>
      <c r="J22" s="665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67">
        <f t="shared" si="3"/>
        <v>0</v>
      </c>
      <c r="J23" s="665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67">
        <f t="shared" si="3"/>
        <v>0</v>
      </c>
      <c r="J24" s="665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67">
        <f t="shared" si="3"/>
        <v>0</v>
      </c>
      <c r="J25" s="665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67">
        <f t="shared" si="3"/>
        <v>0</v>
      </c>
      <c r="J26" s="665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68">
        <f t="shared" si="3"/>
        <v>0</v>
      </c>
      <c r="J27" s="665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9"/>
      <c r="J28" s="67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41" t="s">
        <v>21</v>
      </c>
      <c r="E31" s="1242"/>
      <c r="F31" s="141">
        <f>E4+E5-F29+E6</f>
        <v>0</v>
      </c>
    </row>
    <row r="32" spans="1:10" ht="15.75" thickBot="1" x14ac:dyDescent="0.3">
      <c r="A32" s="125"/>
      <c r="D32" s="805" t="s">
        <v>4</v>
      </c>
      <c r="E32" s="806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52"/>
      <c r="B1" s="1252"/>
      <c r="C1" s="1252"/>
      <c r="D1" s="1252"/>
      <c r="E1" s="1252"/>
      <c r="F1" s="1252"/>
      <c r="G1" s="1252"/>
      <c r="H1" s="11">
        <v>1</v>
      </c>
    </row>
    <row r="2" spans="1:15" ht="16.5" thickBot="1" x14ac:dyDescent="0.3">
      <c r="K2" s="639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70" t="s">
        <v>94</v>
      </c>
      <c r="C4" s="128"/>
      <c r="D4" s="134"/>
      <c r="E4" s="193"/>
      <c r="F4" s="137"/>
      <c r="G4" s="38"/>
    </row>
    <row r="5" spans="1:15" ht="15.75" x14ac:dyDescent="0.25">
      <c r="A5" s="1269"/>
      <c r="B5" s="1271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69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4">
        <f>E5+E6-F8+E4</f>
        <v>0</v>
      </c>
      <c r="J8" s="680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4">
        <f>I8-F9</f>
        <v>0</v>
      </c>
      <c r="J9" s="680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4">
        <f t="shared" ref="I10:I27" si="2">I9-F10</f>
        <v>0</v>
      </c>
      <c r="J10" s="680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4">
        <f t="shared" si="2"/>
        <v>0</v>
      </c>
      <c r="J11" s="680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4">
        <f t="shared" si="2"/>
        <v>0</v>
      </c>
      <c r="J12" s="680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66">
        <f t="shared" si="2"/>
        <v>0</v>
      </c>
      <c r="J13" s="680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66">
        <f t="shared" si="2"/>
        <v>0</v>
      </c>
      <c r="J14" s="680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66">
        <f t="shared" si="2"/>
        <v>0</v>
      </c>
      <c r="J15" s="680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67">
        <f t="shared" si="2"/>
        <v>0</v>
      </c>
      <c r="J16" s="665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67">
        <f t="shared" si="2"/>
        <v>0</v>
      </c>
      <c r="J17" s="665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67">
        <f t="shared" si="2"/>
        <v>0</v>
      </c>
      <c r="J18" s="665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67">
        <f t="shared" si="2"/>
        <v>0</v>
      </c>
      <c r="J19" s="665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67">
        <f t="shared" si="2"/>
        <v>0</v>
      </c>
      <c r="J20" s="665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67">
        <f t="shared" si="2"/>
        <v>0</v>
      </c>
      <c r="J21" s="665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67">
        <f t="shared" si="2"/>
        <v>0</v>
      </c>
      <c r="J22" s="665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67">
        <f t="shared" si="2"/>
        <v>0</v>
      </c>
      <c r="J23" s="665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67">
        <f t="shared" si="2"/>
        <v>0</v>
      </c>
      <c r="J24" s="665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67">
        <f t="shared" si="2"/>
        <v>0</v>
      </c>
      <c r="J25" s="665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67">
        <f t="shared" si="2"/>
        <v>0</v>
      </c>
      <c r="J26" s="665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68">
        <f t="shared" si="2"/>
        <v>0</v>
      </c>
      <c r="J27" s="665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9"/>
      <c r="J28" s="67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41" t="s">
        <v>21</v>
      </c>
      <c r="E31" s="1242"/>
      <c r="F31" s="141">
        <f>E4+E5-F29+E6</f>
        <v>0</v>
      </c>
    </row>
    <row r="32" spans="1:10" ht="15.75" thickBot="1" x14ac:dyDescent="0.3">
      <c r="A32" s="125"/>
      <c r="D32" s="576" t="s">
        <v>4</v>
      </c>
      <c r="E32" s="577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03"/>
    <col min="10" max="10" width="17.5703125" customWidth="1"/>
  </cols>
  <sheetData>
    <row r="1" spans="1:11" ht="40.5" x14ac:dyDescent="0.55000000000000004">
      <c r="A1" s="1252"/>
      <c r="B1" s="1252"/>
      <c r="C1" s="1252"/>
      <c r="D1" s="1252"/>
      <c r="E1" s="1252"/>
      <c r="F1" s="1252"/>
      <c r="G1" s="1252"/>
      <c r="H1" s="11">
        <v>1</v>
      </c>
    </row>
    <row r="2" spans="1:11" ht="16.5" thickBot="1" x14ac:dyDescent="0.3">
      <c r="K2" s="63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99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04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05">
        <f>E5+E6-F8+E4</f>
        <v>0</v>
      </c>
      <c r="J8" s="680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05">
        <f>I8-F9</f>
        <v>0</v>
      </c>
      <c r="J9" s="680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05">
        <f t="shared" ref="I10:I27" si="4">I9-F10</f>
        <v>0</v>
      </c>
      <c r="J10" s="680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05">
        <f t="shared" si="4"/>
        <v>0</v>
      </c>
      <c r="J11" s="680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05">
        <f t="shared" si="4"/>
        <v>0</v>
      </c>
      <c r="J12" s="680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05">
        <f t="shared" si="4"/>
        <v>0</v>
      </c>
      <c r="J13" s="680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05">
        <f t="shared" si="4"/>
        <v>0</v>
      </c>
      <c r="J14" s="680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05">
        <f t="shared" si="4"/>
        <v>0</v>
      </c>
      <c r="J15" s="680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06">
        <f t="shared" si="4"/>
        <v>0</v>
      </c>
      <c r="J16" s="665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06">
        <f t="shared" si="4"/>
        <v>0</v>
      </c>
      <c r="J17" s="665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06">
        <f t="shared" si="4"/>
        <v>0</v>
      </c>
      <c r="J18" s="665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06">
        <f t="shared" si="4"/>
        <v>0</v>
      </c>
      <c r="J19" s="665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06">
        <f t="shared" si="4"/>
        <v>0</v>
      </c>
      <c r="J20" s="665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06">
        <f t="shared" si="4"/>
        <v>0</v>
      </c>
      <c r="J21" s="665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06">
        <f t="shared" si="4"/>
        <v>0</v>
      </c>
      <c r="J22" s="665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06">
        <f t="shared" si="4"/>
        <v>0</v>
      </c>
      <c r="J23" s="665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06">
        <f t="shared" si="4"/>
        <v>0</v>
      </c>
      <c r="J24" s="665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06">
        <f t="shared" si="4"/>
        <v>0</v>
      </c>
      <c r="J25" s="665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06">
        <f t="shared" si="4"/>
        <v>0</v>
      </c>
      <c r="J26" s="665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06">
        <f t="shared" si="4"/>
        <v>0</v>
      </c>
      <c r="J27" s="665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07"/>
      <c r="J28" s="67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41" t="s">
        <v>21</v>
      </c>
      <c r="E31" s="1242"/>
      <c r="F31" s="141">
        <f>E4+E5-F29+E6</f>
        <v>0</v>
      </c>
    </row>
    <row r="32" spans="1:10" ht="16.5" thickBot="1" x14ac:dyDescent="0.3">
      <c r="A32" s="125"/>
      <c r="D32" s="700" t="s">
        <v>4</v>
      </c>
      <c r="E32" s="701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C14" sqref="C13: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5" t="s">
        <v>281</v>
      </c>
      <c r="B1" s="1245"/>
      <c r="C1" s="1245"/>
      <c r="D1" s="1245"/>
      <c r="E1" s="1245"/>
      <c r="F1" s="1245"/>
      <c r="G1" s="1245"/>
      <c r="H1" s="356">
        <v>1</v>
      </c>
      <c r="I1" s="56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6"/>
    </row>
    <row r="3" spans="1:10" ht="16.5" thickTop="1" thickBot="1" x14ac:dyDescent="0.3">
      <c r="A3" s="72"/>
      <c r="B3" s="792" t="s">
        <v>1</v>
      </c>
      <c r="C3" s="72"/>
      <c r="D3" s="72"/>
      <c r="E3" s="72"/>
      <c r="F3" s="72"/>
      <c r="G3" s="366" t="s">
        <v>20</v>
      </c>
      <c r="H3" s="365" t="s">
        <v>6</v>
      </c>
      <c r="I3" s="569"/>
    </row>
    <row r="4" spans="1:10" ht="15.75" customHeight="1" thickTop="1" x14ac:dyDescent="0.25">
      <c r="A4" s="75"/>
      <c r="B4" s="1082"/>
      <c r="C4" s="322"/>
      <c r="D4" s="248"/>
      <c r="E4" s="528"/>
      <c r="F4" s="243"/>
      <c r="G4" s="1013"/>
      <c r="H4" s="153"/>
      <c r="I4" s="573"/>
    </row>
    <row r="5" spans="1:10" ht="14.25" customHeight="1" x14ac:dyDescent="0.25">
      <c r="A5" s="1246" t="s">
        <v>282</v>
      </c>
      <c r="B5" s="1272" t="s">
        <v>283</v>
      </c>
      <c r="C5" s="563">
        <v>47</v>
      </c>
      <c r="D5" s="248">
        <v>44711</v>
      </c>
      <c r="E5" s="246">
        <v>361.23</v>
      </c>
      <c r="F5" s="243">
        <v>13</v>
      </c>
      <c r="G5" s="241">
        <f>F30</f>
        <v>361.23</v>
      </c>
      <c r="H5" s="138">
        <f>E5-G5+E4+E6+E7</f>
        <v>0</v>
      </c>
      <c r="I5" s="570"/>
    </row>
    <row r="6" spans="1:10" x14ac:dyDescent="0.25">
      <c r="A6" s="1246"/>
      <c r="B6" s="1272"/>
      <c r="C6" s="566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9"/>
      <c r="C7" s="566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1"/>
    </row>
    <row r="9" spans="1:10" ht="15.75" thickTop="1" x14ac:dyDescent="0.25">
      <c r="A9" s="61"/>
      <c r="B9" s="195">
        <f>F4+F5+F6-C9+F7</f>
        <v>0</v>
      </c>
      <c r="C9" s="15">
        <v>13</v>
      </c>
      <c r="D9" s="69">
        <v>361.23</v>
      </c>
      <c r="E9" s="494">
        <v>44715</v>
      </c>
      <c r="F9" s="279">
        <f>D9</f>
        <v>361.23</v>
      </c>
      <c r="G9" s="265" t="s">
        <v>520</v>
      </c>
      <c r="H9" s="266">
        <v>49</v>
      </c>
      <c r="I9" s="322">
        <f>E4+E5+E6-F9+E7</f>
        <v>0</v>
      </c>
      <c r="J9" s="301">
        <f>H9*F9</f>
        <v>17700.27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94"/>
      <c r="F10" s="279">
        <f t="shared" ref="F10:F29" si="0">D10</f>
        <v>0</v>
      </c>
      <c r="G10" s="1179"/>
      <c r="H10" s="1007"/>
      <c r="I10" s="1180">
        <f>I9-F10</f>
        <v>0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4"/>
      <c r="F11" s="279">
        <f t="shared" si="0"/>
        <v>0</v>
      </c>
      <c r="G11" s="1179"/>
      <c r="H11" s="1007"/>
      <c r="I11" s="1180">
        <f t="shared" ref="I11:I28" si="3">I10-F11</f>
        <v>0</v>
      </c>
      <c r="J11" s="301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4"/>
      <c r="F12" s="279">
        <f t="shared" si="0"/>
        <v>0</v>
      </c>
      <c r="G12" s="1179"/>
      <c r="H12" s="1007"/>
      <c r="I12" s="1180">
        <f t="shared" si="3"/>
        <v>0</v>
      </c>
      <c r="J12" s="301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4"/>
      <c r="F13" s="279">
        <f t="shared" si="0"/>
        <v>0</v>
      </c>
      <c r="G13" s="265"/>
      <c r="H13" s="266"/>
      <c r="I13" s="322">
        <f t="shared" si="3"/>
        <v>0</v>
      </c>
      <c r="J13" s="301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4"/>
      <c r="F14" s="279">
        <f t="shared" si="0"/>
        <v>0</v>
      </c>
      <c r="G14" s="265"/>
      <c r="H14" s="266"/>
      <c r="I14" s="322">
        <f t="shared" si="3"/>
        <v>0</v>
      </c>
      <c r="J14" s="301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93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93"/>
      <c r="F25" s="279">
        <f t="shared" si="0"/>
        <v>0</v>
      </c>
      <c r="G25" s="990"/>
      <c r="H25" s="991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93"/>
      <c r="F26" s="279">
        <f t="shared" si="0"/>
        <v>0</v>
      </c>
      <c r="G26" s="990"/>
      <c r="H26" s="991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93"/>
      <c r="F27" s="279">
        <f t="shared" si="0"/>
        <v>0</v>
      </c>
      <c r="G27" s="990"/>
      <c r="H27" s="991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17700.27</v>
      </c>
    </row>
    <row r="30" spans="1:10" ht="15.75" thickTop="1" x14ac:dyDescent="0.25">
      <c r="A30" s="47">
        <f>SUM(A29:A29)</f>
        <v>0</v>
      </c>
      <c r="C30" s="73"/>
      <c r="D30" s="105">
        <f>SUM(D9:D29)</f>
        <v>361.23</v>
      </c>
      <c r="E30" s="134"/>
      <c r="F30" s="105">
        <f>SUM(F9:F29)</f>
        <v>361.23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41" t="s">
        <v>21</v>
      </c>
      <c r="E32" s="1242"/>
      <c r="F32" s="141">
        <f>G5-F30</f>
        <v>0</v>
      </c>
    </row>
    <row r="33" spans="1:6" ht="15.75" thickBot="1" x14ac:dyDescent="0.3">
      <c r="A33" s="125"/>
      <c r="D33" s="1011" t="s">
        <v>4</v>
      </c>
      <c r="E33" s="1012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BQ8" activePane="bottomRight" state="frozen"/>
      <selection activeCell="H1" sqref="H1"/>
      <selection pane="topRight" activeCell="K1" sqref="K1"/>
      <selection pane="bottomLeft" activeCell="H8" sqref="H8"/>
      <selection pane="bottomRight" activeCell="BV8" sqref="BV8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6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6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6" bestFit="1" customWidth="1"/>
    <col min="80" max="80" width="13.85546875" style="56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6" customWidth="1"/>
    <col min="90" max="90" width="11.42578125" style="566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6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6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6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6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6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6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6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251" t="s">
        <v>303</v>
      </c>
      <c r="L1" s="1251"/>
      <c r="M1" s="1251"/>
      <c r="N1" s="1251"/>
      <c r="O1" s="1251"/>
      <c r="P1" s="1251"/>
      <c r="Q1" s="1251"/>
      <c r="R1" s="356">
        <f>I1+1</f>
        <v>1</v>
      </c>
      <c r="S1" s="356"/>
      <c r="U1" s="1245" t="str">
        <f>K1</f>
        <v>ENTRADAS DEL MES DE    J U N I O      2022</v>
      </c>
      <c r="V1" s="1245"/>
      <c r="W1" s="1245"/>
      <c r="X1" s="1245"/>
      <c r="Y1" s="1245"/>
      <c r="Z1" s="1245"/>
      <c r="AA1" s="1245"/>
      <c r="AB1" s="356">
        <f>R1+1</f>
        <v>2</v>
      </c>
      <c r="AC1" s="568"/>
      <c r="AE1" s="1245" t="str">
        <f>U1</f>
        <v>ENTRADAS DEL MES DE    J U N I O      2022</v>
      </c>
      <c r="AF1" s="1245"/>
      <c r="AG1" s="1245"/>
      <c r="AH1" s="1245"/>
      <c r="AI1" s="1245"/>
      <c r="AJ1" s="1245"/>
      <c r="AK1" s="1245"/>
      <c r="AL1" s="356">
        <f>AB1+1</f>
        <v>3</v>
      </c>
      <c r="AM1" s="356"/>
      <c r="AO1" s="1245" t="str">
        <f>AE1</f>
        <v>ENTRADAS DEL MES DE    J U N I O      2022</v>
      </c>
      <c r="AP1" s="1245"/>
      <c r="AQ1" s="1245"/>
      <c r="AR1" s="1245"/>
      <c r="AS1" s="1245"/>
      <c r="AT1" s="1245"/>
      <c r="AU1" s="1245"/>
      <c r="AV1" s="356">
        <f>AL1+1</f>
        <v>4</v>
      </c>
      <c r="AW1" s="568"/>
      <c r="AY1" s="1245" t="str">
        <f>AO1</f>
        <v>ENTRADAS DEL MES DE    J U N I O      2022</v>
      </c>
      <c r="AZ1" s="1245"/>
      <c r="BA1" s="1245"/>
      <c r="BB1" s="1245"/>
      <c r="BC1" s="1245"/>
      <c r="BD1" s="1245"/>
      <c r="BE1" s="1245"/>
      <c r="BF1" s="356">
        <f>AV1+1</f>
        <v>5</v>
      </c>
      <c r="BG1" s="597"/>
      <c r="BI1" s="1245" t="str">
        <f>AY1</f>
        <v>ENTRADAS DEL MES DE    J U N I O      2022</v>
      </c>
      <c r="BJ1" s="1245"/>
      <c r="BK1" s="1245"/>
      <c r="BL1" s="1245"/>
      <c r="BM1" s="1245"/>
      <c r="BN1" s="1245"/>
      <c r="BO1" s="1245"/>
      <c r="BP1" s="356">
        <f>BF1+1</f>
        <v>6</v>
      </c>
      <c r="BQ1" s="568"/>
      <c r="BS1" s="1245" t="str">
        <f>BI1</f>
        <v>ENTRADAS DEL MES DE    J U N I O      2022</v>
      </c>
      <c r="BT1" s="1245"/>
      <c r="BU1" s="1245"/>
      <c r="BV1" s="1245"/>
      <c r="BW1" s="1245"/>
      <c r="BX1" s="1245"/>
      <c r="BY1" s="1245"/>
      <c r="BZ1" s="356">
        <f>BP1+1</f>
        <v>7</v>
      </c>
      <c r="CC1" s="1245" t="str">
        <f>BS1</f>
        <v>ENTRADAS DEL MES DE    J U N I O      2022</v>
      </c>
      <c r="CD1" s="1245"/>
      <c r="CE1" s="1245"/>
      <c r="CF1" s="1245"/>
      <c r="CG1" s="1245"/>
      <c r="CH1" s="1245"/>
      <c r="CI1" s="1245"/>
      <c r="CJ1" s="356">
        <f>BZ1+1</f>
        <v>8</v>
      </c>
      <c r="CM1" s="1245" t="str">
        <f>CC1</f>
        <v>ENTRADAS DEL MES DE    J U N I O      2022</v>
      </c>
      <c r="CN1" s="1245"/>
      <c r="CO1" s="1245"/>
      <c r="CP1" s="1245"/>
      <c r="CQ1" s="1245"/>
      <c r="CR1" s="1245"/>
      <c r="CS1" s="1245"/>
      <c r="CT1" s="356">
        <f>CJ1+1</f>
        <v>9</v>
      </c>
      <c r="CU1" s="568"/>
      <c r="CW1" s="1245" t="str">
        <f>CM1</f>
        <v>ENTRADAS DEL MES DE    J U N I O      2022</v>
      </c>
      <c r="CX1" s="1245"/>
      <c r="CY1" s="1245"/>
      <c r="CZ1" s="1245"/>
      <c r="DA1" s="1245"/>
      <c r="DB1" s="1245"/>
      <c r="DC1" s="1245"/>
      <c r="DD1" s="356">
        <f>CT1+1</f>
        <v>10</v>
      </c>
      <c r="DE1" s="568"/>
      <c r="DG1" s="1245" t="str">
        <f>CW1</f>
        <v>ENTRADAS DEL MES DE    J U N I O      2022</v>
      </c>
      <c r="DH1" s="1245"/>
      <c r="DI1" s="1245"/>
      <c r="DJ1" s="1245"/>
      <c r="DK1" s="1245"/>
      <c r="DL1" s="1245"/>
      <c r="DM1" s="1245"/>
      <c r="DN1" s="356">
        <f>DD1+1</f>
        <v>11</v>
      </c>
      <c r="DO1" s="568"/>
      <c r="DQ1" s="1245" t="str">
        <f>DG1</f>
        <v>ENTRADAS DEL MES DE    J U N I O      2022</v>
      </c>
      <c r="DR1" s="1245"/>
      <c r="DS1" s="1245"/>
      <c r="DT1" s="1245"/>
      <c r="DU1" s="1245"/>
      <c r="DV1" s="1245"/>
      <c r="DW1" s="1245"/>
      <c r="DX1" s="356">
        <f>DN1+1</f>
        <v>12</v>
      </c>
      <c r="EA1" s="1245" t="str">
        <f>DQ1</f>
        <v>ENTRADAS DEL MES DE    J U N I O      2022</v>
      </c>
      <c r="EB1" s="1245"/>
      <c r="EC1" s="1245"/>
      <c r="ED1" s="1245"/>
      <c r="EE1" s="1245"/>
      <c r="EF1" s="1245"/>
      <c r="EG1" s="1245"/>
      <c r="EH1" s="356">
        <f>DX1+1</f>
        <v>13</v>
      </c>
      <c r="EI1" s="568"/>
      <c r="EK1" s="1245" t="str">
        <f>EA1</f>
        <v>ENTRADAS DEL MES DE    J U N I O      2022</v>
      </c>
      <c r="EL1" s="1245"/>
      <c r="EM1" s="1245"/>
      <c r="EN1" s="1245"/>
      <c r="EO1" s="1245"/>
      <c r="EP1" s="1245"/>
      <c r="EQ1" s="1245"/>
      <c r="ER1" s="356">
        <f>EH1+1</f>
        <v>14</v>
      </c>
      <c r="ES1" s="568"/>
      <c r="EU1" s="1245" t="str">
        <f>EK1</f>
        <v>ENTRADAS DEL MES DE    J U N I O      2022</v>
      </c>
      <c r="EV1" s="1245"/>
      <c r="EW1" s="1245"/>
      <c r="EX1" s="1245"/>
      <c r="EY1" s="1245"/>
      <c r="EZ1" s="1245"/>
      <c r="FA1" s="1245"/>
      <c r="FB1" s="356">
        <f>ER1+1</f>
        <v>15</v>
      </c>
      <c r="FC1" s="568"/>
      <c r="FE1" s="1245" t="str">
        <f>EU1</f>
        <v>ENTRADAS DEL MES DE    J U N I O      2022</v>
      </c>
      <c r="FF1" s="1245"/>
      <c r="FG1" s="1245"/>
      <c r="FH1" s="1245"/>
      <c r="FI1" s="1245"/>
      <c r="FJ1" s="1245"/>
      <c r="FK1" s="1245"/>
      <c r="FL1" s="356">
        <f>FB1+1</f>
        <v>16</v>
      </c>
      <c r="FM1" s="568"/>
      <c r="FO1" s="1245" t="str">
        <f>FE1</f>
        <v>ENTRADAS DEL MES DE    J U N I O      2022</v>
      </c>
      <c r="FP1" s="1245"/>
      <c r="FQ1" s="1245"/>
      <c r="FR1" s="1245"/>
      <c r="FS1" s="1245"/>
      <c r="FT1" s="1245"/>
      <c r="FU1" s="1245"/>
      <c r="FV1" s="356">
        <f>FL1+1</f>
        <v>17</v>
      </c>
      <c r="FW1" s="568"/>
      <c r="FY1" s="1245" t="str">
        <f>FO1</f>
        <v>ENTRADAS DEL MES DE    J U N I O      2022</v>
      </c>
      <c r="FZ1" s="1245"/>
      <c r="GA1" s="1245"/>
      <c r="GB1" s="1245"/>
      <c r="GC1" s="1245"/>
      <c r="GD1" s="1245"/>
      <c r="GE1" s="1245"/>
      <c r="GF1" s="356">
        <f>FV1+1</f>
        <v>18</v>
      </c>
      <c r="GG1" s="568"/>
      <c r="GH1" s="75" t="s">
        <v>37</v>
      </c>
      <c r="GI1" s="1245" t="str">
        <f>FY1</f>
        <v>ENTRADAS DEL MES DE    J U N I O      2022</v>
      </c>
      <c r="GJ1" s="1245"/>
      <c r="GK1" s="1245"/>
      <c r="GL1" s="1245"/>
      <c r="GM1" s="1245"/>
      <c r="GN1" s="1245"/>
      <c r="GO1" s="1245"/>
      <c r="GP1" s="356">
        <f>GF1+1</f>
        <v>19</v>
      </c>
      <c r="GQ1" s="568"/>
      <c r="GS1" s="1245" t="str">
        <f>GI1</f>
        <v>ENTRADAS DEL MES DE    J U N I O      2022</v>
      </c>
      <c r="GT1" s="1245"/>
      <c r="GU1" s="1245"/>
      <c r="GV1" s="1245"/>
      <c r="GW1" s="1245"/>
      <c r="GX1" s="1245"/>
      <c r="GY1" s="1245"/>
      <c r="GZ1" s="356">
        <f>GP1+1</f>
        <v>20</v>
      </c>
      <c r="HA1" s="568"/>
      <c r="HC1" s="1245" t="str">
        <f>GS1</f>
        <v>ENTRADAS DEL MES DE    J U N I O      2022</v>
      </c>
      <c r="HD1" s="1245"/>
      <c r="HE1" s="1245"/>
      <c r="HF1" s="1245"/>
      <c r="HG1" s="1245"/>
      <c r="HH1" s="1245"/>
      <c r="HI1" s="1245"/>
      <c r="HJ1" s="356">
        <f>GZ1+1</f>
        <v>21</v>
      </c>
      <c r="HK1" s="568"/>
      <c r="HM1" s="1245" t="str">
        <f>HC1</f>
        <v>ENTRADAS DEL MES DE    J U N I O      2022</v>
      </c>
      <c r="HN1" s="1245"/>
      <c r="HO1" s="1245"/>
      <c r="HP1" s="1245"/>
      <c r="HQ1" s="1245"/>
      <c r="HR1" s="1245"/>
      <c r="HS1" s="1245"/>
      <c r="HT1" s="356">
        <f>HJ1+1</f>
        <v>22</v>
      </c>
      <c r="HU1" s="568"/>
      <c r="HW1" s="1245" t="str">
        <f>HM1</f>
        <v>ENTRADAS DEL MES DE    J U N I O      2022</v>
      </c>
      <c r="HX1" s="1245"/>
      <c r="HY1" s="1245"/>
      <c r="HZ1" s="1245"/>
      <c r="IA1" s="1245"/>
      <c r="IB1" s="1245"/>
      <c r="IC1" s="1245"/>
      <c r="ID1" s="356">
        <f>HT1+1</f>
        <v>23</v>
      </c>
      <c r="IE1" s="568"/>
      <c r="IG1" s="1245" t="str">
        <f>HW1</f>
        <v>ENTRADAS DEL MES DE    J U N I O      2022</v>
      </c>
      <c r="IH1" s="1245"/>
      <c r="II1" s="1245"/>
      <c r="IJ1" s="1245"/>
      <c r="IK1" s="1245"/>
      <c r="IL1" s="1245"/>
      <c r="IM1" s="1245"/>
      <c r="IN1" s="356">
        <f>ID1+1</f>
        <v>24</v>
      </c>
      <c r="IO1" s="568"/>
      <c r="IQ1" s="1245" t="str">
        <f>IG1</f>
        <v>ENTRADAS DEL MES DE    J U N I O      2022</v>
      </c>
      <c r="IR1" s="1245"/>
      <c r="IS1" s="1245"/>
      <c r="IT1" s="1245"/>
      <c r="IU1" s="1245"/>
      <c r="IV1" s="1245"/>
      <c r="IW1" s="1245"/>
      <c r="IX1" s="356">
        <f>IN1+1</f>
        <v>25</v>
      </c>
      <c r="IY1" s="568"/>
      <c r="JA1" s="1245" t="str">
        <f>IQ1</f>
        <v>ENTRADAS DEL MES DE    J U N I O      2022</v>
      </c>
      <c r="JB1" s="1245"/>
      <c r="JC1" s="1245"/>
      <c r="JD1" s="1245"/>
      <c r="JE1" s="1245"/>
      <c r="JF1" s="1245"/>
      <c r="JG1" s="1245"/>
      <c r="JH1" s="356">
        <f>IX1+1</f>
        <v>26</v>
      </c>
      <c r="JI1" s="568"/>
      <c r="JK1" s="1248" t="str">
        <f>JA1</f>
        <v>ENTRADAS DEL MES DE    J U N I O      2022</v>
      </c>
      <c r="JL1" s="1248"/>
      <c r="JM1" s="1248"/>
      <c r="JN1" s="1248"/>
      <c r="JO1" s="1248"/>
      <c r="JP1" s="1248"/>
      <c r="JQ1" s="1248"/>
      <c r="JR1" s="356">
        <f>JH1+1</f>
        <v>27</v>
      </c>
      <c r="JS1" s="568"/>
      <c r="JU1" s="1245" t="str">
        <f>JK1</f>
        <v>ENTRADAS DEL MES DE    J U N I O      2022</v>
      </c>
      <c r="JV1" s="1245"/>
      <c r="JW1" s="1245"/>
      <c r="JX1" s="1245"/>
      <c r="JY1" s="1245"/>
      <c r="JZ1" s="1245"/>
      <c r="KA1" s="1245"/>
      <c r="KB1" s="356">
        <f>JR1+1</f>
        <v>28</v>
      </c>
      <c r="KC1" s="568"/>
      <c r="KE1" s="1245" t="str">
        <f>JU1</f>
        <v>ENTRADAS DEL MES DE    J U N I O      2022</v>
      </c>
      <c r="KF1" s="1245"/>
      <c r="KG1" s="1245"/>
      <c r="KH1" s="1245"/>
      <c r="KI1" s="1245"/>
      <c r="KJ1" s="1245"/>
      <c r="KK1" s="1245"/>
      <c r="KL1" s="356">
        <f>KB1+1</f>
        <v>29</v>
      </c>
      <c r="KM1" s="568"/>
      <c r="KO1" s="1245" t="str">
        <f>KE1</f>
        <v>ENTRADAS DEL MES DE    J U N I O      2022</v>
      </c>
      <c r="KP1" s="1245"/>
      <c r="KQ1" s="1245"/>
      <c r="KR1" s="1245"/>
      <c r="KS1" s="1245"/>
      <c r="KT1" s="1245"/>
      <c r="KU1" s="1245"/>
      <c r="KV1" s="356">
        <f>KL1+1</f>
        <v>30</v>
      </c>
      <c r="KW1" s="568"/>
      <c r="KY1" s="1245" t="str">
        <f>KO1</f>
        <v>ENTRADAS DEL MES DE    J U N I O      2022</v>
      </c>
      <c r="KZ1" s="1245"/>
      <c r="LA1" s="1245"/>
      <c r="LB1" s="1245"/>
      <c r="LC1" s="1245"/>
      <c r="LD1" s="1245"/>
      <c r="LE1" s="1245"/>
      <c r="LF1" s="356">
        <f>KV1+1</f>
        <v>31</v>
      </c>
      <c r="LG1" s="568"/>
      <c r="LI1" s="1245" t="str">
        <f>KY1</f>
        <v>ENTRADAS DEL MES DE    J U N I O      2022</v>
      </c>
      <c r="LJ1" s="1245"/>
      <c r="LK1" s="1245"/>
      <c r="LL1" s="1245"/>
      <c r="LM1" s="1245"/>
      <c r="LN1" s="1245"/>
      <c r="LO1" s="1245"/>
      <c r="LP1" s="356">
        <f>LF1+1</f>
        <v>32</v>
      </c>
      <c r="LQ1" s="568"/>
      <c r="LS1" s="1245" t="str">
        <f>LI1</f>
        <v>ENTRADAS DEL MES DE    J U N I O      2022</v>
      </c>
      <c r="LT1" s="1245"/>
      <c r="LU1" s="1245"/>
      <c r="LV1" s="1245"/>
      <c r="LW1" s="1245"/>
      <c r="LX1" s="1245"/>
      <c r="LY1" s="1245"/>
      <c r="LZ1" s="356">
        <f>LP1+1</f>
        <v>33</v>
      </c>
      <c r="MC1" s="1245" t="str">
        <f>LS1</f>
        <v>ENTRADAS DEL MES DE    J U N I O      2022</v>
      </c>
      <c r="MD1" s="1245"/>
      <c r="ME1" s="1245"/>
      <c r="MF1" s="1245"/>
      <c r="MG1" s="1245"/>
      <c r="MH1" s="1245"/>
      <c r="MI1" s="1245"/>
      <c r="MJ1" s="356">
        <f>LZ1+1</f>
        <v>34</v>
      </c>
      <c r="MK1" s="356"/>
      <c r="MM1" s="1245" t="str">
        <f>MC1</f>
        <v>ENTRADAS DEL MES DE    J U N I O      2022</v>
      </c>
      <c r="MN1" s="1245"/>
      <c r="MO1" s="1245"/>
      <c r="MP1" s="1245"/>
      <c r="MQ1" s="1245"/>
      <c r="MR1" s="1245"/>
      <c r="MS1" s="1245"/>
      <c r="MT1" s="356">
        <f>MJ1+1</f>
        <v>35</v>
      </c>
      <c r="MU1" s="356"/>
      <c r="MW1" s="1245" t="str">
        <f>MM1</f>
        <v>ENTRADAS DEL MES DE    J U N I O      2022</v>
      </c>
      <c r="MX1" s="1245"/>
      <c r="MY1" s="1245"/>
      <c r="MZ1" s="1245"/>
      <c r="NA1" s="1245"/>
      <c r="NB1" s="1245"/>
      <c r="NC1" s="1245"/>
      <c r="ND1" s="356">
        <f>MT1+1</f>
        <v>36</v>
      </c>
      <c r="NE1" s="356"/>
      <c r="NG1" s="1245" t="str">
        <f>MW1</f>
        <v>ENTRADAS DEL MES DE    J U N I O      2022</v>
      </c>
      <c r="NH1" s="1245"/>
      <c r="NI1" s="1245"/>
      <c r="NJ1" s="1245"/>
      <c r="NK1" s="1245"/>
      <c r="NL1" s="1245"/>
      <c r="NM1" s="1245"/>
      <c r="NN1" s="356">
        <f>ND1+1</f>
        <v>37</v>
      </c>
      <c r="NO1" s="356"/>
      <c r="NQ1" s="1245" t="str">
        <f>NG1</f>
        <v>ENTRADAS DEL MES DE    J U N I O      2022</v>
      </c>
      <c r="NR1" s="1245"/>
      <c r="NS1" s="1245"/>
      <c r="NT1" s="1245"/>
      <c r="NU1" s="1245"/>
      <c r="NV1" s="1245"/>
      <c r="NW1" s="1245"/>
      <c r="NX1" s="356">
        <f>NN1+1</f>
        <v>38</v>
      </c>
      <c r="NY1" s="356"/>
      <c r="OA1" s="1245" t="str">
        <f>NQ1</f>
        <v>ENTRADAS DEL MES DE    J U N I O      2022</v>
      </c>
      <c r="OB1" s="1245"/>
      <c r="OC1" s="1245"/>
      <c r="OD1" s="1245"/>
      <c r="OE1" s="1245"/>
      <c r="OF1" s="1245"/>
      <c r="OG1" s="1245"/>
      <c r="OH1" s="356">
        <f>NX1+1</f>
        <v>39</v>
      </c>
      <c r="OI1" s="356"/>
      <c r="OK1" s="1245" t="str">
        <f>OA1</f>
        <v>ENTRADAS DEL MES DE    J U N I O      2022</v>
      </c>
      <c r="OL1" s="1245"/>
      <c r="OM1" s="1245"/>
      <c r="ON1" s="1245"/>
      <c r="OO1" s="1245"/>
      <c r="OP1" s="1245"/>
      <c r="OQ1" s="1245"/>
      <c r="OR1" s="356">
        <f>OH1+1</f>
        <v>40</v>
      </c>
      <c r="OS1" s="356"/>
      <c r="OU1" s="1245" t="str">
        <f>OK1</f>
        <v>ENTRADAS DEL MES DE    J U N I O      2022</v>
      </c>
      <c r="OV1" s="1245"/>
      <c r="OW1" s="1245"/>
      <c r="OX1" s="1245"/>
      <c r="OY1" s="1245"/>
      <c r="OZ1" s="1245"/>
      <c r="PA1" s="1245"/>
      <c r="PB1" s="356">
        <f>OR1+1</f>
        <v>41</v>
      </c>
      <c r="PC1" s="356"/>
      <c r="PE1" s="1245" t="str">
        <f>OU1</f>
        <v>ENTRADAS DEL MES DE    J U N I O      2022</v>
      </c>
      <c r="PF1" s="1245"/>
      <c r="PG1" s="1245"/>
      <c r="PH1" s="1245"/>
      <c r="PI1" s="1245"/>
      <c r="PJ1" s="1245"/>
      <c r="PK1" s="1245"/>
      <c r="PL1" s="356">
        <f>PB1+1</f>
        <v>42</v>
      </c>
      <c r="PM1" s="356"/>
      <c r="PO1" s="1245" t="str">
        <f>PE1</f>
        <v>ENTRADAS DEL MES DE    J U N I O      2022</v>
      </c>
      <c r="PP1" s="1245"/>
      <c r="PQ1" s="1245"/>
      <c r="PR1" s="1245"/>
      <c r="PS1" s="1245"/>
      <c r="PT1" s="1245"/>
      <c r="PU1" s="1245"/>
      <c r="PV1" s="356">
        <f>PL1+1</f>
        <v>43</v>
      </c>
      <c r="PX1" s="1245" t="str">
        <f>PO1</f>
        <v>ENTRADAS DEL MES DE    J U N I O      2022</v>
      </c>
      <c r="PY1" s="1245"/>
      <c r="PZ1" s="1245"/>
      <c r="QA1" s="1245"/>
      <c r="QB1" s="1245"/>
      <c r="QC1" s="1245"/>
      <c r="QD1" s="1245"/>
      <c r="QE1" s="356">
        <f>PV1+1</f>
        <v>44</v>
      </c>
      <c r="QG1" s="1245" t="str">
        <f>PX1</f>
        <v>ENTRADAS DEL MES DE    J U N I O      2022</v>
      </c>
      <c r="QH1" s="1245"/>
      <c r="QI1" s="1245"/>
      <c r="QJ1" s="1245"/>
      <c r="QK1" s="1245"/>
      <c r="QL1" s="1245"/>
      <c r="QM1" s="1245"/>
      <c r="QN1" s="356">
        <f>QE1+1</f>
        <v>45</v>
      </c>
      <c r="QP1" s="1245" t="str">
        <f>QG1</f>
        <v>ENTRADAS DEL MES DE    J U N I O      2022</v>
      </c>
      <c r="QQ1" s="1245"/>
      <c r="QR1" s="1245"/>
      <c r="QS1" s="1245"/>
      <c r="QT1" s="1245"/>
      <c r="QU1" s="1245"/>
      <c r="QV1" s="1245"/>
      <c r="QW1" s="356">
        <f>QN1+1</f>
        <v>46</v>
      </c>
      <c r="QY1" s="1245" t="str">
        <f>QP1</f>
        <v>ENTRADAS DEL MES DE    J U N I O      2022</v>
      </c>
      <c r="QZ1" s="1245"/>
      <c r="RA1" s="1245"/>
      <c r="RB1" s="1245"/>
      <c r="RC1" s="1245"/>
      <c r="RD1" s="1245"/>
      <c r="RE1" s="1245"/>
      <c r="RF1" s="356">
        <f>QW1+1</f>
        <v>47</v>
      </c>
      <c r="RH1" s="1245" t="str">
        <f>QY1</f>
        <v>ENTRADAS DEL MES DE    J U N I O      2022</v>
      </c>
      <c r="RI1" s="1245"/>
      <c r="RJ1" s="1245"/>
      <c r="RK1" s="1245"/>
      <c r="RL1" s="1245"/>
      <c r="RM1" s="1245"/>
      <c r="RN1" s="1245"/>
      <c r="RO1" s="356">
        <f>RF1+1</f>
        <v>48</v>
      </c>
      <c r="RQ1" s="1245" t="str">
        <f>RH1</f>
        <v>ENTRADAS DEL MES DE    J U N I O      2022</v>
      </c>
      <c r="RR1" s="1245"/>
      <c r="RS1" s="1245"/>
      <c r="RT1" s="1245"/>
      <c r="RU1" s="1245"/>
      <c r="RV1" s="1245"/>
      <c r="RW1" s="1245"/>
      <c r="RX1" s="356">
        <f>RO1+1</f>
        <v>49</v>
      </c>
      <c r="RZ1" s="1245" t="str">
        <f>RQ1</f>
        <v>ENTRADAS DEL MES DE    J U N I O      2022</v>
      </c>
      <c r="SA1" s="1245"/>
      <c r="SB1" s="1245"/>
      <c r="SC1" s="1245"/>
      <c r="SD1" s="1245"/>
      <c r="SE1" s="1245"/>
      <c r="SF1" s="1245"/>
      <c r="SG1" s="356">
        <f>RX1+1</f>
        <v>50</v>
      </c>
      <c r="SI1" s="1245" t="str">
        <f>RZ1</f>
        <v>ENTRADAS DEL MES DE    J U N I O      2022</v>
      </c>
      <c r="SJ1" s="1245"/>
      <c r="SK1" s="1245"/>
      <c r="SL1" s="1245"/>
      <c r="SM1" s="1245"/>
      <c r="SN1" s="1245"/>
      <c r="SO1" s="1245"/>
      <c r="SP1" s="356">
        <f>SG1+1</f>
        <v>51</v>
      </c>
      <c r="SR1" s="1245" t="str">
        <f>SI1</f>
        <v>ENTRADAS DEL MES DE    J U N I O      2022</v>
      </c>
      <c r="SS1" s="1245"/>
      <c r="ST1" s="1245"/>
      <c r="SU1" s="1245"/>
      <c r="SV1" s="1245"/>
      <c r="SW1" s="1245"/>
      <c r="SX1" s="1245"/>
      <c r="SY1" s="356">
        <f>SP1+1</f>
        <v>52</v>
      </c>
      <c r="TA1" s="1245" t="str">
        <f>SR1</f>
        <v>ENTRADAS DEL MES DE    J U N I O      2022</v>
      </c>
      <c r="TB1" s="1245"/>
      <c r="TC1" s="1245"/>
      <c r="TD1" s="1245"/>
      <c r="TE1" s="1245"/>
      <c r="TF1" s="1245"/>
      <c r="TG1" s="1245"/>
      <c r="TH1" s="356">
        <f>SY1+1</f>
        <v>53</v>
      </c>
      <c r="TJ1" s="1245" t="str">
        <f>TA1</f>
        <v>ENTRADAS DEL MES DE    J U N I O      2022</v>
      </c>
      <c r="TK1" s="1245"/>
      <c r="TL1" s="1245"/>
      <c r="TM1" s="1245"/>
      <c r="TN1" s="1245"/>
      <c r="TO1" s="1245"/>
      <c r="TP1" s="1245"/>
      <c r="TQ1" s="356">
        <f>TH1+1</f>
        <v>54</v>
      </c>
      <c r="TS1" s="1245" t="str">
        <f>TJ1</f>
        <v>ENTRADAS DEL MES DE    J U N I O      2022</v>
      </c>
      <c r="TT1" s="1245"/>
      <c r="TU1" s="1245"/>
      <c r="TV1" s="1245"/>
      <c r="TW1" s="1245"/>
      <c r="TX1" s="1245"/>
      <c r="TY1" s="1245"/>
      <c r="TZ1" s="356">
        <f>TQ1+1</f>
        <v>55</v>
      </c>
      <c r="UB1" s="1245" t="str">
        <f>TS1</f>
        <v>ENTRADAS DEL MES DE    J U N I O      2022</v>
      </c>
      <c r="UC1" s="1245"/>
      <c r="UD1" s="1245"/>
      <c r="UE1" s="1245"/>
      <c r="UF1" s="1245"/>
      <c r="UG1" s="1245"/>
      <c r="UH1" s="1245"/>
      <c r="UI1" s="356">
        <f>TZ1+1</f>
        <v>56</v>
      </c>
      <c r="UK1" s="1245" t="str">
        <f>UB1</f>
        <v>ENTRADAS DEL MES DE    J U N I O      2022</v>
      </c>
      <c r="UL1" s="1245"/>
      <c r="UM1" s="1245"/>
      <c r="UN1" s="1245"/>
      <c r="UO1" s="1245"/>
      <c r="UP1" s="1245"/>
      <c r="UQ1" s="1245"/>
      <c r="UR1" s="356">
        <f>UI1+1</f>
        <v>57</v>
      </c>
      <c r="UT1" s="1245" t="str">
        <f>UK1</f>
        <v>ENTRADAS DEL MES DE    J U N I O      2022</v>
      </c>
      <c r="UU1" s="1245"/>
      <c r="UV1" s="1245"/>
      <c r="UW1" s="1245"/>
      <c r="UX1" s="1245"/>
      <c r="UY1" s="1245"/>
      <c r="UZ1" s="1245"/>
      <c r="VA1" s="356">
        <f>UR1+1</f>
        <v>58</v>
      </c>
      <c r="VC1" s="1245" t="str">
        <f>UT1</f>
        <v>ENTRADAS DEL MES DE    J U N I O      2022</v>
      </c>
      <c r="VD1" s="1245"/>
      <c r="VE1" s="1245"/>
      <c r="VF1" s="1245"/>
      <c r="VG1" s="1245"/>
      <c r="VH1" s="1245"/>
      <c r="VI1" s="1245"/>
      <c r="VJ1" s="356">
        <f>VA1+1</f>
        <v>59</v>
      </c>
      <c r="VL1" s="1245" t="str">
        <f>VC1</f>
        <v>ENTRADAS DEL MES DE    J U N I O      2022</v>
      </c>
      <c r="VM1" s="1245"/>
      <c r="VN1" s="1245"/>
      <c r="VO1" s="1245"/>
      <c r="VP1" s="1245"/>
      <c r="VQ1" s="1245"/>
      <c r="VR1" s="1245"/>
      <c r="VS1" s="356">
        <f>VJ1+1</f>
        <v>60</v>
      </c>
      <c r="VU1" s="1245" t="str">
        <f>VL1</f>
        <v>ENTRADAS DEL MES DE    J U N I O      2022</v>
      </c>
      <c r="VV1" s="1245"/>
      <c r="VW1" s="1245"/>
      <c r="VX1" s="1245"/>
      <c r="VY1" s="1245"/>
      <c r="VZ1" s="1245"/>
      <c r="WA1" s="1245"/>
      <c r="WB1" s="356">
        <f>VS1+1</f>
        <v>61</v>
      </c>
      <c r="WD1" s="1245" t="str">
        <f>VU1</f>
        <v>ENTRADAS DEL MES DE    J U N I O      2022</v>
      </c>
      <c r="WE1" s="1245"/>
      <c r="WF1" s="1245"/>
      <c r="WG1" s="1245"/>
      <c r="WH1" s="1245"/>
      <c r="WI1" s="1245"/>
      <c r="WJ1" s="1245"/>
      <c r="WK1" s="356">
        <f>WB1+1</f>
        <v>62</v>
      </c>
      <c r="WM1" s="1245" t="str">
        <f>WD1</f>
        <v>ENTRADAS DEL MES DE    J U N I O      2022</v>
      </c>
      <c r="WN1" s="1245"/>
      <c r="WO1" s="1245"/>
      <c r="WP1" s="1245"/>
      <c r="WQ1" s="1245"/>
      <c r="WR1" s="1245"/>
      <c r="WS1" s="1245"/>
      <c r="WT1" s="356">
        <f>WK1+1</f>
        <v>63</v>
      </c>
      <c r="WV1" s="1245" t="str">
        <f>WM1</f>
        <v>ENTRADAS DEL MES DE    J U N I O      2022</v>
      </c>
      <c r="WW1" s="1245"/>
      <c r="WX1" s="1245"/>
      <c r="WY1" s="1245"/>
      <c r="WZ1" s="1245"/>
      <c r="XA1" s="1245"/>
      <c r="XB1" s="1245"/>
      <c r="XC1" s="356">
        <f>WT1+1</f>
        <v>64</v>
      </c>
      <c r="XE1" s="1245" t="str">
        <f>WV1</f>
        <v>ENTRADAS DEL MES DE    J U N I O      2022</v>
      </c>
      <c r="XF1" s="1245"/>
      <c r="XG1" s="1245"/>
      <c r="XH1" s="1245"/>
      <c r="XI1" s="1245"/>
      <c r="XJ1" s="1245"/>
      <c r="XK1" s="1245"/>
      <c r="XL1" s="356">
        <f>XC1+1</f>
        <v>65</v>
      </c>
      <c r="XN1" s="1245" t="str">
        <f>XE1</f>
        <v>ENTRADAS DEL MES DE    J U N I O      2022</v>
      </c>
      <c r="XO1" s="1245"/>
      <c r="XP1" s="1245"/>
      <c r="XQ1" s="1245"/>
      <c r="XR1" s="1245"/>
      <c r="XS1" s="1245"/>
      <c r="XT1" s="1245"/>
      <c r="XU1" s="356">
        <f>XL1+1</f>
        <v>66</v>
      </c>
      <c r="XW1" s="1245" t="str">
        <f>XN1</f>
        <v>ENTRADAS DEL MES DE    J U N I O      2022</v>
      </c>
      <c r="XX1" s="1245"/>
      <c r="XY1" s="1245"/>
      <c r="XZ1" s="1245"/>
      <c r="YA1" s="1245"/>
      <c r="YB1" s="1245"/>
      <c r="YC1" s="1245"/>
      <c r="YD1" s="356">
        <f>XU1+1</f>
        <v>67</v>
      </c>
      <c r="YF1" s="1245" t="str">
        <f>XW1</f>
        <v>ENTRADAS DEL MES DE    J U N I O      2022</v>
      </c>
      <c r="YG1" s="1245"/>
      <c r="YH1" s="1245"/>
      <c r="YI1" s="1245"/>
      <c r="YJ1" s="1245"/>
      <c r="YK1" s="1245"/>
      <c r="YL1" s="1245"/>
      <c r="YM1" s="356">
        <f>YD1+1</f>
        <v>68</v>
      </c>
      <c r="YO1" s="1245" t="str">
        <f>YF1</f>
        <v>ENTRADAS DEL MES DE    J U N I O      2022</v>
      </c>
      <c r="YP1" s="1245"/>
      <c r="YQ1" s="1245"/>
      <c r="YR1" s="1245"/>
      <c r="YS1" s="1245"/>
      <c r="YT1" s="1245"/>
      <c r="YU1" s="1245"/>
      <c r="YV1" s="356">
        <f>YM1+1</f>
        <v>69</v>
      </c>
      <c r="YX1" s="1245" t="str">
        <f>YO1</f>
        <v>ENTRADAS DEL MES DE    J U N I O      2022</v>
      </c>
      <c r="YY1" s="1245"/>
      <c r="YZ1" s="1245"/>
      <c r="ZA1" s="1245"/>
      <c r="ZB1" s="1245"/>
      <c r="ZC1" s="1245"/>
      <c r="ZD1" s="1245"/>
      <c r="ZE1" s="356">
        <f>YV1+1</f>
        <v>70</v>
      </c>
      <c r="ZG1" s="1245" t="str">
        <f>YX1</f>
        <v>ENTRADAS DEL MES DE    J U N I O      2022</v>
      </c>
      <c r="ZH1" s="1245"/>
      <c r="ZI1" s="1245"/>
      <c r="ZJ1" s="1245"/>
      <c r="ZK1" s="1245"/>
      <c r="ZL1" s="1245"/>
      <c r="ZM1" s="1245"/>
      <c r="ZN1" s="356">
        <f>ZE1+1</f>
        <v>71</v>
      </c>
      <c r="ZP1" s="1245" t="str">
        <f>ZG1</f>
        <v>ENTRADAS DEL MES DE    J U N I O      2022</v>
      </c>
      <c r="ZQ1" s="1245"/>
      <c r="ZR1" s="1245"/>
      <c r="ZS1" s="1245"/>
      <c r="ZT1" s="1245"/>
      <c r="ZU1" s="1245"/>
      <c r="ZV1" s="1245"/>
      <c r="ZW1" s="356">
        <f>ZN1+1</f>
        <v>72</v>
      </c>
      <c r="ZY1" s="1245" t="str">
        <f>ZP1</f>
        <v>ENTRADAS DEL MES DE    J U N I O      2022</v>
      </c>
      <c r="ZZ1" s="1245"/>
      <c r="AAA1" s="1245"/>
      <c r="AAB1" s="1245"/>
      <c r="AAC1" s="1245"/>
      <c r="AAD1" s="1245"/>
      <c r="AAE1" s="1245"/>
      <c r="AAF1" s="356">
        <f>ZW1+1</f>
        <v>73</v>
      </c>
      <c r="AAH1" s="1245" t="str">
        <f>ZY1</f>
        <v>ENTRADAS DEL MES DE    J U N I O      2022</v>
      </c>
      <c r="AAI1" s="1245"/>
      <c r="AAJ1" s="1245"/>
      <c r="AAK1" s="1245"/>
      <c r="AAL1" s="1245"/>
      <c r="AAM1" s="1245"/>
      <c r="AAN1" s="1245"/>
      <c r="AAO1" s="356">
        <f>AAF1+1</f>
        <v>74</v>
      </c>
      <c r="AAQ1" s="1245" t="str">
        <f>AAH1</f>
        <v>ENTRADAS DEL MES DE    J U N I O      2022</v>
      </c>
      <c r="AAR1" s="1245"/>
      <c r="AAS1" s="1245"/>
      <c r="AAT1" s="1245"/>
      <c r="AAU1" s="1245"/>
      <c r="AAV1" s="1245"/>
      <c r="AAW1" s="1245"/>
      <c r="AAX1" s="356">
        <f>AAO1+1</f>
        <v>75</v>
      </c>
      <c r="AAZ1" s="1245" t="str">
        <f>AAQ1</f>
        <v>ENTRADAS DEL MES DE    J U N I O      2022</v>
      </c>
      <c r="ABA1" s="1245"/>
      <c r="ABB1" s="1245"/>
      <c r="ABC1" s="1245"/>
      <c r="ABD1" s="1245"/>
      <c r="ABE1" s="1245"/>
      <c r="ABF1" s="1245"/>
      <c r="ABG1" s="356">
        <f>AAX1+1</f>
        <v>76</v>
      </c>
      <c r="ABI1" s="1245" t="str">
        <f>AAZ1</f>
        <v>ENTRADAS DEL MES DE    J U N I O      2022</v>
      </c>
      <c r="ABJ1" s="1245"/>
      <c r="ABK1" s="1245"/>
      <c r="ABL1" s="1245"/>
      <c r="ABM1" s="1245"/>
      <c r="ABN1" s="1245"/>
      <c r="ABO1" s="1245"/>
      <c r="ABP1" s="356">
        <f>ABG1+1</f>
        <v>77</v>
      </c>
      <c r="ABR1" s="1245" t="str">
        <f>ABI1</f>
        <v>ENTRADAS DEL MES DE    J U N I O      2022</v>
      </c>
      <c r="ABS1" s="1245"/>
      <c r="ABT1" s="1245"/>
      <c r="ABU1" s="1245"/>
      <c r="ABV1" s="1245"/>
      <c r="ABW1" s="1245"/>
      <c r="ABX1" s="1245"/>
      <c r="ABY1" s="356">
        <f>ABP1+1</f>
        <v>78</v>
      </c>
      <c r="ACA1" s="1245" t="str">
        <f>ABR1</f>
        <v>ENTRADAS DEL MES DE    J U N I O      2022</v>
      </c>
      <c r="ACB1" s="1245"/>
      <c r="ACC1" s="1245"/>
      <c r="ACD1" s="1245"/>
      <c r="ACE1" s="1245"/>
      <c r="ACF1" s="1245"/>
      <c r="ACG1" s="1245"/>
      <c r="ACH1" s="356">
        <f>ABY1+1</f>
        <v>79</v>
      </c>
      <c r="ACJ1" s="1245" t="str">
        <f>ACA1</f>
        <v>ENTRADAS DEL MES DE    J U N I O      2022</v>
      </c>
      <c r="ACK1" s="1245"/>
      <c r="ACL1" s="1245"/>
      <c r="ACM1" s="1245"/>
      <c r="ACN1" s="1245"/>
      <c r="ACO1" s="1245"/>
      <c r="ACP1" s="1245"/>
      <c r="ACQ1" s="356">
        <f>ACH1+1</f>
        <v>80</v>
      </c>
      <c r="ACS1" s="1245" t="str">
        <f>ACJ1</f>
        <v>ENTRADAS DEL MES DE    J U N I O      2022</v>
      </c>
      <c r="ACT1" s="1245"/>
      <c r="ACU1" s="1245"/>
      <c r="ACV1" s="1245"/>
      <c r="ACW1" s="1245"/>
      <c r="ACX1" s="1245"/>
      <c r="ACY1" s="1245"/>
      <c r="ACZ1" s="356">
        <f>ACQ1+1</f>
        <v>81</v>
      </c>
      <c r="ADB1" s="1245" t="str">
        <f>ACS1</f>
        <v>ENTRADAS DEL MES DE    J U N I O      2022</v>
      </c>
      <c r="ADC1" s="1245"/>
      <c r="ADD1" s="1245"/>
      <c r="ADE1" s="1245"/>
      <c r="ADF1" s="1245"/>
      <c r="ADG1" s="1245"/>
      <c r="ADH1" s="1245"/>
      <c r="ADI1" s="356">
        <f>ACZ1+1</f>
        <v>82</v>
      </c>
      <c r="ADK1" s="1245" t="str">
        <f>ADB1</f>
        <v>ENTRADAS DEL MES DE    J U N I O      2022</v>
      </c>
      <c r="ADL1" s="1245"/>
      <c r="ADM1" s="1245"/>
      <c r="ADN1" s="1245"/>
      <c r="ADO1" s="1245"/>
      <c r="ADP1" s="1245"/>
      <c r="ADQ1" s="1245"/>
      <c r="ADR1" s="356">
        <f>ADI1+1</f>
        <v>83</v>
      </c>
      <c r="ADT1" s="1245" t="str">
        <f>ADK1</f>
        <v>ENTRADAS DEL MES DE    J U N I O      2022</v>
      </c>
      <c r="ADU1" s="1245"/>
      <c r="ADV1" s="1245"/>
      <c r="ADW1" s="1245"/>
      <c r="ADX1" s="1245"/>
      <c r="ADY1" s="1245"/>
      <c r="ADZ1" s="1245"/>
      <c r="AEA1" s="356">
        <f>ADR1+1</f>
        <v>84</v>
      </c>
      <c r="AEC1" s="1245" t="str">
        <f>ADT1</f>
        <v>ENTRADAS DEL MES DE    J U N I O      2022</v>
      </c>
      <c r="AED1" s="1245"/>
      <c r="AEE1" s="1245"/>
      <c r="AEF1" s="1245"/>
      <c r="AEG1" s="1245"/>
      <c r="AEH1" s="1245"/>
      <c r="AEI1" s="1245"/>
      <c r="AEJ1" s="356">
        <f>AEA1+1</f>
        <v>85</v>
      </c>
      <c r="AEL1" s="1245" t="str">
        <f>AEC1</f>
        <v>ENTRADAS DEL MES DE    J U N I O      2022</v>
      </c>
      <c r="AEM1" s="1245"/>
      <c r="AEN1" s="1245"/>
      <c r="AEO1" s="1245"/>
      <c r="AEP1" s="1245"/>
      <c r="AEQ1" s="1245"/>
      <c r="AER1" s="1245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69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69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69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69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69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69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69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69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69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69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69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69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69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69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69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69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69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69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69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69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69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69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69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69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69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69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69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5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TYSON FRESH MEAT</v>
      </c>
      <c r="C4" s="242" t="str">
        <f t="shared" si="0"/>
        <v xml:space="preserve">I B P </v>
      </c>
      <c r="D4" s="244" t="str">
        <f t="shared" si="0"/>
        <v>PED. 82745698</v>
      </c>
      <c r="E4" s="135">
        <f t="shared" si="0"/>
        <v>44712</v>
      </c>
      <c r="F4" s="86">
        <f t="shared" si="0"/>
        <v>18616.03</v>
      </c>
      <c r="G4" s="73">
        <f t="shared" si="0"/>
        <v>20</v>
      </c>
      <c r="H4" s="48">
        <f t="shared" si="0"/>
        <v>18702.419999999998</v>
      </c>
      <c r="I4" s="105">
        <f t="shared" si="0"/>
        <v>-86.389999999999418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99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101</v>
      </c>
      <c r="EM4" s="242"/>
      <c r="EN4" s="242"/>
      <c r="EO4" s="242"/>
      <c r="EP4" s="242"/>
      <c r="EQ4" s="780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3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5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3"/>
      <c r="KF4" s="75" t="s">
        <v>23</v>
      </c>
      <c r="KK4" s="351"/>
      <c r="KO4" s="73"/>
      <c r="KP4" s="73" t="s">
        <v>23</v>
      </c>
      <c r="KU4" s="73"/>
      <c r="KV4" s="130"/>
      <c r="KW4" s="578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82790743</v>
      </c>
      <c r="E5" s="135">
        <f t="shared" si="1"/>
        <v>44713</v>
      </c>
      <c r="F5" s="86">
        <f t="shared" si="1"/>
        <v>18945.27</v>
      </c>
      <c r="G5" s="73">
        <f t="shared" si="1"/>
        <v>21</v>
      </c>
      <c r="H5" s="48">
        <f t="shared" si="1"/>
        <v>19021.3</v>
      </c>
      <c r="I5" s="105">
        <f>AB5</f>
        <v>-76.029999999998836</v>
      </c>
      <c r="K5" s="1250" t="s">
        <v>287</v>
      </c>
      <c r="L5" s="1083" t="s">
        <v>288</v>
      </c>
      <c r="M5" s="249" t="s">
        <v>289</v>
      </c>
      <c r="N5" s="248">
        <v>44712</v>
      </c>
      <c r="O5" s="246">
        <v>18616.03</v>
      </c>
      <c r="P5" s="243">
        <v>20</v>
      </c>
      <c r="Q5" s="887">
        <v>18702.419999999998</v>
      </c>
      <c r="R5" s="138">
        <f>O5-Q5</f>
        <v>-86.389999999999418</v>
      </c>
      <c r="S5" s="570"/>
      <c r="T5" s="242"/>
      <c r="U5" s="250" t="s">
        <v>290</v>
      </c>
      <c r="V5" s="1084" t="s">
        <v>291</v>
      </c>
      <c r="W5" s="249" t="s">
        <v>292</v>
      </c>
      <c r="X5" s="248">
        <v>44713</v>
      </c>
      <c r="Y5" s="246">
        <v>18945.27</v>
      </c>
      <c r="Z5" s="243">
        <v>21</v>
      </c>
      <c r="AA5" s="887">
        <v>19021.3</v>
      </c>
      <c r="AB5" s="138">
        <f>Y5-AA5</f>
        <v>-76.029999999998836</v>
      </c>
      <c r="AC5" s="570"/>
      <c r="AD5" s="242"/>
      <c r="AE5" s="250" t="s">
        <v>287</v>
      </c>
      <c r="AF5" s="1083" t="s">
        <v>288</v>
      </c>
      <c r="AG5" s="249" t="s">
        <v>293</v>
      </c>
      <c r="AH5" s="245">
        <v>44713</v>
      </c>
      <c r="AI5" s="246">
        <v>18555.38</v>
      </c>
      <c r="AJ5" s="243">
        <v>20</v>
      </c>
      <c r="AK5" s="887">
        <v>18597.66</v>
      </c>
      <c r="AL5" s="138">
        <f>AI5-AK5</f>
        <v>-42.279999999998836</v>
      </c>
      <c r="AM5" s="570"/>
      <c r="AN5" s="242" t="s">
        <v>41</v>
      </c>
      <c r="AO5" s="242" t="s">
        <v>290</v>
      </c>
      <c r="AP5" s="1084" t="s">
        <v>291</v>
      </c>
      <c r="AQ5" s="247" t="s">
        <v>299</v>
      </c>
      <c r="AR5" s="248">
        <v>44713</v>
      </c>
      <c r="AS5" s="246">
        <v>19020.37</v>
      </c>
      <c r="AT5" s="243">
        <v>21</v>
      </c>
      <c r="AU5" s="887">
        <v>19111.2</v>
      </c>
      <c r="AV5" s="138">
        <f>AS5-AU5</f>
        <v>-90.830000000001746</v>
      </c>
      <c r="AW5" s="570"/>
      <c r="AY5" s="242" t="s">
        <v>290</v>
      </c>
      <c r="AZ5" s="1084" t="s">
        <v>291</v>
      </c>
      <c r="BA5" s="247" t="s">
        <v>298</v>
      </c>
      <c r="BB5" s="248">
        <v>44714</v>
      </c>
      <c r="BC5" s="246">
        <v>19084.29</v>
      </c>
      <c r="BD5" s="243">
        <v>21</v>
      </c>
      <c r="BE5" s="887">
        <v>19161.400000000001</v>
      </c>
      <c r="BF5" s="138">
        <f>BC5-BE5</f>
        <v>-77.110000000000582</v>
      </c>
      <c r="BG5" s="570"/>
      <c r="BH5" s="242"/>
      <c r="BI5" s="1246" t="s">
        <v>290</v>
      </c>
      <c r="BJ5" s="1084" t="s">
        <v>291</v>
      </c>
      <c r="BK5" s="244" t="s">
        <v>300</v>
      </c>
      <c r="BL5" s="245">
        <v>44719</v>
      </c>
      <c r="BM5" s="246">
        <v>18840.57</v>
      </c>
      <c r="BN5" s="243">
        <v>21</v>
      </c>
      <c r="BO5" s="887">
        <v>18937.3</v>
      </c>
      <c r="BP5" s="138">
        <f>BM5-BO5</f>
        <v>-96.729999999999563</v>
      </c>
      <c r="BQ5" s="570"/>
      <c r="BR5" s="242"/>
      <c r="BS5" s="1249" t="s">
        <v>290</v>
      </c>
      <c r="BT5" s="1085" t="s">
        <v>291</v>
      </c>
      <c r="BU5" s="247" t="s">
        <v>301</v>
      </c>
      <c r="BV5" s="248">
        <v>44720</v>
      </c>
      <c r="BW5" s="246">
        <v>19081.09</v>
      </c>
      <c r="BX5" s="243">
        <v>21</v>
      </c>
      <c r="BY5" s="241">
        <v>19192.2</v>
      </c>
      <c r="BZ5" s="138">
        <f>BW5-BY5</f>
        <v>-111.11000000000058</v>
      </c>
      <c r="CA5" s="322"/>
      <c r="CB5" s="322"/>
      <c r="CC5" s="250" t="s">
        <v>290</v>
      </c>
      <c r="CD5" s="1085" t="s">
        <v>291</v>
      </c>
      <c r="CE5" s="247" t="s">
        <v>302</v>
      </c>
      <c r="CF5" s="248">
        <v>44720</v>
      </c>
      <c r="CG5" s="246">
        <v>18899.8</v>
      </c>
      <c r="CH5" s="243">
        <v>21</v>
      </c>
      <c r="CI5" s="241">
        <v>18998.3</v>
      </c>
      <c r="CJ5" s="138">
        <f>CG5-CI5</f>
        <v>-98.5</v>
      </c>
      <c r="CK5" s="322"/>
      <c r="CL5" s="322"/>
      <c r="CM5" s="1246" t="s">
        <v>290</v>
      </c>
      <c r="CN5" s="1085" t="s">
        <v>291</v>
      </c>
      <c r="CO5" s="244" t="s">
        <v>304</v>
      </c>
      <c r="CP5" s="248">
        <v>44720</v>
      </c>
      <c r="CQ5" s="246">
        <v>18813.38</v>
      </c>
      <c r="CR5" s="243">
        <v>21</v>
      </c>
      <c r="CS5" s="241">
        <v>18948.5</v>
      </c>
      <c r="CT5" s="138">
        <f>CQ5-CS5</f>
        <v>-135.11999999999898</v>
      </c>
      <c r="CU5" s="570"/>
      <c r="CV5" s="242"/>
      <c r="CW5" s="250" t="s">
        <v>287</v>
      </c>
      <c r="CX5" s="1083" t="s">
        <v>288</v>
      </c>
      <c r="CY5" s="244" t="s">
        <v>305</v>
      </c>
      <c r="CZ5" s="248">
        <v>44721</v>
      </c>
      <c r="DA5" s="246">
        <v>18724.240000000002</v>
      </c>
      <c r="DB5" s="243">
        <v>20</v>
      </c>
      <c r="DC5" s="241">
        <v>18761.830000000002</v>
      </c>
      <c r="DD5" s="138">
        <f>DA5-DC5</f>
        <v>-37.590000000000146</v>
      </c>
      <c r="DE5" s="570"/>
      <c r="DF5" s="242"/>
      <c r="DG5" s="242" t="s">
        <v>290</v>
      </c>
      <c r="DH5" s="1085" t="s">
        <v>291</v>
      </c>
      <c r="DI5" s="247" t="s">
        <v>306</v>
      </c>
      <c r="DJ5" s="248">
        <v>44721</v>
      </c>
      <c r="DK5" s="246">
        <v>18995.18</v>
      </c>
      <c r="DL5" s="243">
        <v>21</v>
      </c>
      <c r="DM5" s="241">
        <v>19047.2</v>
      </c>
      <c r="DN5" s="138">
        <f>DK5-DM5</f>
        <v>-52.020000000000437</v>
      </c>
      <c r="DO5" s="570"/>
      <c r="DP5" s="242"/>
      <c r="DQ5" s="1247" t="s">
        <v>307</v>
      </c>
      <c r="DR5" s="1086" t="s">
        <v>288</v>
      </c>
      <c r="DS5" s="247" t="s">
        <v>308</v>
      </c>
      <c r="DT5" s="248">
        <v>44722</v>
      </c>
      <c r="DU5" s="246">
        <v>18957.71</v>
      </c>
      <c r="DV5" s="243">
        <v>20</v>
      </c>
      <c r="DW5" s="241">
        <v>19049.419999999998</v>
      </c>
      <c r="DX5" s="138">
        <f>DU5-DW5</f>
        <v>-91.709999999999127</v>
      </c>
      <c r="DY5" s="322"/>
      <c r="DZ5" s="242"/>
      <c r="EA5" s="242" t="s">
        <v>290</v>
      </c>
      <c r="EB5" s="1084" t="s">
        <v>291</v>
      </c>
      <c r="EC5" s="247" t="s">
        <v>309</v>
      </c>
      <c r="ED5" s="248">
        <v>44722</v>
      </c>
      <c r="EE5" s="246">
        <v>17874.939999999999</v>
      </c>
      <c r="EF5" s="243">
        <v>20</v>
      </c>
      <c r="EG5" s="241">
        <v>17911.2</v>
      </c>
      <c r="EH5" s="138">
        <f>EE5-EG5</f>
        <v>-36.260000000002037</v>
      </c>
      <c r="EI5" s="570"/>
      <c r="EJ5" s="242" t="s">
        <v>49</v>
      </c>
      <c r="EK5" s="250" t="s">
        <v>290</v>
      </c>
      <c r="EL5" s="1084" t="s">
        <v>291</v>
      </c>
      <c r="EM5" s="249" t="s">
        <v>363</v>
      </c>
      <c r="EN5" s="248">
        <v>44726</v>
      </c>
      <c r="EO5" s="246">
        <v>19065.189999999999</v>
      </c>
      <c r="EP5" s="243">
        <v>21</v>
      </c>
      <c r="EQ5" s="270">
        <v>19086.28</v>
      </c>
      <c r="ER5" s="138">
        <f>EO5-EQ5</f>
        <v>-21.090000000000146</v>
      </c>
      <c r="ES5" s="570"/>
      <c r="ET5" s="242"/>
      <c r="EU5" s="1246" t="s">
        <v>290</v>
      </c>
      <c r="EV5" s="1110" t="s">
        <v>291</v>
      </c>
      <c r="EW5" s="247" t="s">
        <v>364</v>
      </c>
      <c r="EX5" s="248">
        <v>44726</v>
      </c>
      <c r="EY5" s="246">
        <v>18791.89</v>
      </c>
      <c r="EZ5" s="243">
        <v>21</v>
      </c>
      <c r="FA5" s="241">
        <v>18832.099999999999</v>
      </c>
      <c r="FB5" s="138">
        <f>EY5-FA5</f>
        <v>-40.209999999999127</v>
      </c>
      <c r="FC5" s="570"/>
      <c r="FD5" s="242"/>
      <c r="FE5" s="242" t="s">
        <v>307</v>
      </c>
      <c r="FF5" s="1083" t="s">
        <v>288</v>
      </c>
      <c r="FG5" s="247" t="s">
        <v>365</v>
      </c>
      <c r="FH5" s="248">
        <v>44727</v>
      </c>
      <c r="FI5" s="246">
        <v>18491.36</v>
      </c>
      <c r="FJ5" s="243">
        <v>20</v>
      </c>
      <c r="FK5" s="270">
        <v>18631.66</v>
      </c>
      <c r="FL5" s="138">
        <f>FI5-FK5</f>
        <v>-140.29999999999927</v>
      </c>
      <c r="FM5" s="570"/>
      <c r="FN5" s="242"/>
      <c r="FO5" s="510" t="s">
        <v>307</v>
      </c>
      <c r="FP5" s="1083" t="s">
        <v>288</v>
      </c>
      <c r="FQ5" s="247" t="s">
        <v>366</v>
      </c>
      <c r="FR5" s="248">
        <v>44728</v>
      </c>
      <c r="FS5" s="246">
        <v>18181.259999999998</v>
      </c>
      <c r="FT5" s="243">
        <v>20</v>
      </c>
      <c r="FU5" s="241">
        <v>18285.11</v>
      </c>
      <c r="FV5" s="138">
        <f>FS5-FU5</f>
        <v>-103.85000000000218</v>
      </c>
      <c r="FW5" s="570"/>
      <c r="FX5" s="242"/>
      <c r="FY5" s="250" t="s">
        <v>290</v>
      </c>
      <c r="FZ5" s="1084" t="s">
        <v>291</v>
      </c>
      <c r="GA5" s="249" t="s">
        <v>367</v>
      </c>
      <c r="GB5" s="248">
        <v>44728</v>
      </c>
      <c r="GC5" s="246">
        <v>16335.96</v>
      </c>
      <c r="GD5" s="243">
        <v>18</v>
      </c>
      <c r="GE5" s="241">
        <v>16348.1</v>
      </c>
      <c r="GF5" s="138">
        <f>GC5-GE5</f>
        <v>-12.140000000001237</v>
      </c>
      <c r="GG5" s="570"/>
      <c r="GH5" s="242"/>
      <c r="GI5" s="1250" t="s">
        <v>290</v>
      </c>
      <c r="GJ5" s="1084" t="s">
        <v>291</v>
      </c>
      <c r="GK5" s="247" t="s">
        <v>368</v>
      </c>
      <c r="GL5" s="245">
        <v>44729</v>
      </c>
      <c r="GM5" s="246">
        <v>18849.61</v>
      </c>
      <c r="GN5" s="243">
        <v>21</v>
      </c>
      <c r="GO5" s="241">
        <v>18903.2</v>
      </c>
      <c r="GP5" s="138">
        <f>GM5-GO5</f>
        <v>-53.590000000000146</v>
      </c>
      <c r="GQ5" s="570"/>
      <c r="GR5" s="242"/>
      <c r="GS5" s="1246" t="s">
        <v>369</v>
      </c>
      <c r="GT5" s="1083" t="s">
        <v>288</v>
      </c>
      <c r="GU5" s="243" t="s">
        <v>370</v>
      </c>
      <c r="GV5" s="245">
        <v>44729</v>
      </c>
      <c r="GW5" s="246">
        <v>18862.61</v>
      </c>
      <c r="GX5" s="243">
        <v>20</v>
      </c>
      <c r="GY5" s="241">
        <v>18953.689999999999</v>
      </c>
      <c r="GZ5" s="138">
        <f>GW5-GY5</f>
        <v>-91.079999999998108</v>
      </c>
      <c r="HA5" s="570"/>
      <c r="HB5" s="242"/>
      <c r="HC5" s="1249" t="s">
        <v>290</v>
      </c>
      <c r="HD5" s="1084" t="s">
        <v>291</v>
      </c>
      <c r="HE5" s="247" t="s">
        <v>412</v>
      </c>
      <c r="HF5" s="245">
        <v>44733</v>
      </c>
      <c r="HG5" s="246">
        <v>18861.32</v>
      </c>
      <c r="HH5" s="243">
        <v>21</v>
      </c>
      <c r="HI5" s="241">
        <v>18731.8</v>
      </c>
      <c r="HJ5" s="138">
        <f>HG5-HI5</f>
        <v>129.52000000000044</v>
      </c>
      <c r="HK5" s="570"/>
      <c r="HL5" s="242"/>
      <c r="HM5" s="242" t="s">
        <v>290</v>
      </c>
      <c r="HN5" s="1084" t="s">
        <v>291</v>
      </c>
      <c r="HO5" s="247" t="s">
        <v>413</v>
      </c>
      <c r="HP5" s="248">
        <v>44733</v>
      </c>
      <c r="HQ5" s="246">
        <v>19166.77</v>
      </c>
      <c r="HR5" s="243">
        <v>21</v>
      </c>
      <c r="HS5" s="270">
        <v>19093.8</v>
      </c>
      <c r="HT5" s="138">
        <f>HQ5-HS5</f>
        <v>72.970000000001164</v>
      </c>
      <c r="HU5" s="570"/>
      <c r="HV5" s="242"/>
      <c r="HW5" s="1246" t="s">
        <v>287</v>
      </c>
      <c r="HX5" s="1083" t="s">
        <v>288</v>
      </c>
      <c r="HY5" s="247" t="s">
        <v>414</v>
      </c>
      <c r="HZ5" s="248">
        <v>44734</v>
      </c>
      <c r="IA5" s="246">
        <v>18834.34</v>
      </c>
      <c r="IB5" s="243">
        <v>20</v>
      </c>
      <c r="IC5" s="241">
        <v>18929.25</v>
      </c>
      <c r="ID5" s="138">
        <f>IA5-IC5</f>
        <v>-94.909999999999854</v>
      </c>
      <c r="IE5" s="570"/>
      <c r="IF5" s="242"/>
      <c r="IG5" s="1246" t="s">
        <v>287</v>
      </c>
      <c r="IH5" s="1083" t="s">
        <v>288</v>
      </c>
      <c r="II5" s="247" t="s">
        <v>418</v>
      </c>
      <c r="IJ5" s="248">
        <v>44735</v>
      </c>
      <c r="IK5" s="246">
        <v>18628.689999999999</v>
      </c>
      <c r="IL5" s="243">
        <v>20</v>
      </c>
      <c r="IM5" s="241">
        <v>18688.36</v>
      </c>
      <c r="IN5" s="138">
        <f>IK5-IM5</f>
        <v>-59.670000000001892</v>
      </c>
      <c r="IO5" s="570"/>
      <c r="IP5" s="242"/>
      <c r="IQ5" s="1246" t="s">
        <v>290</v>
      </c>
      <c r="IR5" s="1143" t="s">
        <v>291</v>
      </c>
      <c r="IS5" s="249" t="s">
        <v>419</v>
      </c>
      <c r="IT5" s="245">
        <v>44735</v>
      </c>
      <c r="IU5" s="246">
        <v>19129.330000000002</v>
      </c>
      <c r="IV5" s="243">
        <v>21</v>
      </c>
      <c r="IW5" s="241">
        <v>19200.400000000001</v>
      </c>
      <c r="IX5" s="138">
        <f>IU5-IW5</f>
        <v>-71.069999999999709</v>
      </c>
      <c r="IY5" s="570"/>
      <c r="IZ5" s="242"/>
      <c r="JA5" s="242" t="s">
        <v>422</v>
      </c>
      <c r="JB5" s="1084" t="s">
        <v>291</v>
      </c>
      <c r="JC5" s="249" t="s">
        <v>423</v>
      </c>
      <c r="JD5" s="248">
        <v>44736</v>
      </c>
      <c r="JE5" s="246">
        <v>18774.45</v>
      </c>
      <c r="JF5" s="243">
        <v>21</v>
      </c>
      <c r="JG5" s="241">
        <v>18764.099999999999</v>
      </c>
      <c r="JH5" s="138">
        <f>JE5-JG5</f>
        <v>10.350000000002183</v>
      </c>
      <c r="JI5" s="570"/>
      <c r="JJ5" s="242"/>
      <c r="JK5" s="1247" t="s">
        <v>287</v>
      </c>
      <c r="JL5" s="1147" t="s">
        <v>288</v>
      </c>
      <c r="JM5" s="247" t="s">
        <v>424</v>
      </c>
      <c r="JN5" s="248">
        <v>44736</v>
      </c>
      <c r="JO5" s="246">
        <v>18648.240000000002</v>
      </c>
      <c r="JP5" s="243">
        <v>20</v>
      </c>
      <c r="JQ5" s="270">
        <v>18678.71</v>
      </c>
      <c r="JR5" s="138">
        <f>JO5-JQ5</f>
        <v>-30.469999999997526</v>
      </c>
      <c r="JS5" s="570"/>
      <c r="JT5" s="242"/>
      <c r="JU5" s="250" t="s">
        <v>290</v>
      </c>
      <c r="JV5" s="1084" t="s">
        <v>291</v>
      </c>
      <c r="JW5" s="249" t="s">
        <v>448</v>
      </c>
      <c r="JX5" s="248">
        <v>44740</v>
      </c>
      <c r="JY5" s="246">
        <v>18867.12</v>
      </c>
      <c r="JZ5" s="243">
        <v>21</v>
      </c>
      <c r="KA5" s="241">
        <v>18952</v>
      </c>
      <c r="KB5" s="138">
        <f>JY5-KA5</f>
        <v>-84.880000000001019</v>
      </c>
      <c r="KC5" s="570"/>
      <c r="KD5" s="242"/>
      <c r="KE5" s="1250" t="s">
        <v>449</v>
      </c>
      <c r="KF5" s="1084" t="s">
        <v>291</v>
      </c>
      <c r="KG5" s="249" t="s">
        <v>450</v>
      </c>
      <c r="KH5" s="248">
        <v>44740</v>
      </c>
      <c r="KI5" s="246">
        <v>18933.990000000002</v>
      </c>
      <c r="KJ5" s="243">
        <v>21</v>
      </c>
      <c r="KK5" s="241">
        <v>18959.099999999999</v>
      </c>
      <c r="KL5" s="138">
        <f>KI5-KK5</f>
        <v>-25.109999999996944</v>
      </c>
      <c r="KM5" s="570"/>
      <c r="KN5" s="242"/>
      <c r="KO5" s="250" t="s">
        <v>287</v>
      </c>
      <c r="KP5" s="1083" t="s">
        <v>288</v>
      </c>
      <c r="KQ5" s="249" t="s">
        <v>452</v>
      </c>
      <c r="KR5" s="248">
        <v>44741</v>
      </c>
      <c r="KS5" s="246">
        <v>18079.759999999998</v>
      </c>
      <c r="KT5" s="243">
        <v>20</v>
      </c>
      <c r="KU5" s="241">
        <v>16930.7</v>
      </c>
      <c r="KV5" s="1158">
        <f>KS5-KU5</f>
        <v>1149.0599999999977</v>
      </c>
      <c r="KW5" s="570"/>
      <c r="KX5" s="242"/>
      <c r="KY5" s="250" t="s">
        <v>290</v>
      </c>
      <c r="KZ5" s="1084" t="s">
        <v>291</v>
      </c>
      <c r="LA5" s="249" t="s">
        <v>453</v>
      </c>
      <c r="LB5" s="245">
        <v>44742</v>
      </c>
      <c r="LC5" s="246">
        <v>19097.330000000002</v>
      </c>
      <c r="LD5" s="243">
        <v>21</v>
      </c>
      <c r="LE5" s="241">
        <v>19157.900000000001</v>
      </c>
      <c r="LF5" s="138">
        <f>LC5-LE5</f>
        <v>-60.569999999999709</v>
      </c>
      <c r="LG5" s="570"/>
      <c r="LH5" s="242" t="s">
        <v>41</v>
      </c>
      <c r="LI5" s="242" t="s">
        <v>287</v>
      </c>
      <c r="LJ5" s="1083" t="s">
        <v>288</v>
      </c>
      <c r="LK5" s="247" t="s">
        <v>454</v>
      </c>
      <c r="LL5" s="248">
        <v>44742</v>
      </c>
      <c r="LM5" s="246">
        <v>18744.37</v>
      </c>
      <c r="LN5" s="243">
        <v>20</v>
      </c>
      <c r="LO5" s="241">
        <v>18836.23</v>
      </c>
      <c r="LP5" s="138">
        <f>LM5-LO5</f>
        <v>-91.860000000000582</v>
      </c>
      <c r="LQ5" s="570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0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82791435</v>
      </c>
      <c r="E6" s="135">
        <f t="shared" si="2"/>
        <v>44713</v>
      </c>
      <c r="F6" s="86">
        <f t="shared" si="2"/>
        <v>18555.38</v>
      </c>
      <c r="G6" s="73">
        <f t="shared" si="2"/>
        <v>20</v>
      </c>
      <c r="H6" s="48">
        <f t="shared" si="2"/>
        <v>18597.66</v>
      </c>
      <c r="I6" s="105">
        <f>AL5</f>
        <v>-42.279999999998836</v>
      </c>
      <c r="K6" s="1250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46"/>
      <c r="BJ6" s="901"/>
      <c r="BK6" s="242"/>
      <c r="BL6" s="242"/>
      <c r="BM6" s="242"/>
      <c r="BN6" s="242"/>
      <c r="BO6" s="243"/>
      <c r="BP6" s="242"/>
      <c r="BQ6" s="322"/>
      <c r="BR6" s="242"/>
      <c r="BS6" s="1249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246"/>
      <c r="CN6" s="612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247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246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250"/>
      <c r="GJ6" s="254"/>
      <c r="GK6" s="242"/>
      <c r="GL6" s="242"/>
      <c r="GM6" s="242"/>
      <c r="GN6" s="242"/>
      <c r="GO6" s="243"/>
      <c r="GP6" s="242"/>
      <c r="GQ6" s="322"/>
      <c r="GR6" s="242"/>
      <c r="GS6" s="1246"/>
      <c r="GT6" s="251"/>
      <c r="GU6" s="242"/>
      <c r="GV6" s="242"/>
      <c r="GW6" s="242"/>
      <c r="GX6" s="242"/>
      <c r="GY6" s="243"/>
      <c r="GZ6" s="242"/>
      <c r="HA6" s="322"/>
      <c r="HB6" s="242"/>
      <c r="HC6" s="1249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246"/>
      <c r="HX6" s="242"/>
      <c r="HY6" s="242"/>
      <c r="HZ6" s="242"/>
      <c r="IA6" s="242"/>
      <c r="IB6" s="242"/>
      <c r="IC6" s="243"/>
      <c r="ID6" s="242"/>
      <c r="IE6" s="322"/>
      <c r="IF6" s="242"/>
      <c r="IG6" s="1246"/>
      <c r="IH6" s="242"/>
      <c r="II6" s="242"/>
      <c r="IJ6" s="242"/>
      <c r="IK6" s="242"/>
      <c r="IL6" s="242"/>
      <c r="IM6" s="243"/>
      <c r="IN6" s="242"/>
      <c r="IO6" s="322"/>
      <c r="IP6" s="242"/>
      <c r="IQ6" s="1246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247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250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6"/>
      <c r="MB6" s="566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0"/>
      <c r="OL6" s="254"/>
      <c r="OM6" s="242"/>
      <c r="ON6" s="242"/>
      <c r="OO6" s="242"/>
      <c r="OP6" s="242"/>
      <c r="OQ6" s="243"/>
      <c r="OU6" s="590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82791420</v>
      </c>
      <c r="E7" s="135">
        <f t="shared" si="3"/>
        <v>44713</v>
      </c>
      <c r="F7" s="86">
        <f t="shared" si="3"/>
        <v>19020.37</v>
      </c>
      <c r="G7" s="73">
        <f t="shared" si="3"/>
        <v>21</v>
      </c>
      <c r="H7" s="48">
        <f t="shared" si="3"/>
        <v>19111.2</v>
      </c>
      <c r="I7" s="105">
        <f t="shared" si="3"/>
        <v>-90.830000000001746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1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1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1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1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1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1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1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1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1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1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1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1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1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1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1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1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1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1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1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1"/>
      <c r="IG7" s="564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1"/>
      <c r="IQ7" s="564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1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1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1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1"/>
      <c r="KE7" s="242"/>
      <c r="KF7" s="921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1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1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1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1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1"/>
      <c r="MB7" s="571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82852334</v>
      </c>
      <c r="E8" s="135">
        <f t="shared" si="4"/>
        <v>44714</v>
      </c>
      <c r="F8" s="86">
        <f t="shared" si="4"/>
        <v>19084.29</v>
      </c>
      <c r="G8" s="73">
        <f t="shared" si="4"/>
        <v>21</v>
      </c>
      <c r="H8" s="48">
        <f t="shared" si="4"/>
        <v>19161.400000000001</v>
      </c>
      <c r="I8" s="105">
        <f t="shared" si="4"/>
        <v>-77.110000000000582</v>
      </c>
      <c r="K8" s="910"/>
      <c r="L8" s="106"/>
      <c r="M8" s="15">
        <v>1</v>
      </c>
      <c r="N8" s="92">
        <v>934.4</v>
      </c>
      <c r="O8" s="336">
        <v>44712</v>
      </c>
      <c r="P8" s="279">
        <v>934.4</v>
      </c>
      <c r="Q8" s="70" t="s">
        <v>493</v>
      </c>
      <c r="R8" s="71">
        <v>48</v>
      </c>
      <c r="S8" s="566">
        <f>R8*P8</f>
        <v>44851.199999999997</v>
      </c>
      <c r="T8" s="242"/>
      <c r="U8" s="61"/>
      <c r="V8" s="106"/>
      <c r="W8" s="15">
        <v>1</v>
      </c>
      <c r="X8" s="92">
        <v>889</v>
      </c>
      <c r="Y8" s="336">
        <v>44715</v>
      </c>
      <c r="Z8" s="279">
        <v>889</v>
      </c>
      <c r="AA8" s="70" t="s">
        <v>524</v>
      </c>
      <c r="AB8" s="71">
        <v>51</v>
      </c>
      <c r="AC8" s="566">
        <f>AB8*Z8</f>
        <v>45339</v>
      </c>
      <c r="AE8" s="61"/>
      <c r="AF8" s="106"/>
      <c r="AG8" s="15">
        <v>1</v>
      </c>
      <c r="AH8" s="92">
        <v>923.51</v>
      </c>
      <c r="AI8" s="324">
        <v>44713</v>
      </c>
      <c r="AJ8" s="92">
        <v>923.51</v>
      </c>
      <c r="AK8" s="95" t="s">
        <v>495</v>
      </c>
      <c r="AL8" s="71">
        <v>49</v>
      </c>
      <c r="AM8" s="566">
        <f>AL8*AJ8</f>
        <v>45251.99</v>
      </c>
      <c r="AO8" s="61"/>
      <c r="AP8" s="106"/>
      <c r="AQ8" s="15">
        <v>1</v>
      </c>
      <c r="AR8" s="92">
        <v>914.4</v>
      </c>
      <c r="AS8" s="324">
        <v>44714</v>
      </c>
      <c r="AT8" s="92">
        <v>914.4</v>
      </c>
      <c r="AU8" s="95" t="s">
        <v>513</v>
      </c>
      <c r="AV8" s="71">
        <v>49</v>
      </c>
      <c r="AW8" s="566">
        <f>AV8*AT8</f>
        <v>44805.599999999999</v>
      </c>
      <c r="AY8" s="61"/>
      <c r="AZ8" s="106"/>
      <c r="BA8" s="15">
        <v>1</v>
      </c>
      <c r="BB8" s="92">
        <v>924.4</v>
      </c>
      <c r="BC8" s="324">
        <v>44715</v>
      </c>
      <c r="BD8" s="92">
        <v>924.4</v>
      </c>
      <c r="BE8" s="95" t="s">
        <v>531</v>
      </c>
      <c r="BF8" s="71">
        <v>51</v>
      </c>
      <c r="BG8" s="566">
        <f>BF8*BD8</f>
        <v>47144.4</v>
      </c>
      <c r="BI8" s="61"/>
      <c r="BJ8" s="106"/>
      <c r="BK8" s="15">
        <v>1</v>
      </c>
      <c r="BL8" s="279">
        <v>926.2</v>
      </c>
      <c r="BM8" s="245">
        <v>44719</v>
      </c>
      <c r="BN8" s="279">
        <v>926.2</v>
      </c>
      <c r="BO8" s="319" t="s">
        <v>550</v>
      </c>
      <c r="BP8" s="801">
        <v>51</v>
      </c>
      <c r="BQ8" s="729">
        <f>BP8*BN8</f>
        <v>47236.200000000004</v>
      </c>
      <c r="BS8" s="61"/>
      <c r="BT8" s="106"/>
      <c r="BU8" s="15">
        <v>1</v>
      </c>
      <c r="BV8" s="92">
        <v>938.9</v>
      </c>
      <c r="BW8" s="378"/>
      <c r="BX8" s="279"/>
      <c r="BY8" s="379"/>
      <c r="BZ8" s="380"/>
      <c r="CA8" s="566">
        <f>BZ8*BX8</f>
        <v>0</v>
      </c>
      <c r="CC8" s="61"/>
      <c r="CD8" s="752"/>
      <c r="CE8" s="15">
        <v>1</v>
      </c>
      <c r="CF8" s="279">
        <v>938</v>
      </c>
      <c r="CG8" s="963"/>
      <c r="CH8" s="279"/>
      <c r="CI8" s="802"/>
      <c r="CJ8" s="684"/>
      <c r="CK8" s="566">
        <f>CJ8*CH8</f>
        <v>0</v>
      </c>
      <c r="CM8" s="61"/>
      <c r="CN8" s="94"/>
      <c r="CO8" s="15">
        <v>1</v>
      </c>
      <c r="CP8" s="92">
        <v>917.2</v>
      </c>
      <c r="CQ8" s="378"/>
      <c r="CR8" s="279"/>
      <c r="CS8" s="802"/>
      <c r="CT8" s="380"/>
      <c r="CU8" s="572">
        <f>CT8*CR8</f>
        <v>0</v>
      </c>
      <c r="CW8" s="61"/>
      <c r="CX8" s="106"/>
      <c r="CY8" s="15">
        <v>1</v>
      </c>
      <c r="CZ8" s="92">
        <v>933.94</v>
      </c>
      <c r="DA8" s="324"/>
      <c r="DB8" s="92"/>
      <c r="DC8" s="95"/>
      <c r="DD8" s="71"/>
      <c r="DE8" s="566">
        <f>DD8*DB8</f>
        <v>0</v>
      </c>
      <c r="DG8" s="61"/>
      <c r="DH8" s="106"/>
      <c r="DI8" s="15">
        <v>1</v>
      </c>
      <c r="DJ8" s="92">
        <v>899</v>
      </c>
      <c r="DK8" s="378"/>
      <c r="DL8" s="92"/>
      <c r="DM8" s="381"/>
      <c r="DN8" s="380"/>
      <c r="DO8" s="572">
        <f>DN8*DL8</f>
        <v>0</v>
      </c>
      <c r="DQ8" s="61"/>
      <c r="DR8" s="106"/>
      <c r="DS8" s="15">
        <v>1</v>
      </c>
      <c r="DT8" s="92">
        <v>954.81</v>
      </c>
      <c r="DU8" s="378"/>
      <c r="DV8" s="92"/>
      <c r="DW8" s="381"/>
      <c r="DX8" s="380"/>
      <c r="DY8" s="566">
        <f>DX8*DV8</f>
        <v>0</v>
      </c>
      <c r="EA8" s="61"/>
      <c r="EB8" s="106"/>
      <c r="EC8" s="15">
        <v>1</v>
      </c>
      <c r="ED8" s="92">
        <v>919</v>
      </c>
      <c r="EE8" s="336"/>
      <c r="EF8" s="92"/>
      <c r="EG8" s="70"/>
      <c r="EH8" s="71"/>
      <c r="EI8" s="566">
        <f>EH8*EF8</f>
        <v>0</v>
      </c>
      <c r="EK8" s="61"/>
      <c r="EL8" s="425"/>
      <c r="EM8" s="15">
        <v>1</v>
      </c>
      <c r="EN8" s="279">
        <v>926.2</v>
      </c>
      <c r="EO8" s="328"/>
      <c r="EP8" s="279"/>
      <c r="EQ8" s="265"/>
      <c r="ER8" s="266"/>
      <c r="ES8" s="566">
        <f>ER8*EP8</f>
        <v>0</v>
      </c>
      <c r="EU8" s="61"/>
      <c r="EV8" s="106"/>
      <c r="EW8" s="15">
        <v>1</v>
      </c>
      <c r="EX8" s="279">
        <v>919</v>
      </c>
      <c r="EY8" s="494"/>
      <c r="EZ8" s="279"/>
      <c r="FA8" s="265"/>
      <c r="FB8" s="266"/>
      <c r="FC8" s="322">
        <f>FB8*EZ8</f>
        <v>0</v>
      </c>
      <c r="FE8" s="61"/>
      <c r="FF8" s="425"/>
      <c r="FG8" s="15">
        <v>1</v>
      </c>
      <c r="FH8" s="279">
        <v>946.64</v>
      </c>
      <c r="FI8" s="328"/>
      <c r="FJ8" s="279"/>
      <c r="FK8" s="382"/>
      <c r="FL8" s="266"/>
      <c r="FM8" s="566">
        <f>FL8*FJ8</f>
        <v>0</v>
      </c>
      <c r="FO8" s="61"/>
      <c r="FP8" s="106"/>
      <c r="FQ8" s="15">
        <v>1</v>
      </c>
      <c r="FR8" s="92">
        <v>948.46</v>
      </c>
      <c r="FS8" s="324"/>
      <c r="FT8" s="92"/>
      <c r="FU8" s="70"/>
      <c r="FV8" s="71"/>
      <c r="FW8" s="566">
        <f>FV8*FT8</f>
        <v>0</v>
      </c>
      <c r="FY8" s="61"/>
      <c r="FZ8" s="106"/>
      <c r="GA8" s="15">
        <v>1</v>
      </c>
      <c r="GB8" s="279">
        <v>932.6</v>
      </c>
      <c r="GC8" s="494"/>
      <c r="GD8" s="279"/>
      <c r="GE8" s="265"/>
      <c r="GF8" s="266"/>
      <c r="GG8" s="322">
        <f>GF8*GD8</f>
        <v>0</v>
      </c>
      <c r="GI8" s="61"/>
      <c r="GJ8" s="106"/>
      <c r="GK8" s="15">
        <v>1</v>
      </c>
      <c r="GL8" s="471">
        <v>869.1</v>
      </c>
      <c r="GM8" s="324"/>
      <c r="GN8" s="498"/>
      <c r="GO8" s="95"/>
      <c r="GP8" s="71"/>
      <c r="GQ8" s="566">
        <f>GP8*GN8</f>
        <v>0</v>
      </c>
      <c r="GS8" s="61"/>
      <c r="GT8" s="106"/>
      <c r="GU8" s="15">
        <v>1</v>
      </c>
      <c r="GV8" s="279">
        <v>963.88</v>
      </c>
      <c r="GW8" s="328"/>
      <c r="GX8" s="730"/>
      <c r="GY8" s="319"/>
      <c r="GZ8" s="266"/>
      <c r="HA8" s="566">
        <f>GZ8*GX8</f>
        <v>0</v>
      </c>
      <c r="HC8" s="61"/>
      <c r="HD8" s="106"/>
      <c r="HE8" s="15">
        <v>1</v>
      </c>
      <c r="HF8" s="279">
        <v>906.3</v>
      </c>
      <c r="HG8" s="328"/>
      <c r="HH8" s="279"/>
      <c r="HI8" s="319"/>
      <c r="HJ8" s="266"/>
      <c r="HK8" s="566">
        <f>HJ8*HH8</f>
        <v>0</v>
      </c>
      <c r="HM8" s="61"/>
      <c r="HN8" s="106"/>
      <c r="HO8" s="15">
        <v>1</v>
      </c>
      <c r="HP8" s="279">
        <v>935.3</v>
      </c>
      <c r="HQ8" s="328"/>
      <c r="HR8" s="279"/>
      <c r="HS8" s="383"/>
      <c r="HT8" s="266"/>
      <c r="HU8" s="566">
        <f>HT8*HR8</f>
        <v>0</v>
      </c>
      <c r="HW8" s="61"/>
      <c r="HX8" s="106"/>
      <c r="HY8" s="15">
        <v>1</v>
      </c>
      <c r="HZ8" s="92">
        <v>970.23</v>
      </c>
      <c r="IA8" s="336"/>
      <c r="IB8" s="92"/>
      <c r="IC8" s="70"/>
      <c r="ID8" s="71"/>
      <c r="IE8" s="566">
        <f t="shared" ref="IE8:IE28" si="5">ID8*IB8</f>
        <v>0</v>
      </c>
      <c r="IG8" s="61"/>
      <c r="IH8" s="106"/>
      <c r="II8" s="15">
        <v>1</v>
      </c>
      <c r="IJ8" s="92">
        <v>946.19</v>
      </c>
      <c r="IK8" s="336"/>
      <c r="IL8" s="69"/>
      <c r="IM8" s="70"/>
      <c r="IN8" s="71"/>
      <c r="IO8" s="566">
        <f>IN8*IL8</f>
        <v>0</v>
      </c>
      <c r="IQ8" s="738"/>
      <c r="IR8" s="106"/>
      <c r="IS8" s="15">
        <v>1</v>
      </c>
      <c r="IT8" s="279">
        <v>910.8</v>
      </c>
      <c r="IU8" s="245"/>
      <c r="IV8" s="279"/>
      <c r="IW8" s="500"/>
      <c r="IX8" s="266"/>
      <c r="IY8" s="322">
        <f>IX8*IV8</f>
        <v>0</v>
      </c>
      <c r="IZ8" s="92"/>
      <c r="JA8" s="61"/>
      <c r="JB8" s="106"/>
      <c r="JC8" s="15">
        <v>1</v>
      </c>
      <c r="JD8" s="92">
        <v>936.3</v>
      </c>
      <c r="JE8" s="336"/>
      <c r="JF8" s="92"/>
      <c r="JG8" s="265"/>
      <c r="JH8" s="71"/>
      <c r="JI8" s="566">
        <f>JH8*JF8</f>
        <v>0</v>
      </c>
      <c r="JJ8" s="384"/>
      <c r="JK8" s="385"/>
      <c r="JL8" s="386"/>
      <c r="JM8" s="15">
        <v>1</v>
      </c>
      <c r="JN8" s="92">
        <v>910.35</v>
      </c>
      <c r="JO8" s="324"/>
      <c r="JP8" s="92"/>
      <c r="JQ8" s="70"/>
      <c r="JR8" s="71"/>
      <c r="JS8" s="566">
        <f>JR8*JP8</f>
        <v>0</v>
      </c>
      <c r="JU8" s="61"/>
      <c r="JV8" s="106"/>
      <c r="JW8" s="15">
        <v>1</v>
      </c>
      <c r="JX8" s="92">
        <v>890.9</v>
      </c>
      <c r="JY8" s="336"/>
      <c r="JZ8" s="279"/>
      <c r="KA8" s="70"/>
      <c r="KB8" s="71"/>
      <c r="KC8" s="566">
        <f>KB8*JZ8</f>
        <v>0</v>
      </c>
      <c r="KE8" s="910"/>
      <c r="KF8" s="922"/>
      <c r="KG8" s="15">
        <v>1</v>
      </c>
      <c r="KH8" s="92">
        <v>884.5</v>
      </c>
      <c r="KI8" s="336"/>
      <c r="KJ8" s="279"/>
      <c r="KK8" s="70"/>
      <c r="KL8" s="71"/>
      <c r="KM8" s="566">
        <f>KL8*KJ8</f>
        <v>0</v>
      </c>
      <c r="KO8" s="61"/>
      <c r="KP8" s="106"/>
      <c r="KQ8" s="15">
        <v>1</v>
      </c>
      <c r="KR8" s="92">
        <v>823.72</v>
      </c>
      <c r="KS8" s="336"/>
      <c r="KT8" s="279"/>
      <c r="KU8" s="70"/>
      <c r="KV8" s="71"/>
      <c r="KW8" s="566">
        <f>KV8*KT8</f>
        <v>0</v>
      </c>
      <c r="KY8" s="61"/>
      <c r="KZ8" s="106"/>
      <c r="LA8" s="15">
        <v>1</v>
      </c>
      <c r="LB8" s="92">
        <v>926.2</v>
      </c>
      <c r="LC8" s="324"/>
      <c r="LD8" s="92"/>
      <c r="LE8" s="95"/>
      <c r="LF8" s="71"/>
      <c r="LG8" s="566">
        <f>LF8*LD8</f>
        <v>0</v>
      </c>
      <c r="LI8" s="61"/>
      <c r="LJ8" s="106"/>
      <c r="LK8" s="15">
        <v>1</v>
      </c>
      <c r="LL8" s="92">
        <v>918.97</v>
      </c>
      <c r="LM8" s="324"/>
      <c r="LN8" s="279"/>
      <c r="LO8" s="95"/>
      <c r="LP8" s="71"/>
      <c r="LQ8" s="566">
        <f>LP8*LN8</f>
        <v>0</v>
      </c>
      <c r="LS8" s="61"/>
      <c r="LT8" s="106"/>
      <c r="LU8" s="15">
        <v>1</v>
      </c>
      <c r="LV8" s="92"/>
      <c r="LW8" s="324"/>
      <c r="LX8" s="92"/>
      <c r="LY8" s="95"/>
      <c r="LZ8" s="71"/>
      <c r="MA8" s="566">
        <f>LZ8*LX8</f>
        <v>0</v>
      </c>
      <c r="MB8" s="566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83063427</v>
      </c>
      <c r="E9" s="135">
        <f t="shared" si="6"/>
        <v>44719</v>
      </c>
      <c r="F9" s="86">
        <f t="shared" si="6"/>
        <v>18840.57</v>
      </c>
      <c r="G9" s="73">
        <f t="shared" si="6"/>
        <v>21</v>
      </c>
      <c r="H9" s="48">
        <f t="shared" si="6"/>
        <v>18937.3</v>
      </c>
      <c r="I9" s="105">
        <f>BP5</f>
        <v>-96.729999999999563</v>
      </c>
      <c r="K9" s="242"/>
      <c r="L9" s="106"/>
      <c r="M9" s="15">
        <v>2</v>
      </c>
      <c r="N9" s="69">
        <v>931.22</v>
      </c>
      <c r="O9" s="336">
        <v>44712</v>
      </c>
      <c r="P9" s="69">
        <v>931.22</v>
      </c>
      <c r="Q9" s="70" t="s">
        <v>493</v>
      </c>
      <c r="R9" s="71">
        <v>48</v>
      </c>
      <c r="S9" s="566">
        <f t="shared" ref="S9:S28" si="7">R9*P9</f>
        <v>44698.559999999998</v>
      </c>
      <c r="T9" s="242"/>
      <c r="V9" s="106"/>
      <c r="W9" s="15">
        <v>2</v>
      </c>
      <c r="X9" s="69">
        <v>934.4</v>
      </c>
      <c r="Y9" s="336">
        <v>44715</v>
      </c>
      <c r="Z9" s="69">
        <v>934.4</v>
      </c>
      <c r="AA9" s="70" t="s">
        <v>524</v>
      </c>
      <c r="AB9" s="71">
        <v>51</v>
      </c>
      <c r="AC9" s="566">
        <f t="shared" ref="AC9:AC28" si="8">AB9*Z9</f>
        <v>47654.400000000001</v>
      </c>
      <c r="AF9" s="94"/>
      <c r="AG9" s="15">
        <v>2</v>
      </c>
      <c r="AH9" s="92">
        <v>952.09</v>
      </c>
      <c r="AI9" s="324">
        <v>44713</v>
      </c>
      <c r="AJ9" s="92">
        <v>952.09</v>
      </c>
      <c r="AK9" s="95" t="s">
        <v>503</v>
      </c>
      <c r="AL9" s="71">
        <v>49</v>
      </c>
      <c r="AM9" s="566">
        <f t="shared" ref="AM9:AM28" si="9">AL9*AJ9</f>
        <v>46652.41</v>
      </c>
      <c r="AP9" s="94"/>
      <c r="AQ9" s="15">
        <v>2</v>
      </c>
      <c r="AR9" s="92">
        <v>877.2</v>
      </c>
      <c r="AS9" s="324">
        <v>44714</v>
      </c>
      <c r="AT9" s="92">
        <v>877.2</v>
      </c>
      <c r="AU9" s="95" t="s">
        <v>509</v>
      </c>
      <c r="AV9" s="71">
        <v>49</v>
      </c>
      <c r="AW9" s="566">
        <f t="shared" ref="AW9:AW29" si="10">AV9*AT9</f>
        <v>42982.8</v>
      </c>
      <c r="AZ9" s="94"/>
      <c r="BA9" s="15">
        <v>2</v>
      </c>
      <c r="BB9" s="92">
        <v>906.3</v>
      </c>
      <c r="BC9" s="324">
        <v>44715</v>
      </c>
      <c r="BD9" s="92">
        <v>906.3</v>
      </c>
      <c r="BE9" s="95" t="s">
        <v>531</v>
      </c>
      <c r="BF9" s="71">
        <v>51</v>
      </c>
      <c r="BG9" s="566">
        <f t="shared" ref="BG9:BG29" si="11">BF9*BD9</f>
        <v>46221.299999999996</v>
      </c>
      <c r="BJ9" s="106"/>
      <c r="BK9" s="15">
        <v>2</v>
      </c>
      <c r="BL9" s="279">
        <v>898.1</v>
      </c>
      <c r="BM9" s="245">
        <v>44719</v>
      </c>
      <c r="BN9" s="279">
        <v>898.1</v>
      </c>
      <c r="BO9" s="319" t="s">
        <v>550</v>
      </c>
      <c r="BP9" s="801">
        <v>51</v>
      </c>
      <c r="BQ9" s="729">
        <f t="shared" ref="BQ9:BQ29" si="12">BP9*BN9</f>
        <v>45803.1</v>
      </c>
      <c r="BT9" s="106"/>
      <c r="BU9" s="15">
        <v>2</v>
      </c>
      <c r="BV9" s="92">
        <v>909</v>
      </c>
      <c r="BW9" s="378"/>
      <c r="BX9" s="92"/>
      <c r="BY9" s="379"/>
      <c r="BZ9" s="380"/>
      <c r="CA9" s="566">
        <f t="shared" ref="CA9:CA28" si="13">BZ9*BX9</f>
        <v>0</v>
      </c>
      <c r="CD9" s="752"/>
      <c r="CE9" s="15">
        <v>2</v>
      </c>
      <c r="CF9" s="279">
        <v>881.8</v>
      </c>
      <c r="CG9" s="963"/>
      <c r="CH9" s="279"/>
      <c r="CI9" s="802"/>
      <c r="CJ9" s="684"/>
      <c r="CK9" s="566">
        <f t="shared" ref="CK9:CK29" si="14">CJ9*CH9</f>
        <v>0</v>
      </c>
      <c r="CN9" s="94"/>
      <c r="CO9" s="15">
        <v>2</v>
      </c>
      <c r="CP9" s="92">
        <v>914.4</v>
      </c>
      <c r="CQ9" s="378"/>
      <c r="CR9" s="92"/>
      <c r="CS9" s="381"/>
      <c r="CT9" s="380"/>
      <c r="CU9" s="572">
        <f>CT9*CR9</f>
        <v>0</v>
      </c>
      <c r="CX9" s="94"/>
      <c r="CY9" s="15">
        <v>2</v>
      </c>
      <c r="CZ9" s="92">
        <v>943.47</v>
      </c>
      <c r="DA9" s="324"/>
      <c r="DB9" s="92"/>
      <c r="DC9" s="95"/>
      <c r="DD9" s="71"/>
      <c r="DE9" s="566">
        <f t="shared" ref="DE9:DE29" si="15">DD9*DB9</f>
        <v>0</v>
      </c>
      <c r="DH9" s="94"/>
      <c r="DI9" s="15">
        <v>2</v>
      </c>
      <c r="DJ9" s="279">
        <v>880</v>
      </c>
      <c r="DK9" s="378"/>
      <c r="DL9" s="92"/>
      <c r="DM9" s="381"/>
      <c r="DN9" s="380"/>
      <c r="DO9" s="572">
        <f t="shared" ref="DO9:DO29" si="16">DN9*DL9</f>
        <v>0</v>
      </c>
      <c r="DR9" s="94"/>
      <c r="DS9" s="15">
        <v>2</v>
      </c>
      <c r="DT9" s="92">
        <v>957.53</v>
      </c>
      <c r="DU9" s="378"/>
      <c r="DV9" s="92"/>
      <c r="DW9" s="381"/>
      <c r="DX9" s="380"/>
      <c r="DY9" s="566">
        <f t="shared" ref="DY9:DY29" si="17">DX9*DV9</f>
        <v>0</v>
      </c>
      <c r="EB9" s="94"/>
      <c r="EC9" s="15">
        <v>2</v>
      </c>
      <c r="ED9" s="69">
        <v>881.8</v>
      </c>
      <c r="EE9" s="336"/>
      <c r="EF9" s="92"/>
      <c r="EG9" s="70"/>
      <c r="EH9" s="71"/>
      <c r="EI9" s="566">
        <f t="shared" ref="EI9:EI28" si="18">EH9*EF9</f>
        <v>0</v>
      </c>
      <c r="EL9" s="425"/>
      <c r="EM9" s="15">
        <v>2</v>
      </c>
      <c r="EN9" s="279">
        <v>903.6</v>
      </c>
      <c r="EO9" s="328"/>
      <c r="EP9" s="279"/>
      <c r="EQ9" s="265"/>
      <c r="ER9" s="266"/>
      <c r="ES9" s="566">
        <f t="shared" ref="ES9:ES29" si="19">ER9*EP9</f>
        <v>0</v>
      </c>
      <c r="EV9" s="94"/>
      <c r="EW9" s="15">
        <v>2</v>
      </c>
      <c r="EX9" s="264">
        <v>879.5</v>
      </c>
      <c r="EY9" s="494"/>
      <c r="EZ9" s="264"/>
      <c r="FA9" s="265"/>
      <c r="FB9" s="266"/>
      <c r="FC9" s="322">
        <f t="shared" ref="FC9:FC29" si="20">FB9*EZ9</f>
        <v>0</v>
      </c>
      <c r="FF9" s="425"/>
      <c r="FG9" s="15">
        <v>2</v>
      </c>
      <c r="FH9" s="279">
        <v>923.51</v>
      </c>
      <c r="FI9" s="328"/>
      <c r="FJ9" s="279"/>
      <c r="FK9" s="265"/>
      <c r="FL9" s="266"/>
      <c r="FM9" s="566">
        <f t="shared" ref="FM9:FM29" si="21">FL9*FJ9</f>
        <v>0</v>
      </c>
      <c r="FP9" s="94" t="s">
        <v>41</v>
      </c>
      <c r="FQ9" s="15">
        <v>2</v>
      </c>
      <c r="FR9" s="92">
        <v>916.71</v>
      </c>
      <c r="FS9" s="324"/>
      <c r="FT9" s="92"/>
      <c r="FU9" s="70"/>
      <c r="FV9" s="71"/>
      <c r="FW9" s="566">
        <f t="shared" ref="FW9:FW29" si="22">FV9*FT9</f>
        <v>0</v>
      </c>
      <c r="FZ9" s="94"/>
      <c r="GA9" s="15">
        <v>2</v>
      </c>
      <c r="GB9" s="264">
        <v>912.6</v>
      </c>
      <c r="GC9" s="494"/>
      <c r="GD9" s="264"/>
      <c r="GE9" s="265"/>
      <c r="GF9" s="266"/>
      <c r="GG9" s="322">
        <f t="shared" ref="GG9:GG29" si="23">GF9*GD9</f>
        <v>0</v>
      </c>
      <c r="GJ9" s="94"/>
      <c r="GK9" s="15">
        <v>2</v>
      </c>
      <c r="GL9" s="472">
        <v>866.4</v>
      </c>
      <c r="GM9" s="324"/>
      <c r="GN9" s="472"/>
      <c r="GO9" s="95"/>
      <c r="GP9" s="71"/>
      <c r="GQ9" s="566">
        <f t="shared" ref="GQ9:GQ29" si="24">GP9*GN9</f>
        <v>0</v>
      </c>
      <c r="GT9" s="94"/>
      <c r="GU9" s="15">
        <v>2</v>
      </c>
      <c r="GV9" s="275">
        <v>958.44</v>
      </c>
      <c r="GW9" s="328"/>
      <c r="GX9" s="275"/>
      <c r="GY9" s="319"/>
      <c r="GZ9" s="266"/>
      <c r="HA9" s="566">
        <f t="shared" ref="HA9:HA28" si="25">GZ9*GX9</f>
        <v>0</v>
      </c>
      <c r="HD9" s="94"/>
      <c r="HE9" s="15">
        <v>2</v>
      </c>
      <c r="HF9" s="279">
        <v>936.2</v>
      </c>
      <c r="HG9" s="328"/>
      <c r="HH9" s="279"/>
      <c r="HI9" s="319"/>
      <c r="HJ9" s="266"/>
      <c r="HK9" s="566">
        <f t="shared" ref="HK9:HK28" si="26">HJ9*HH9</f>
        <v>0</v>
      </c>
      <c r="HN9" s="94"/>
      <c r="HO9" s="15">
        <v>2</v>
      </c>
      <c r="HP9" s="279">
        <v>883.6</v>
      </c>
      <c r="HQ9" s="328"/>
      <c r="HR9" s="279"/>
      <c r="HS9" s="383"/>
      <c r="HT9" s="266"/>
      <c r="HU9" s="566">
        <f t="shared" ref="HU9:HU29" si="27">HT9*HR9</f>
        <v>0</v>
      </c>
      <c r="HX9" s="106"/>
      <c r="HY9" s="15">
        <v>2</v>
      </c>
      <c r="HZ9" s="69">
        <v>916.71</v>
      </c>
      <c r="IA9" s="336"/>
      <c r="IB9" s="69"/>
      <c r="IC9" s="70"/>
      <c r="ID9" s="71"/>
      <c r="IE9" s="566">
        <f t="shared" si="5"/>
        <v>0</v>
      </c>
      <c r="IH9" s="106"/>
      <c r="II9" s="15">
        <v>2</v>
      </c>
      <c r="IJ9" s="69">
        <v>904</v>
      </c>
      <c r="IK9" s="336"/>
      <c r="IL9" s="69"/>
      <c r="IM9" s="70"/>
      <c r="IN9" s="71"/>
      <c r="IO9" s="566">
        <f t="shared" ref="IO9:IO29" si="28">IN9*IL9</f>
        <v>0</v>
      </c>
      <c r="IQ9" s="739"/>
      <c r="IR9" s="94"/>
      <c r="IS9" s="15">
        <v>2</v>
      </c>
      <c r="IT9" s="279">
        <v>891.8</v>
      </c>
      <c r="IU9" s="245"/>
      <c r="IV9" s="279"/>
      <c r="IW9" s="500"/>
      <c r="IX9" s="266"/>
      <c r="IY9" s="322">
        <f t="shared" ref="IY9:IY29" si="29">IX9*IV9</f>
        <v>0</v>
      </c>
      <c r="IZ9" s="92"/>
      <c r="JA9" s="92"/>
      <c r="JB9" s="94"/>
      <c r="JC9" s="15">
        <v>2</v>
      </c>
      <c r="JD9" s="92">
        <v>878.2</v>
      </c>
      <c r="JE9" s="336"/>
      <c r="JF9" s="92"/>
      <c r="JG9" s="265"/>
      <c r="JH9" s="71"/>
      <c r="JI9" s="566">
        <f t="shared" ref="JI9:JI29" si="30">JH9*JF9</f>
        <v>0</v>
      </c>
      <c r="JJ9" s="69"/>
      <c r="JL9" s="94"/>
      <c r="JM9" s="15">
        <v>2</v>
      </c>
      <c r="JN9" s="92">
        <v>911.26</v>
      </c>
      <c r="JO9" s="324"/>
      <c r="JP9" s="92"/>
      <c r="JQ9" s="70"/>
      <c r="JR9" s="71"/>
      <c r="JS9" s="566">
        <f t="shared" ref="JS9:JS27" si="31">JR9*JP9</f>
        <v>0</v>
      </c>
      <c r="JV9" s="106"/>
      <c r="JW9" s="15">
        <v>2</v>
      </c>
      <c r="JX9" s="69">
        <v>871.8</v>
      </c>
      <c r="JY9" s="336"/>
      <c r="JZ9" s="69"/>
      <c r="KA9" s="70"/>
      <c r="KB9" s="71"/>
      <c r="KC9" s="566">
        <f t="shared" ref="KC9:KC28" si="32">KB9*JZ9</f>
        <v>0</v>
      </c>
      <c r="KE9" s="242"/>
      <c r="KF9" s="922"/>
      <c r="KG9" s="15">
        <v>2</v>
      </c>
      <c r="KH9" s="69">
        <v>924.4</v>
      </c>
      <c r="KI9" s="336"/>
      <c r="KJ9" s="69"/>
      <c r="KK9" s="70"/>
      <c r="KL9" s="71"/>
      <c r="KM9" s="566">
        <f t="shared" ref="KM9:KM28" si="33">KL9*KJ9</f>
        <v>0</v>
      </c>
      <c r="KP9" s="106"/>
      <c r="KQ9" s="15">
        <v>2</v>
      </c>
      <c r="KR9" s="69">
        <v>840.05</v>
      </c>
      <c r="KS9" s="336"/>
      <c r="KT9" s="69"/>
      <c r="KU9" s="70"/>
      <c r="KV9" s="71"/>
      <c r="KW9" s="566">
        <f t="shared" ref="KW9:KW28" si="34">KV9*KT9</f>
        <v>0</v>
      </c>
      <c r="KZ9" s="94"/>
      <c r="LA9" s="15">
        <v>2</v>
      </c>
      <c r="LB9" s="92">
        <v>918.1</v>
      </c>
      <c r="LC9" s="324"/>
      <c r="LD9" s="92"/>
      <c r="LE9" s="95"/>
      <c r="LF9" s="71"/>
      <c r="LG9" s="566">
        <f t="shared" ref="LG9:LG28" si="35">LF9*LD9</f>
        <v>0</v>
      </c>
      <c r="LJ9" s="94"/>
      <c r="LK9" s="15">
        <v>2</v>
      </c>
      <c r="LL9" s="92">
        <v>931.67</v>
      </c>
      <c r="LM9" s="324"/>
      <c r="LN9" s="92"/>
      <c r="LO9" s="95"/>
      <c r="LP9" s="71"/>
      <c r="LQ9" s="566">
        <f t="shared" ref="LQ9:LQ29" si="36">LP9*LN9</f>
        <v>0</v>
      </c>
      <c r="LT9" s="94"/>
      <c r="LU9" s="15">
        <v>2</v>
      </c>
      <c r="LV9" s="92"/>
      <c r="LW9" s="324"/>
      <c r="LX9" s="92"/>
      <c r="LY9" s="95"/>
      <c r="LZ9" s="71"/>
      <c r="MA9" s="566">
        <f t="shared" ref="MA9:MA29" si="37">LZ9*LX9</f>
        <v>0</v>
      </c>
      <c r="MB9" s="566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83101738</v>
      </c>
      <c r="E10" s="135">
        <f t="shared" si="47"/>
        <v>44720</v>
      </c>
      <c r="F10" s="86">
        <f t="shared" si="47"/>
        <v>19081.09</v>
      </c>
      <c r="G10" s="73">
        <f t="shared" si="47"/>
        <v>21</v>
      </c>
      <c r="H10" s="48">
        <f t="shared" si="47"/>
        <v>19192.2</v>
      </c>
      <c r="I10" s="105">
        <f t="shared" si="47"/>
        <v>-111.11000000000058</v>
      </c>
      <c r="K10" s="242"/>
      <c r="L10" s="106"/>
      <c r="M10" s="15">
        <v>3</v>
      </c>
      <c r="N10" s="69">
        <v>919.88</v>
      </c>
      <c r="O10" s="336">
        <v>44712</v>
      </c>
      <c r="P10" s="69">
        <v>919.88</v>
      </c>
      <c r="Q10" s="70" t="s">
        <v>493</v>
      </c>
      <c r="R10" s="71">
        <v>48</v>
      </c>
      <c r="S10" s="566">
        <f t="shared" si="7"/>
        <v>44154.239999999998</v>
      </c>
      <c r="T10" s="242"/>
      <c r="V10" s="106"/>
      <c r="W10" s="15">
        <v>3</v>
      </c>
      <c r="X10" s="69">
        <v>898.1</v>
      </c>
      <c r="Y10" s="336">
        <v>44715</v>
      </c>
      <c r="Z10" s="69">
        <v>898.1</v>
      </c>
      <c r="AA10" s="70" t="s">
        <v>524</v>
      </c>
      <c r="AB10" s="71">
        <v>51</v>
      </c>
      <c r="AC10" s="566">
        <f t="shared" si="8"/>
        <v>45803.1</v>
      </c>
      <c r="AF10" s="94"/>
      <c r="AG10" s="15">
        <v>3</v>
      </c>
      <c r="AH10" s="92">
        <v>932.58</v>
      </c>
      <c r="AI10" s="324">
        <v>44713</v>
      </c>
      <c r="AJ10" s="92">
        <v>932.58</v>
      </c>
      <c r="AK10" s="95" t="s">
        <v>502</v>
      </c>
      <c r="AL10" s="71">
        <v>49</v>
      </c>
      <c r="AM10" s="566">
        <f t="shared" si="9"/>
        <v>45696.420000000006</v>
      </c>
      <c r="AP10" s="94"/>
      <c r="AQ10" s="15">
        <v>3</v>
      </c>
      <c r="AR10" s="92">
        <v>900.8</v>
      </c>
      <c r="AS10" s="324">
        <v>44714</v>
      </c>
      <c r="AT10" s="92">
        <v>900.8</v>
      </c>
      <c r="AU10" s="95" t="s">
        <v>513</v>
      </c>
      <c r="AV10" s="71">
        <v>49</v>
      </c>
      <c r="AW10" s="566">
        <f t="shared" si="10"/>
        <v>44139.199999999997</v>
      </c>
      <c r="AZ10" s="94"/>
      <c r="BA10" s="15">
        <v>3</v>
      </c>
      <c r="BB10" s="92">
        <v>929.9</v>
      </c>
      <c r="BC10" s="324">
        <v>44715</v>
      </c>
      <c r="BD10" s="92">
        <v>929.9</v>
      </c>
      <c r="BE10" s="95" t="s">
        <v>531</v>
      </c>
      <c r="BF10" s="71">
        <v>51</v>
      </c>
      <c r="BG10" s="566">
        <f t="shared" si="11"/>
        <v>47424.9</v>
      </c>
      <c r="BJ10" s="106"/>
      <c r="BK10" s="15">
        <v>3</v>
      </c>
      <c r="BL10" s="279">
        <v>907.2</v>
      </c>
      <c r="BM10" s="245">
        <v>44719</v>
      </c>
      <c r="BN10" s="279">
        <v>907.2</v>
      </c>
      <c r="BO10" s="319" t="s">
        <v>550</v>
      </c>
      <c r="BP10" s="801">
        <v>51</v>
      </c>
      <c r="BQ10" s="729">
        <f t="shared" si="12"/>
        <v>46267.200000000004</v>
      </c>
      <c r="BT10" s="106"/>
      <c r="BU10" s="15">
        <v>3</v>
      </c>
      <c r="BV10" s="92">
        <v>940.7</v>
      </c>
      <c r="BW10" s="378"/>
      <c r="BX10" s="92"/>
      <c r="BY10" s="379"/>
      <c r="BZ10" s="380"/>
      <c r="CA10" s="566">
        <f t="shared" si="13"/>
        <v>0</v>
      </c>
      <c r="CD10" s="752"/>
      <c r="CE10" s="15">
        <v>3</v>
      </c>
      <c r="CF10" s="279">
        <v>880</v>
      </c>
      <c r="CG10" s="963"/>
      <c r="CH10" s="279"/>
      <c r="CI10" s="802"/>
      <c r="CJ10" s="684"/>
      <c r="CK10" s="566">
        <f t="shared" si="14"/>
        <v>0</v>
      </c>
      <c r="CN10" s="94"/>
      <c r="CO10" s="15">
        <v>3</v>
      </c>
      <c r="CP10" s="92">
        <v>908.1</v>
      </c>
      <c r="CQ10" s="378"/>
      <c r="CR10" s="92"/>
      <c r="CS10" s="381"/>
      <c r="CT10" s="380"/>
      <c r="CU10" s="572">
        <f t="shared" ref="CU10:CU30" si="48">CT10*CR10</f>
        <v>0</v>
      </c>
      <c r="CX10" s="94"/>
      <c r="CY10" s="15">
        <v>3</v>
      </c>
      <c r="CZ10" s="92">
        <v>921.69</v>
      </c>
      <c r="DA10" s="324"/>
      <c r="DB10" s="92"/>
      <c r="DC10" s="95"/>
      <c r="DD10" s="71"/>
      <c r="DE10" s="566">
        <f t="shared" si="15"/>
        <v>0</v>
      </c>
      <c r="DH10" s="94"/>
      <c r="DI10" s="15">
        <v>3</v>
      </c>
      <c r="DJ10" s="279">
        <v>884.5</v>
      </c>
      <c r="DK10" s="378"/>
      <c r="DL10" s="92"/>
      <c r="DM10" s="381"/>
      <c r="DN10" s="380"/>
      <c r="DO10" s="572">
        <f t="shared" si="16"/>
        <v>0</v>
      </c>
      <c r="DR10" s="94"/>
      <c r="DS10" s="15">
        <v>3</v>
      </c>
      <c r="DT10" s="92">
        <v>937.57</v>
      </c>
      <c r="DU10" s="378"/>
      <c r="DV10" s="92"/>
      <c r="DW10" s="381"/>
      <c r="DX10" s="380"/>
      <c r="DY10" s="566">
        <f t="shared" si="17"/>
        <v>0</v>
      </c>
      <c r="EB10" s="94"/>
      <c r="EC10" s="15">
        <v>3</v>
      </c>
      <c r="ED10" s="69">
        <v>893.6</v>
      </c>
      <c r="EE10" s="336"/>
      <c r="EF10" s="92"/>
      <c r="EG10" s="70"/>
      <c r="EH10" s="71"/>
      <c r="EI10" s="566">
        <f t="shared" si="18"/>
        <v>0</v>
      </c>
      <c r="EL10" s="425"/>
      <c r="EM10" s="15">
        <v>3</v>
      </c>
      <c r="EN10" s="279">
        <v>889.9</v>
      </c>
      <c r="EO10" s="328"/>
      <c r="EP10" s="279"/>
      <c r="EQ10" s="265"/>
      <c r="ER10" s="266"/>
      <c r="ES10" s="566">
        <f t="shared" si="19"/>
        <v>0</v>
      </c>
      <c r="EV10" s="94"/>
      <c r="EW10" s="15">
        <v>3</v>
      </c>
      <c r="EX10" s="264">
        <v>889.9</v>
      </c>
      <c r="EY10" s="494"/>
      <c r="EZ10" s="264"/>
      <c r="FA10" s="265"/>
      <c r="FB10" s="266"/>
      <c r="FC10" s="322">
        <f t="shared" si="20"/>
        <v>0</v>
      </c>
      <c r="FF10" s="425"/>
      <c r="FG10" s="15">
        <v>3</v>
      </c>
      <c r="FH10" s="279">
        <v>933.03</v>
      </c>
      <c r="FI10" s="328"/>
      <c r="FJ10" s="279"/>
      <c r="FK10" s="265"/>
      <c r="FL10" s="266"/>
      <c r="FM10" s="566">
        <f t="shared" si="21"/>
        <v>0</v>
      </c>
      <c r="FP10" s="94"/>
      <c r="FQ10" s="15">
        <v>3</v>
      </c>
      <c r="FR10" s="92">
        <v>868.62</v>
      </c>
      <c r="FS10" s="324"/>
      <c r="FT10" s="92"/>
      <c r="FU10" s="70"/>
      <c r="FV10" s="71"/>
      <c r="FW10" s="566">
        <f t="shared" si="22"/>
        <v>0</v>
      </c>
      <c r="FZ10" s="94"/>
      <c r="GA10" s="15">
        <v>3</v>
      </c>
      <c r="GB10" s="264">
        <v>914.4</v>
      </c>
      <c r="GC10" s="494"/>
      <c r="GD10" s="264"/>
      <c r="GE10" s="265"/>
      <c r="GF10" s="266"/>
      <c r="GG10" s="322">
        <f t="shared" si="23"/>
        <v>0</v>
      </c>
      <c r="GJ10" s="94"/>
      <c r="GK10" s="15">
        <v>3</v>
      </c>
      <c r="GL10" s="472">
        <v>902.6</v>
      </c>
      <c r="GM10" s="324"/>
      <c r="GN10" s="472"/>
      <c r="GO10" s="95"/>
      <c r="GP10" s="71"/>
      <c r="GQ10" s="566">
        <f t="shared" si="24"/>
        <v>0</v>
      </c>
      <c r="GT10" s="94"/>
      <c r="GU10" s="15">
        <v>3</v>
      </c>
      <c r="GV10" s="279">
        <v>950.27</v>
      </c>
      <c r="GW10" s="328"/>
      <c r="GX10" s="279"/>
      <c r="GY10" s="319"/>
      <c r="GZ10" s="266"/>
      <c r="HA10" s="566">
        <f t="shared" si="25"/>
        <v>0</v>
      </c>
      <c r="HD10" s="94"/>
      <c r="HE10" s="15">
        <v>3</v>
      </c>
      <c r="HF10" s="279">
        <v>870</v>
      </c>
      <c r="HG10" s="328"/>
      <c r="HH10" s="279"/>
      <c r="HI10" s="319"/>
      <c r="HJ10" s="266"/>
      <c r="HK10" s="566">
        <f t="shared" si="26"/>
        <v>0</v>
      </c>
      <c r="HN10" s="94"/>
      <c r="HO10" s="15">
        <v>3</v>
      </c>
      <c r="HP10" s="279">
        <v>921.7</v>
      </c>
      <c r="HQ10" s="328"/>
      <c r="HR10" s="279"/>
      <c r="HS10" s="383"/>
      <c r="HT10" s="266"/>
      <c r="HU10" s="566">
        <f t="shared" si="27"/>
        <v>0</v>
      </c>
      <c r="HX10" s="106"/>
      <c r="HY10" s="15">
        <v>3</v>
      </c>
      <c r="HZ10" s="69">
        <v>935.76</v>
      </c>
      <c r="IA10" s="336"/>
      <c r="IB10" s="69"/>
      <c r="IC10" s="70"/>
      <c r="ID10" s="71"/>
      <c r="IE10" s="566">
        <f t="shared" si="5"/>
        <v>0</v>
      </c>
      <c r="IH10" s="106"/>
      <c r="II10" s="15">
        <v>3</v>
      </c>
      <c r="IJ10" s="69">
        <v>951.18</v>
      </c>
      <c r="IK10" s="336"/>
      <c r="IL10" s="69"/>
      <c r="IM10" s="70"/>
      <c r="IN10" s="71"/>
      <c r="IO10" s="566">
        <f t="shared" si="28"/>
        <v>0</v>
      </c>
      <c r="IQ10" s="740"/>
      <c r="IR10" s="94"/>
      <c r="IS10" s="15">
        <v>3</v>
      </c>
      <c r="IT10" s="279">
        <v>929</v>
      </c>
      <c r="IU10" s="245"/>
      <c r="IV10" s="279"/>
      <c r="IW10" s="500"/>
      <c r="IX10" s="266"/>
      <c r="IY10" s="322">
        <f t="shared" si="29"/>
        <v>0</v>
      </c>
      <c r="IZ10" s="92"/>
      <c r="JA10" s="69"/>
      <c r="JB10" s="94"/>
      <c r="JC10" s="15">
        <v>3</v>
      </c>
      <c r="JD10" s="92">
        <v>915.3</v>
      </c>
      <c r="JE10" s="336"/>
      <c r="JF10" s="92"/>
      <c r="JG10" s="265"/>
      <c r="JH10" s="71"/>
      <c r="JI10" s="566">
        <f t="shared" si="30"/>
        <v>0</v>
      </c>
      <c r="JJ10" s="69"/>
      <c r="JL10" s="94"/>
      <c r="JM10" s="15">
        <v>3</v>
      </c>
      <c r="JN10" s="92">
        <v>968.41</v>
      </c>
      <c r="JO10" s="324"/>
      <c r="JP10" s="92"/>
      <c r="JQ10" s="70"/>
      <c r="JR10" s="71"/>
      <c r="JS10" s="566">
        <f t="shared" si="31"/>
        <v>0</v>
      </c>
      <c r="JV10" s="106"/>
      <c r="JW10" s="15">
        <v>3</v>
      </c>
      <c r="JX10" s="69">
        <v>875.4</v>
      </c>
      <c r="JY10" s="336"/>
      <c r="JZ10" s="69"/>
      <c r="KA10" s="70"/>
      <c r="KB10" s="71"/>
      <c r="KC10" s="566">
        <f t="shared" si="32"/>
        <v>0</v>
      </c>
      <c r="KE10" s="242"/>
      <c r="KF10" s="922"/>
      <c r="KG10" s="15">
        <v>3</v>
      </c>
      <c r="KH10" s="69">
        <v>910.8</v>
      </c>
      <c r="KI10" s="336"/>
      <c r="KJ10" s="69"/>
      <c r="KK10" s="70"/>
      <c r="KL10" s="71"/>
      <c r="KM10" s="566">
        <f t="shared" si="33"/>
        <v>0</v>
      </c>
      <c r="KP10" s="106"/>
      <c r="KQ10" s="15">
        <v>3</v>
      </c>
      <c r="KR10" s="69">
        <v>840.96</v>
      </c>
      <c r="KS10" s="336"/>
      <c r="KT10" s="69"/>
      <c r="KU10" s="70"/>
      <c r="KV10" s="71"/>
      <c r="KW10" s="566">
        <f t="shared" si="34"/>
        <v>0</v>
      </c>
      <c r="KZ10" s="94"/>
      <c r="LA10" s="15">
        <v>3</v>
      </c>
      <c r="LB10" s="92">
        <v>915.3</v>
      </c>
      <c r="LC10" s="324"/>
      <c r="LD10" s="92"/>
      <c r="LE10" s="95"/>
      <c r="LF10" s="71"/>
      <c r="LG10" s="566">
        <f t="shared" si="35"/>
        <v>0</v>
      </c>
      <c r="LJ10" s="94"/>
      <c r="LK10" s="15">
        <v>3</v>
      </c>
      <c r="LL10" s="92">
        <v>975.22</v>
      </c>
      <c r="LM10" s="324"/>
      <c r="LN10" s="92"/>
      <c r="LO10" s="95"/>
      <c r="LP10" s="71"/>
      <c r="LQ10" s="566">
        <f t="shared" si="36"/>
        <v>0</v>
      </c>
      <c r="LT10" s="94"/>
      <c r="LU10" s="15">
        <v>3</v>
      </c>
      <c r="LV10" s="92"/>
      <c r="LW10" s="324"/>
      <c r="LX10" s="92"/>
      <c r="LY10" s="95"/>
      <c r="LZ10" s="71"/>
      <c r="MA10" s="566">
        <f t="shared" si="37"/>
        <v>0</v>
      </c>
      <c r="MB10" s="566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83101976</v>
      </c>
      <c r="E11" s="135">
        <f t="shared" si="49"/>
        <v>44720</v>
      </c>
      <c r="F11" s="86">
        <f t="shared" si="49"/>
        <v>18899.8</v>
      </c>
      <c r="G11" s="73">
        <f t="shared" si="49"/>
        <v>21</v>
      </c>
      <c r="H11" s="48">
        <f t="shared" si="49"/>
        <v>18998.3</v>
      </c>
      <c r="I11" s="105">
        <f t="shared" si="49"/>
        <v>-98.5</v>
      </c>
      <c r="K11" s="910"/>
      <c r="L11" s="106"/>
      <c r="M11" s="15">
        <v>4</v>
      </c>
      <c r="N11" s="69">
        <v>913.08</v>
      </c>
      <c r="O11" s="336">
        <v>44712</v>
      </c>
      <c r="P11" s="69">
        <v>913.08</v>
      </c>
      <c r="Q11" s="70" t="s">
        <v>484</v>
      </c>
      <c r="R11" s="71">
        <v>48</v>
      </c>
      <c r="S11" s="566">
        <f t="shared" si="7"/>
        <v>43827.840000000004</v>
      </c>
      <c r="T11" s="242"/>
      <c r="U11" s="61"/>
      <c r="V11" s="106"/>
      <c r="W11" s="15">
        <v>4</v>
      </c>
      <c r="X11" s="69">
        <v>911.7</v>
      </c>
      <c r="Y11" s="336">
        <v>44715</v>
      </c>
      <c r="Z11" s="69">
        <v>911.7</v>
      </c>
      <c r="AA11" s="70" t="s">
        <v>524</v>
      </c>
      <c r="AB11" s="71">
        <v>51</v>
      </c>
      <c r="AC11" s="566">
        <f t="shared" si="8"/>
        <v>46496.700000000004</v>
      </c>
      <c r="AE11" s="61"/>
      <c r="AF11" s="106"/>
      <c r="AG11" s="15">
        <v>4</v>
      </c>
      <c r="AH11" s="92">
        <v>940.29</v>
      </c>
      <c r="AI11" s="324">
        <v>44713</v>
      </c>
      <c r="AJ11" s="92">
        <v>940.29</v>
      </c>
      <c r="AK11" s="95" t="s">
        <v>502</v>
      </c>
      <c r="AL11" s="71">
        <v>49</v>
      </c>
      <c r="AM11" s="566">
        <f t="shared" si="9"/>
        <v>46074.21</v>
      </c>
      <c r="AO11" s="61"/>
      <c r="AP11" s="106"/>
      <c r="AQ11" s="15">
        <v>4</v>
      </c>
      <c r="AR11" s="92">
        <v>892.7</v>
      </c>
      <c r="AS11" s="324">
        <v>44714</v>
      </c>
      <c r="AT11" s="92">
        <v>892.7</v>
      </c>
      <c r="AU11" s="95" t="s">
        <v>513</v>
      </c>
      <c r="AV11" s="71">
        <v>49</v>
      </c>
      <c r="AW11" s="566">
        <f t="shared" si="10"/>
        <v>43742.3</v>
      </c>
      <c r="AY11" s="61"/>
      <c r="AZ11" s="106"/>
      <c r="BA11" s="15">
        <v>4</v>
      </c>
      <c r="BB11" s="92">
        <v>909</v>
      </c>
      <c r="BC11" s="324">
        <v>44715</v>
      </c>
      <c r="BD11" s="92">
        <v>909</v>
      </c>
      <c r="BE11" s="95" t="s">
        <v>531</v>
      </c>
      <c r="BF11" s="71">
        <v>51</v>
      </c>
      <c r="BG11" s="566">
        <f t="shared" si="11"/>
        <v>46359</v>
      </c>
      <c r="BI11" s="61"/>
      <c r="BJ11" s="106"/>
      <c r="BK11" s="15">
        <v>4</v>
      </c>
      <c r="BL11" s="279">
        <v>908.1</v>
      </c>
      <c r="BM11" s="245">
        <v>44719</v>
      </c>
      <c r="BN11" s="279">
        <v>908.1</v>
      </c>
      <c r="BO11" s="319" t="s">
        <v>550</v>
      </c>
      <c r="BP11" s="801">
        <v>51</v>
      </c>
      <c r="BQ11" s="729">
        <f t="shared" si="12"/>
        <v>46313.1</v>
      </c>
      <c r="BS11" s="61"/>
      <c r="BT11" s="106"/>
      <c r="BU11" s="263">
        <v>4</v>
      </c>
      <c r="BV11" s="279">
        <v>922.6</v>
      </c>
      <c r="BW11" s="378"/>
      <c r="BX11" s="279"/>
      <c r="BY11" s="379"/>
      <c r="BZ11" s="380"/>
      <c r="CA11" s="566">
        <f t="shared" si="13"/>
        <v>0</v>
      </c>
      <c r="CC11" s="61"/>
      <c r="CD11" s="752"/>
      <c r="CE11" s="15">
        <v>4</v>
      </c>
      <c r="CF11" s="279">
        <v>884.5</v>
      </c>
      <c r="CG11" s="963"/>
      <c r="CH11" s="279"/>
      <c r="CI11" s="802"/>
      <c r="CJ11" s="684"/>
      <c r="CK11" s="566">
        <f t="shared" si="14"/>
        <v>0</v>
      </c>
      <c r="CM11" s="61"/>
      <c r="CN11" s="94"/>
      <c r="CO11" s="15">
        <v>4</v>
      </c>
      <c r="CP11" s="92">
        <v>925.3</v>
      </c>
      <c r="CQ11" s="378"/>
      <c r="CR11" s="92"/>
      <c r="CS11" s="381"/>
      <c r="CT11" s="380"/>
      <c r="CU11" s="572">
        <f t="shared" si="48"/>
        <v>0</v>
      </c>
      <c r="CW11" s="61"/>
      <c r="CX11" s="106"/>
      <c r="CY11" s="15">
        <v>4</v>
      </c>
      <c r="CZ11" s="92">
        <v>949.36</v>
      </c>
      <c r="DA11" s="324"/>
      <c r="DB11" s="92"/>
      <c r="DC11" s="95"/>
      <c r="DD11" s="71"/>
      <c r="DE11" s="566">
        <f t="shared" si="15"/>
        <v>0</v>
      </c>
      <c r="DG11" s="61"/>
      <c r="DH11" s="106"/>
      <c r="DI11" s="15">
        <v>4</v>
      </c>
      <c r="DJ11" s="279">
        <v>911.7</v>
      </c>
      <c r="DK11" s="378"/>
      <c r="DL11" s="92"/>
      <c r="DM11" s="381"/>
      <c r="DN11" s="380"/>
      <c r="DO11" s="572">
        <f t="shared" si="16"/>
        <v>0</v>
      </c>
      <c r="DQ11" s="61"/>
      <c r="DR11" s="106"/>
      <c r="DS11" s="15">
        <v>4</v>
      </c>
      <c r="DT11" s="92">
        <v>966.6</v>
      </c>
      <c r="DU11" s="378"/>
      <c r="DV11" s="92"/>
      <c r="DW11" s="381"/>
      <c r="DX11" s="380"/>
      <c r="DY11" s="566">
        <f t="shared" si="17"/>
        <v>0</v>
      </c>
      <c r="EA11" s="61"/>
      <c r="EB11" s="106"/>
      <c r="EC11" s="15">
        <v>4</v>
      </c>
      <c r="ED11" s="69">
        <v>919.9</v>
      </c>
      <c r="EE11" s="336"/>
      <c r="EF11" s="92"/>
      <c r="EG11" s="70"/>
      <c r="EH11" s="71"/>
      <c r="EI11" s="566">
        <f t="shared" si="18"/>
        <v>0</v>
      </c>
      <c r="EK11" s="787"/>
      <c r="EL11" s="425"/>
      <c r="EM11" s="15">
        <v>4</v>
      </c>
      <c r="EN11" s="279">
        <v>896.3</v>
      </c>
      <c r="EO11" s="328"/>
      <c r="EP11" s="279"/>
      <c r="EQ11" s="265"/>
      <c r="ER11" s="266"/>
      <c r="ES11" s="566">
        <f t="shared" si="19"/>
        <v>0</v>
      </c>
      <c r="EU11" s="61"/>
      <c r="EV11" s="106"/>
      <c r="EW11" s="15">
        <v>4</v>
      </c>
      <c r="EX11" s="264">
        <v>905.4</v>
      </c>
      <c r="EY11" s="494"/>
      <c r="EZ11" s="264"/>
      <c r="FA11" s="265"/>
      <c r="FB11" s="266"/>
      <c r="FC11" s="322">
        <f t="shared" si="20"/>
        <v>0</v>
      </c>
      <c r="FE11" s="61"/>
      <c r="FF11" s="425"/>
      <c r="FG11" s="15">
        <v>4</v>
      </c>
      <c r="FH11" s="279">
        <v>890.4</v>
      </c>
      <c r="FI11" s="328"/>
      <c r="FJ11" s="279"/>
      <c r="FK11" s="265"/>
      <c r="FL11" s="266"/>
      <c r="FM11" s="566">
        <f t="shared" si="21"/>
        <v>0</v>
      </c>
      <c r="FO11" s="61"/>
      <c r="FP11" s="106"/>
      <c r="FQ11" s="15">
        <v>4</v>
      </c>
      <c r="FR11" s="92">
        <v>908.54</v>
      </c>
      <c r="FS11" s="324"/>
      <c r="FT11" s="92"/>
      <c r="FU11" s="70"/>
      <c r="FV11" s="71"/>
      <c r="FW11" s="566">
        <f t="shared" si="22"/>
        <v>0</v>
      </c>
      <c r="FY11" s="61"/>
      <c r="FZ11" s="106"/>
      <c r="GA11" s="15">
        <v>4</v>
      </c>
      <c r="GB11" s="264">
        <v>914.4</v>
      </c>
      <c r="GC11" s="494"/>
      <c r="GD11" s="264"/>
      <c r="GE11" s="265"/>
      <c r="GF11" s="266"/>
      <c r="GG11" s="322">
        <f t="shared" si="23"/>
        <v>0</v>
      </c>
      <c r="GI11" s="61"/>
      <c r="GJ11" s="106"/>
      <c r="GK11" s="15">
        <v>4</v>
      </c>
      <c r="GL11" s="472">
        <v>884.5</v>
      </c>
      <c r="GM11" s="324"/>
      <c r="GN11" s="472"/>
      <c r="GO11" s="95"/>
      <c r="GP11" s="71"/>
      <c r="GQ11" s="566">
        <f t="shared" si="24"/>
        <v>0</v>
      </c>
      <c r="GS11" s="61"/>
      <c r="GT11" s="106"/>
      <c r="GU11" s="15">
        <v>4</v>
      </c>
      <c r="GV11" s="279">
        <v>972.04</v>
      </c>
      <c r="GW11" s="328"/>
      <c r="GX11" s="279"/>
      <c r="GY11" s="319"/>
      <c r="GZ11" s="266"/>
      <c r="HA11" s="566">
        <f t="shared" si="25"/>
        <v>0</v>
      </c>
      <c r="HC11" s="61"/>
      <c r="HD11" s="106"/>
      <c r="HE11" s="15">
        <v>4</v>
      </c>
      <c r="HF11" s="279">
        <v>889.9</v>
      </c>
      <c r="HG11" s="328"/>
      <c r="HH11" s="279"/>
      <c r="HI11" s="319"/>
      <c r="HJ11" s="266"/>
      <c r="HK11" s="566">
        <f t="shared" si="26"/>
        <v>0</v>
      </c>
      <c r="HM11" s="61"/>
      <c r="HN11" s="106"/>
      <c r="HO11" s="15">
        <v>4</v>
      </c>
      <c r="HP11" s="279">
        <v>928</v>
      </c>
      <c r="HQ11" s="328"/>
      <c r="HR11" s="279"/>
      <c r="HS11" s="383"/>
      <c r="HT11" s="266"/>
      <c r="HU11" s="566">
        <f t="shared" si="27"/>
        <v>0</v>
      </c>
      <c r="HW11" s="61"/>
      <c r="HX11" s="106"/>
      <c r="HY11" s="15">
        <v>4</v>
      </c>
      <c r="HZ11" s="69">
        <v>948.46</v>
      </c>
      <c r="IA11" s="336"/>
      <c r="IB11" s="69"/>
      <c r="IC11" s="70"/>
      <c r="ID11" s="71"/>
      <c r="IE11" s="566">
        <f t="shared" si="5"/>
        <v>0</v>
      </c>
      <c r="IG11" s="61"/>
      <c r="IH11" s="106"/>
      <c r="II11" s="15">
        <v>4</v>
      </c>
      <c r="IJ11" s="69">
        <v>948.91</v>
      </c>
      <c r="IK11" s="336"/>
      <c r="IL11" s="69"/>
      <c r="IM11" s="70"/>
      <c r="IN11" s="71"/>
      <c r="IO11" s="566">
        <f t="shared" si="28"/>
        <v>0</v>
      </c>
      <c r="IQ11" s="741"/>
      <c r="IR11" s="106"/>
      <c r="IS11" s="15">
        <v>4</v>
      </c>
      <c r="IT11" s="279">
        <v>938.9</v>
      </c>
      <c r="IU11" s="245"/>
      <c r="IV11" s="279"/>
      <c r="IW11" s="500"/>
      <c r="IX11" s="266"/>
      <c r="IY11" s="322">
        <f t="shared" si="29"/>
        <v>0</v>
      </c>
      <c r="IZ11" s="92"/>
      <c r="JA11" s="69"/>
      <c r="JB11" s="106"/>
      <c r="JC11" s="15">
        <v>4</v>
      </c>
      <c r="JD11" s="92">
        <v>900.8</v>
      </c>
      <c r="JE11" s="336"/>
      <c r="JF11" s="92"/>
      <c r="JG11" s="265"/>
      <c r="JH11" s="71"/>
      <c r="JI11" s="566">
        <f t="shared" si="30"/>
        <v>0</v>
      </c>
      <c r="JJ11" s="69"/>
      <c r="JK11" s="61"/>
      <c r="JL11" s="106"/>
      <c r="JM11" s="15">
        <v>4</v>
      </c>
      <c r="JN11" s="92">
        <v>918.97</v>
      </c>
      <c r="JO11" s="324"/>
      <c r="JP11" s="92"/>
      <c r="JQ11" s="70"/>
      <c r="JR11" s="71"/>
      <c r="JS11" s="566">
        <f t="shared" si="31"/>
        <v>0</v>
      </c>
      <c r="JU11" s="61"/>
      <c r="JV11" s="106"/>
      <c r="JW11" s="15">
        <v>4</v>
      </c>
      <c r="JX11" s="69">
        <v>905.4</v>
      </c>
      <c r="JY11" s="336"/>
      <c r="JZ11" s="69"/>
      <c r="KA11" s="70"/>
      <c r="KB11" s="71"/>
      <c r="KC11" s="566">
        <f t="shared" si="32"/>
        <v>0</v>
      </c>
      <c r="KE11" s="910"/>
      <c r="KF11" s="922"/>
      <c r="KG11" s="15">
        <v>4</v>
      </c>
      <c r="KH11" s="69">
        <v>940.7</v>
      </c>
      <c r="KI11" s="336"/>
      <c r="KJ11" s="69"/>
      <c r="KK11" s="70"/>
      <c r="KL11" s="71"/>
      <c r="KM11" s="566">
        <f t="shared" si="33"/>
        <v>0</v>
      </c>
      <c r="KO11" s="61"/>
      <c r="KP11" s="106"/>
      <c r="KQ11" s="15">
        <v>4</v>
      </c>
      <c r="KR11" s="69">
        <v>837.33</v>
      </c>
      <c r="KS11" s="336"/>
      <c r="KT11" s="69"/>
      <c r="KU11" s="70"/>
      <c r="KV11" s="71"/>
      <c r="KW11" s="566">
        <f t="shared" si="34"/>
        <v>0</v>
      </c>
      <c r="KY11" s="61"/>
      <c r="KZ11" s="106"/>
      <c r="LA11" s="15">
        <v>4</v>
      </c>
      <c r="LB11" s="92">
        <v>909.9</v>
      </c>
      <c r="LC11" s="324"/>
      <c r="LD11" s="92"/>
      <c r="LE11" s="95"/>
      <c r="LF11" s="71"/>
      <c r="LG11" s="566">
        <f t="shared" si="35"/>
        <v>0</v>
      </c>
      <c r="LI11" s="61"/>
      <c r="LJ11" s="106"/>
      <c r="LK11" s="15">
        <v>4</v>
      </c>
      <c r="LL11" s="92">
        <v>928.95</v>
      </c>
      <c r="LM11" s="324"/>
      <c r="LN11" s="92"/>
      <c r="LO11" s="95"/>
      <c r="LP11" s="71"/>
      <c r="LQ11" s="566">
        <f t="shared" si="36"/>
        <v>0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6">
        <f t="shared" si="37"/>
        <v>0</v>
      </c>
      <c r="MB11" s="566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83101736</v>
      </c>
      <c r="E12" s="135">
        <f t="shared" si="50"/>
        <v>44720</v>
      </c>
      <c r="F12" s="86">
        <f t="shared" si="50"/>
        <v>18813.38</v>
      </c>
      <c r="G12" s="73">
        <f t="shared" si="50"/>
        <v>21</v>
      </c>
      <c r="H12" s="48">
        <f t="shared" si="50"/>
        <v>18948.5</v>
      </c>
      <c r="I12" s="105">
        <f t="shared" si="50"/>
        <v>-135.11999999999898</v>
      </c>
      <c r="K12" s="242"/>
      <c r="L12" s="106"/>
      <c r="M12" s="15">
        <v>5</v>
      </c>
      <c r="N12" s="69">
        <v>930.31</v>
      </c>
      <c r="O12" s="336">
        <v>44712</v>
      </c>
      <c r="P12" s="69">
        <v>930.31</v>
      </c>
      <c r="Q12" s="70" t="s">
        <v>493</v>
      </c>
      <c r="R12" s="71">
        <v>48</v>
      </c>
      <c r="S12" s="566">
        <f t="shared" si="7"/>
        <v>44654.879999999997</v>
      </c>
      <c r="T12" s="242"/>
      <c r="V12" s="106"/>
      <c r="W12" s="15">
        <v>5</v>
      </c>
      <c r="X12" s="69">
        <v>913.5</v>
      </c>
      <c r="Y12" s="336">
        <v>44715</v>
      </c>
      <c r="Z12" s="69">
        <v>913.5</v>
      </c>
      <c r="AA12" s="70" t="s">
        <v>524</v>
      </c>
      <c r="AB12" s="71">
        <v>51</v>
      </c>
      <c r="AC12" s="566">
        <f t="shared" si="8"/>
        <v>46588.5</v>
      </c>
      <c r="AF12" s="106"/>
      <c r="AG12" s="15">
        <v>5</v>
      </c>
      <c r="AH12" s="92">
        <v>938.48</v>
      </c>
      <c r="AI12" s="324">
        <v>44713</v>
      </c>
      <c r="AJ12" s="92">
        <v>938.48</v>
      </c>
      <c r="AK12" s="95" t="s">
        <v>503</v>
      </c>
      <c r="AL12" s="71">
        <v>49</v>
      </c>
      <c r="AM12" s="566">
        <f t="shared" si="9"/>
        <v>45985.520000000004</v>
      </c>
      <c r="AP12" s="106"/>
      <c r="AQ12" s="15">
        <v>5</v>
      </c>
      <c r="AR12" s="92">
        <v>898.1</v>
      </c>
      <c r="AS12" s="324">
        <v>44714</v>
      </c>
      <c r="AT12" s="92">
        <v>898.1</v>
      </c>
      <c r="AU12" s="95" t="s">
        <v>513</v>
      </c>
      <c r="AV12" s="71">
        <v>49</v>
      </c>
      <c r="AW12" s="566">
        <f t="shared" si="10"/>
        <v>44006.9</v>
      </c>
      <c r="AZ12" s="106"/>
      <c r="BA12" s="15">
        <v>5</v>
      </c>
      <c r="BB12" s="92">
        <v>920.8</v>
      </c>
      <c r="BC12" s="324">
        <v>44715</v>
      </c>
      <c r="BD12" s="92">
        <v>920.8</v>
      </c>
      <c r="BE12" s="95" t="s">
        <v>531</v>
      </c>
      <c r="BF12" s="71">
        <v>51</v>
      </c>
      <c r="BG12" s="566">
        <f t="shared" si="11"/>
        <v>46960.799999999996</v>
      </c>
      <c r="BJ12" s="106"/>
      <c r="BK12" s="15">
        <v>5</v>
      </c>
      <c r="BL12" s="279">
        <v>878.2</v>
      </c>
      <c r="BM12" s="245">
        <v>44719</v>
      </c>
      <c r="BN12" s="279">
        <v>878.2</v>
      </c>
      <c r="BO12" s="319" t="s">
        <v>550</v>
      </c>
      <c r="BP12" s="801">
        <v>51</v>
      </c>
      <c r="BQ12" s="729">
        <f t="shared" si="12"/>
        <v>44788.200000000004</v>
      </c>
      <c r="BT12" s="106"/>
      <c r="BU12" s="263">
        <v>5</v>
      </c>
      <c r="BV12" s="279">
        <v>886.3</v>
      </c>
      <c r="BW12" s="378"/>
      <c r="BX12" s="279"/>
      <c r="BY12" s="379"/>
      <c r="BZ12" s="380"/>
      <c r="CA12" s="566">
        <f t="shared" si="13"/>
        <v>0</v>
      </c>
      <c r="CD12" s="752"/>
      <c r="CE12" s="15">
        <v>5</v>
      </c>
      <c r="CF12" s="279">
        <v>911.7</v>
      </c>
      <c r="CG12" s="963"/>
      <c r="CH12" s="279"/>
      <c r="CI12" s="802"/>
      <c r="CJ12" s="684"/>
      <c r="CK12" s="566">
        <f t="shared" si="14"/>
        <v>0</v>
      </c>
      <c r="CN12" s="94"/>
      <c r="CO12" s="15">
        <v>5</v>
      </c>
      <c r="CP12" s="92">
        <v>899</v>
      </c>
      <c r="CQ12" s="378"/>
      <c r="CR12" s="92"/>
      <c r="CS12" s="381"/>
      <c r="CT12" s="380"/>
      <c r="CU12" s="572">
        <f t="shared" si="48"/>
        <v>0</v>
      </c>
      <c r="CX12" s="106"/>
      <c r="CY12" s="15">
        <v>5</v>
      </c>
      <c r="CZ12" s="92">
        <v>951.63</v>
      </c>
      <c r="DA12" s="324"/>
      <c r="DB12" s="92"/>
      <c r="DC12" s="95"/>
      <c r="DD12" s="71"/>
      <c r="DE12" s="566">
        <f t="shared" si="15"/>
        <v>0</v>
      </c>
      <c r="DH12" s="106"/>
      <c r="DI12" s="15">
        <v>5</v>
      </c>
      <c r="DJ12" s="279">
        <v>905.4</v>
      </c>
      <c r="DK12" s="378"/>
      <c r="DL12" s="92"/>
      <c r="DM12" s="381"/>
      <c r="DN12" s="380"/>
      <c r="DO12" s="572">
        <f t="shared" si="16"/>
        <v>0</v>
      </c>
      <c r="DR12" s="106"/>
      <c r="DS12" s="15">
        <v>5</v>
      </c>
      <c r="DT12" s="92">
        <v>954.81</v>
      </c>
      <c r="DU12" s="378"/>
      <c r="DV12" s="92"/>
      <c r="DW12" s="381"/>
      <c r="DX12" s="380"/>
      <c r="DY12" s="566">
        <f t="shared" si="17"/>
        <v>0</v>
      </c>
      <c r="EB12" s="106"/>
      <c r="EC12" s="15">
        <v>5</v>
      </c>
      <c r="ED12" s="69">
        <v>874.5</v>
      </c>
      <c r="EE12" s="336"/>
      <c r="EF12" s="69"/>
      <c r="EG12" s="70"/>
      <c r="EH12" s="71"/>
      <c r="EI12" s="566">
        <f t="shared" si="18"/>
        <v>0</v>
      </c>
      <c r="EL12" s="425"/>
      <c r="EM12" s="15">
        <v>5</v>
      </c>
      <c r="EN12" s="279">
        <v>884.5</v>
      </c>
      <c r="EO12" s="328"/>
      <c r="EP12" s="279"/>
      <c r="EQ12" s="265"/>
      <c r="ER12" s="266"/>
      <c r="ES12" s="566">
        <f t="shared" si="19"/>
        <v>0</v>
      </c>
      <c r="EV12" s="106"/>
      <c r="EW12" s="15">
        <v>5</v>
      </c>
      <c r="EX12" s="264">
        <v>922.6</v>
      </c>
      <c r="EY12" s="494"/>
      <c r="EZ12" s="264"/>
      <c r="FA12" s="265"/>
      <c r="FB12" s="266"/>
      <c r="FC12" s="322">
        <f t="shared" si="20"/>
        <v>0</v>
      </c>
      <c r="FF12" s="425"/>
      <c r="FG12" s="15">
        <v>5</v>
      </c>
      <c r="FH12" s="279">
        <v>877.7</v>
      </c>
      <c r="FI12" s="328"/>
      <c r="FJ12" s="279"/>
      <c r="FK12" s="265"/>
      <c r="FL12" s="266"/>
      <c r="FM12" s="566">
        <f t="shared" si="21"/>
        <v>0</v>
      </c>
      <c r="FN12" s="75" t="s">
        <v>41</v>
      </c>
      <c r="FP12" s="106"/>
      <c r="FQ12" s="15">
        <v>5</v>
      </c>
      <c r="FR12" s="92">
        <v>921.69</v>
      </c>
      <c r="FS12" s="324"/>
      <c r="FT12" s="92"/>
      <c r="FU12" s="70"/>
      <c r="FV12" s="71"/>
      <c r="FW12" s="566">
        <f t="shared" si="22"/>
        <v>0</v>
      </c>
      <c r="FZ12" s="106"/>
      <c r="GA12" s="15">
        <v>5</v>
      </c>
      <c r="GB12" s="264">
        <v>891.8</v>
      </c>
      <c r="GC12" s="494"/>
      <c r="GD12" s="264"/>
      <c r="GE12" s="265"/>
      <c r="GF12" s="266"/>
      <c r="GG12" s="322">
        <f t="shared" si="23"/>
        <v>0</v>
      </c>
      <c r="GJ12" s="106"/>
      <c r="GK12" s="15">
        <v>5</v>
      </c>
      <c r="GL12" s="472">
        <v>913.5</v>
      </c>
      <c r="GM12" s="324"/>
      <c r="GN12" s="472"/>
      <c r="GO12" s="95"/>
      <c r="GP12" s="71"/>
      <c r="GQ12" s="566">
        <f t="shared" si="24"/>
        <v>0</v>
      </c>
      <c r="GT12" s="106"/>
      <c r="GU12" s="15">
        <v>5</v>
      </c>
      <c r="GV12" s="279">
        <v>927.59</v>
      </c>
      <c r="GW12" s="328"/>
      <c r="GX12" s="279"/>
      <c r="GY12" s="319"/>
      <c r="GZ12" s="266"/>
      <c r="HA12" s="566">
        <f t="shared" si="25"/>
        <v>0</v>
      </c>
      <c r="HD12" s="106"/>
      <c r="HE12" s="15">
        <v>5</v>
      </c>
      <c r="HF12" s="279">
        <v>905.4</v>
      </c>
      <c r="HG12" s="328"/>
      <c r="HH12" s="279"/>
      <c r="HI12" s="319"/>
      <c r="HJ12" s="266"/>
      <c r="HK12" s="566">
        <f t="shared" si="26"/>
        <v>0</v>
      </c>
      <c r="HN12" s="106"/>
      <c r="HO12" s="15">
        <v>5</v>
      </c>
      <c r="HP12" s="279">
        <v>899</v>
      </c>
      <c r="HQ12" s="328"/>
      <c r="HR12" s="279"/>
      <c r="HS12" s="383"/>
      <c r="HT12" s="266"/>
      <c r="HU12" s="566">
        <f t="shared" si="27"/>
        <v>0</v>
      </c>
      <c r="HX12" s="106"/>
      <c r="HY12" s="15">
        <v>5</v>
      </c>
      <c r="HZ12" s="69">
        <v>953.9</v>
      </c>
      <c r="IA12" s="336"/>
      <c r="IB12" s="69"/>
      <c r="IC12" s="70"/>
      <c r="ID12" s="71"/>
      <c r="IE12" s="566">
        <f t="shared" si="5"/>
        <v>0</v>
      </c>
      <c r="IH12" s="106"/>
      <c r="II12" s="15">
        <v>5</v>
      </c>
      <c r="IJ12" s="69">
        <v>938.93</v>
      </c>
      <c r="IK12" s="336"/>
      <c r="IL12" s="69"/>
      <c r="IM12" s="70"/>
      <c r="IN12" s="71"/>
      <c r="IO12" s="566">
        <f t="shared" si="28"/>
        <v>0</v>
      </c>
      <c r="IQ12" s="740"/>
      <c r="IR12" s="106"/>
      <c r="IS12" s="15">
        <v>5</v>
      </c>
      <c r="IT12" s="279">
        <v>908.1</v>
      </c>
      <c r="IU12" s="245"/>
      <c r="IV12" s="279"/>
      <c r="IW12" s="500"/>
      <c r="IX12" s="266"/>
      <c r="IY12" s="322">
        <f t="shared" si="29"/>
        <v>0</v>
      </c>
      <c r="IZ12" s="92"/>
      <c r="JA12" s="69"/>
      <c r="JB12" s="106"/>
      <c r="JC12" s="15">
        <v>5</v>
      </c>
      <c r="JD12" s="92">
        <v>870.4</v>
      </c>
      <c r="JE12" s="336"/>
      <c r="JF12" s="92"/>
      <c r="JG12" s="265"/>
      <c r="JH12" s="71"/>
      <c r="JI12" s="566">
        <f t="shared" si="30"/>
        <v>0</v>
      </c>
      <c r="JJ12" s="69"/>
      <c r="JL12" s="106"/>
      <c r="JM12" s="15">
        <v>5</v>
      </c>
      <c r="JN12" s="92">
        <v>928.04</v>
      </c>
      <c r="JO12" s="324"/>
      <c r="JP12" s="92"/>
      <c r="JQ12" s="70"/>
      <c r="JR12" s="71"/>
      <c r="JS12" s="566">
        <f t="shared" si="31"/>
        <v>0</v>
      </c>
      <c r="JV12" s="106"/>
      <c r="JW12" s="15">
        <v>5</v>
      </c>
      <c r="JX12" s="69">
        <v>926.2</v>
      </c>
      <c r="JY12" s="336"/>
      <c r="JZ12" s="69"/>
      <c r="KA12" s="70"/>
      <c r="KB12" s="71"/>
      <c r="KC12" s="566">
        <f t="shared" si="32"/>
        <v>0</v>
      </c>
      <c r="KE12" s="242"/>
      <c r="KF12" s="922"/>
      <c r="KG12" s="15">
        <v>5</v>
      </c>
      <c r="KH12" s="69">
        <v>915.3</v>
      </c>
      <c r="KI12" s="336"/>
      <c r="KJ12" s="69"/>
      <c r="KK12" s="70"/>
      <c r="KL12" s="71"/>
      <c r="KM12" s="566">
        <f t="shared" si="33"/>
        <v>0</v>
      </c>
      <c r="KP12" s="106"/>
      <c r="KQ12" s="15">
        <v>5</v>
      </c>
      <c r="KR12" s="69">
        <v>844.13</v>
      </c>
      <c r="KS12" s="336"/>
      <c r="KT12" s="69"/>
      <c r="KU12" s="70"/>
      <c r="KV12" s="71"/>
      <c r="KW12" s="566">
        <f t="shared" si="34"/>
        <v>0</v>
      </c>
      <c r="KZ12" s="106"/>
      <c r="LA12" s="15">
        <v>5</v>
      </c>
      <c r="LB12" s="92">
        <v>919.9</v>
      </c>
      <c r="LC12" s="324"/>
      <c r="LD12" s="92"/>
      <c r="LE12" s="95"/>
      <c r="LF12" s="71"/>
      <c r="LG12" s="566">
        <f t="shared" si="35"/>
        <v>0</v>
      </c>
      <c r="LJ12" s="106"/>
      <c r="LK12" s="15">
        <v>5</v>
      </c>
      <c r="LL12" s="92">
        <v>969.78</v>
      </c>
      <c r="LM12" s="324"/>
      <c r="LN12" s="92"/>
      <c r="LO12" s="95"/>
      <c r="LP12" s="71"/>
      <c r="LQ12" s="566">
        <f t="shared" si="36"/>
        <v>0</v>
      </c>
      <c r="LT12" s="106"/>
      <c r="LU12" s="15">
        <v>5</v>
      </c>
      <c r="LV12" s="92"/>
      <c r="LW12" s="324"/>
      <c r="LX12" s="92"/>
      <c r="LY12" s="95"/>
      <c r="LZ12" s="71"/>
      <c r="MA12" s="566">
        <f t="shared" si="37"/>
        <v>0</v>
      </c>
      <c r="MB12" s="566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83175630</v>
      </c>
      <c r="E13" s="135">
        <f t="shared" si="51"/>
        <v>44721</v>
      </c>
      <c r="F13" s="86">
        <f t="shared" si="51"/>
        <v>18724.240000000002</v>
      </c>
      <c r="G13" s="73">
        <f t="shared" si="51"/>
        <v>20</v>
      </c>
      <c r="H13" s="48">
        <f t="shared" si="51"/>
        <v>18761.830000000002</v>
      </c>
      <c r="I13" s="105">
        <f t="shared" si="51"/>
        <v>-37.590000000000146</v>
      </c>
      <c r="K13" s="242"/>
      <c r="L13" s="106"/>
      <c r="M13" s="15">
        <v>6</v>
      </c>
      <c r="N13" s="69">
        <v>951.63</v>
      </c>
      <c r="O13" s="336">
        <v>44712</v>
      </c>
      <c r="P13" s="69">
        <v>951.63</v>
      </c>
      <c r="Q13" s="70" t="s">
        <v>484</v>
      </c>
      <c r="R13" s="71">
        <v>48</v>
      </c>
      <c r="S13" s="566">
        <f t="shared" si="7"/>
        <v>45678.239999999998</v>
      </c>
      <c r="T13" s="242"/>
      <c r="V13" s="106"/>
      <c r="W13" s="15">
        <v>6</v>
      </c>
      <c r="X13" s="69">
        <v>914.4</v>
      </c>
      <c r="Y13" s="336">
        <v>44715</v>
      </c>
      <c r="Z13" s="69">
        <v>914.4</v>
      </c>
      <c r="AA13" s="70" t="s">
        <v>524</v>
      </c>
      <c r="AB13" s="71">
        <v>51</v>
      </c>
      <c r="AC13" s="566">
        <f t="shared" si="8"/>
        <v>46634.400000000001</v>
      </c>
      <c r="AF13" s="106"/>
      <c r="AG13" s="15">
        <v>6</v>
      </c>
      <c r="AH13" s="92">
        <v>954.35</v>
      </c>
      <c r="AI13" s="324">
        <v>44713</v>
      </c>
      <c r="AJ13" s="92">
        <v>954.35</v>
      </c>
      <c r="AK13" s="95" t="s">
        <v>503</v>
      </c>
      <c r="AL13" s="71">
        <v>49</v>
      </c>
      <c r="AM13" s="566">
        <f t="shared" si="9"/>
        <v>46763.15</v>
      </c>
      <c r="AP13" s="106"/>
      <c r="AQ13" s="15">
        <v>6</v>
      </c>
      <c r="AR13" s="92">
        <v>925.3</v>
      </c>
      <c r="AS13" s="324">
        <v>44714</v>
      </c>
      <c r="AT13" s="92">
        <v>925.3</v>
      </c>
      <c r="AU13" s="95" t="s">
        <v>513</v>
      </c>
      <c r="AV13" s="71">
        <v>49</v>
      </c>
      <c r="AW13" s="566">
        <f t="shared" si="10"/>
        <v>45339.7</v>
      </c>
      <c r="AZ13" s="106"/>
      <c r="BA13" s="15">
        <v>6</v>
      </c>
      <c r="BB13" s="92">
        <v>908.1</v>
      </c>
      <c r="BC13" s="324">
        <v>44715</v>
      </c>
      <c r="BD13" s="92">
        <v>908.1</v>
      </c>
      <c r="BE13" s="95" t="s">
        <v>531</v>
      </c>
      <c r="BF13" s="71">
        <v>51</v>
      </c>
      <c r="BG13" s="566">
        <f t="shared" si="11"/>
        <v>46313.1</v>
      </c>
      <c r="BJ13" s="106"/>
      <c r="BK13" s="15">
        <v>6</v>
      </c>
      <c r="BL13" s="279">
        <v>924.4</v>
      </c>
      <c r="BM13" s="245">
        <v>44719</v>
      </c>
      <c r="BN13" s="279">
        <v>924.4</v>
      </c>
      <c r="BO13" s="319" t="s">
        <v>550</v>
      </c>
      <c r="BP13" s="801">
        <v>51</v>
      </c>
      <c r="BQ13" s="729">
        <f t="shared" si="12"/>
        <v>47144.4</v>
      </c>
      <c r="BT13" s="106"/>
      <c r="BU13" s="263">
        <v>6</v>
      </c>
      <c r="BV13" s="279">
        <v>909</v>
      </c>
      <c r="BW13" s="378"/>
      <c r="BX13" s="279"/>
      <c r="BY13" s="379"/>
      <c r="BZ13" s="380"/>
      <c r="CA13" s="566">
        <f t="shared" si="13"/>
        <v>0</v>
      </c>
      <c r="CD13" s="752"/>
      <c r="CE13" s="15">
        <v>6</v>
      </c>
      <c r="CF13" s="279">
        <v>907.2</v>
      </c>
      <c r="CG13" s="963"/>
      <c r="CH13" s="279"/>
      <c r="CI13" s="802"/>
      <c r="CJ13" s="684"/>
      <c r="CK13" s="566">
        <f t="shared" si="14"/>
        <v>0</v>
      </c>
      <c r="CN13" s="94"/>
      <c r="CO13" s="15">
        <v>6</v>
      </c>
      <c r="CP13" s="92">
        <v>878.2</v>
      </c>
      <c r="CQ13" s="378"/>
      <c r="CR13" s="92"/>
      <c r="CS13" s="381"/>
      <c r="CT13" s="380"/>
      <c r="CU13" s="572">
        <f t="shared" si="48"/>
        <v>0</v>
      </c>
      <c r="CX13" s="106"/>
      <c r="CY13" s="15">
        <v>6</v>
      </c>
      <c r="CZ13" s="92">
        <v>938.02</v>
      </c>
      <c r="DA13" s="324"/>
      <c r="DB13" s="92"/>
      <c r="DC13" s="95"/>
      <c r="DD13" s="71"/>
      <c r="DE13" s="566">
        <f t="shared" si="15"/>
        <v>0</v>
      </c>
      <c r="DH13" s="106"/>
      <c r="DI13" s="15">
        <v>6</v>
      </c>
      <c r="DJ13" s="279">
        <v>924.4</v>
      </c>
      <c r="DK13" s="378"/>
      <c r="DL13" s="92"/>
      <c r="DM13" s="381"/>
      <c r="DN13" s="380"/>
      <c r="DO13" s="572">
        <f t="shared" si="16"/>
        <v>0</v>
      </c>
      <c r="DR13" s="106"/>
      <c r="DS13" s="15">
        <v>6</v>
      </c>
      <c r="DT13" s="92">
        <v>935.76</v>
      </c>
      <c r="DU13" s="378"/>
      <c r="DV13" s="92"/>
      <c r="DW13" s="381"/>
      <c r="DX13" s="380"/>
      <c r="DY13" s="566">
        <f t="shared" si="17"/>
        <v>0</v>
      </c>
      <c r="EB13" s="106"/>
      <c r="EC13" s="15">
        <v>6</v>
      </c>
      <c r="ED13" s="69">
        <v>916.3</v>
      </c>
      <c r="EE13" s="336"/>
      <c r="EF13" s="92"/>
      <c r="EG13" s="70"/>
      <c r="EH13" s="71"/>
      <c r="EI13" s="566">
        <f t="shared" si="18"/>
        <v>0</v>
      </c>
      <c r="EL13" s="425"/>
      <c r="EM13" s="15">
        <v>6</v>
      </c>
      <c r="EN13" s="279">
        <v>930.8</v>
      </c>
      <c r="EO13" s="328"/>
      <c r="EP13" s="279"/>
      <c r="EQ13" s="265"/>
      <c r="ER13" s="266"/>
      <c r="ES13" s="566">
        <f t="shared" si="19"/>
        <v>0</v>
      </c>
      <c r="EV13" s="106"/>
      <c r="EW13" s="15">
        <v>6</v>
      </c>
      <c r="EX13" s="264">
        <v>891.8</v>
      </c>
      <c r="EY13" s="494"/>
      <c r="EZ13" s="264"/>
      <c r="FA13" s="265"/>
      <c r="FB13" s="266"/>
      <c r="FC13" s="322">
        <f t="shared" si="20"/>
        <v>0</v>
      </c>
      <c r="FF13" s="425"/>
      <c r="FG13" s="15">
        <v>6</v>
      </c>
      <c r="FH13" s="279">
        <v>951.18</v>
      </c>
      <c r="FI13" s="328"/>
      <c r="FJ13" s="279"/>
      <c r="FK13" s="265"/>
      <c r="FL13" s="266"/>
      <c r="FM13" s="566">
        <f t="shared" si="21"/>
        <v>0</v>
      </c>
      <c r="FP13" s="106"/>
      <c r="FQ13" s="15">
        <v>6</v>
      </c>
      <c r="FR13" s="92">
        <v>896.29</v>
      </c>
      <c r="FS13" s="324"/>
      <c r="FT13" s="92"/>
      <c r="FU13" s="70"/>
      <c r="FV13" s="71"/>
      <c r="FW13" s="566">
        <f t="shared" si="22"/>
        <v>0</v>
      </c>
      <c r="FZ13" s="106"/>
      <c r="GA13" s="15">
        <v>6</v>
      </c>
      <c r="GB13" s="69">
        <v>902.6</v>
      </c>
      <c r="GC13" s="494"/>
      <c r="GD13" s="69"/>
      <c r="GE13" s="265"/>
      <c r="GF13" s="266"/>
      <c r="GG13" s="322">
        <f t="shared" si="23"/>
        <v>0</v>
      </c>
      <c r="GJ13" s="106"/>
      <c r="GK13" s="15">
        <v>6</v>
      </c>
      <c r="GL13" s="472">
        <v>918.1</v>
      </c>
      <c r="GM13" s="324"/>
      <c r="GN13" s="472"/>
      <c r="GO13" s="95"/>
      <c r="GP13" s="71"/>
      <c r="GQ13" s="566">
        <f t="shared" si="24"/>
        <v>0</v>
      </c>
      <c r="GT13" s="106"/>
      <c r="GU13" s="15">
        <v>6</v>
      </c>
      <c r="GV13" s="279">
        <v>952.99</v>
      </c>
      <c r="GW13" s="328"/>
      <c r="GX13" s="279"/>
      <c r="GY13" s="319"/>
      <c r="GZ13" s="266"/>
      <c r="HA13" s="566">
        <f t="shared" si="25"/>
        <v>0</v>
      </c>
      <c r="HD13" s="106"/>
      <c r="HE13" s="15">
        <v>6</v>
      </c>
      <c r="HF13" s="279">
        <v>897.2</v>
      </c>
      <c r="HG13" s="328"/>
      <c r="HH13" s="279"/>
      <c r="HI13" s="319"/>
      <c r="HJ13" s="266"/>
      <c r="HK13" s="566">
        <f t="shared" si="26"/>
        <v>0</v>
      </c>
      <c r="HN13" s="106"/>
      <c r="HO13" s="15">
        <v>6</v>
      </c>
      <c r="HP13" s="279">
        <v>880</v>
      </c>
      <c r="HQ13" s="328"/>
      <c r="HR13" s="279"/>
      <c r="HS13" s="383"/>
      <c r="HT13" s="266"/>
      <c r="HU13" s="566">
        <f t="shared" si="27"/>
        <v>0</v>
      </c>
      <c r="HX13" s="106"/>
      <c r="HY13" s="15">
        <v>6</v>
      </c>
      <c r="HZ13" s="69">
        <v>933.03</v>
      </c>
      <c r="IA13" s="336"/>
      <c r="IB13" s="69"/>
      <c r="IC13" s="70"/>
      <c r="ID13" s="71"/>
      <c r="IE13" s="566">
        <f t="shared" si="5"/>
        <v>0</v>
      </c>
      <c r="IH13" s="106"/>
      <c r="II13" s="15">
        <v>6</v>
      </c>
      <c r="IJ13" s="69">
        <v>936.21</v>
      </c>
      <c r="IK13" s="336"/>
      <c r="IL13" s="69"/>
      <c r="IM13" s="70"/>
      <c r="IN13" s="71"/>
      <c r="IO13" s="566">
        <f t="shared" si="28"/>
        <v>0</v>
      </c>
      <c r="IQ13" s="740"/>
      <c r="IR13" s="106"/>
      <c r="IS13" s="15">
        <v>6</v>
      </c>
      <c r="IT13" s="279">
        <v>911.7</v>
      </c>
      <c r="IU13" s="245"/>
      <c r="IV13" s="279"/>
      <c r="IW13" s="500"/>
      <c r="IX13" s="266"/>
      <c r="IY13" s="322">
        <f t="shared" si="29"/>
        <v>0</v>
      </c>
      <c r="IZ13" s="92"/>
      <c r="JA13" s="69"/>
      <c r="JB13" s="106"/>
      <c r="JC13" s="15">
        <v>6</v>
      </c>
      <c r="JD13" s="92">
        <v>917.2</v>
      </c>
      <c r="JE13" s="336"/>
      <c r="JF13" s="92"/>
      <c r="JG13" s="265"/>
      <c r="JH13" s="71"/>
      <c r="JI13" s="566">
        <f t="shared" si="30"/>
        <v>0</v>
      </c>
      <c r="JJ13" s="69"/>
      <c r="JL13" s="106"/>
      <c r="JM13" s="15">
        <v>6</v>
      </c>
      <c r="JN13" s="92">
        <v>928.04</v>
      </c>
      <c r="JO13" s="324"/>
      <c r="JP13" s="92"/>
      <c r="JQ13" s="70"/>
      <c r="JR13" s="71"/>
      <c r="JS13" s="566">
        <f t="shared" si="31"/>
        <v>0</v>
      </c>
      <c r="JV13" s="106"/>
      <c r="JW13" s="15">
        <v>6</v>
      </c>
      <c r="JX13" s="69">
        <v>883.6</v>
      </c>
      <c r="JY13" s="336"/>
      <c r="JZ13" s="69"/>
      <c r="KA13" s="70"/>
      <c r="KB13" s="71"/>
      <c r="KC13" s="566">
        <f t="shared" si="32"/>
        <v>0</v>
      </c>
      <c r="KE13" s="242"/>
      <c r="KF13" s="922"/>
      <c r="KG13" s="15">
        <v>6</v>
      </c>
      <c r="KH13" s="69">
        <v>933.5</v>
      </c>
      <c r="KI13" s="336"/>
      <c r="KJ13" s="69"/>
      <c r="KK13" s="70"/>
      <c r="KL13" s="71"/>
      <c r="KM13" s="566">
        <f t="shared" si="33"/>
        <v>0</v>
      </c>
      <c r="KP13" s="106"/>
      <c r="KQ13" s="15">
        <v>6</v>
      </c>
      <c r="KR13" s="69">
        <v>854.11</v>
      </c>
      <c r="KS13" s="336"/>
      <c r="KT13" s="69"/>
      <c r="KU13" s="70"/>
      <c r="KV13" s="71"/>
      <c r="KW13" s="566">
        <f t="shared" si="34"/>
        <v>0</v>
      </c>
      <c r="KZ13" s="106"/>
      <c r="LA13" s="15">
        <v>6</v>
      </c>
      <c r="LB13" s="92">
        <v>898.1</v>
      </c>
      <c r="LC13" s="324"/>
      <c r="LD13" s="92"/>
      <c r="LE13" s="95"/>
      <c r="LF13" s="71"/>
      <c r="LG13" s="566">
        <f t="shared" si="35"/>
        <v>0</v>
      </c>
      <c r="LJ13" s="106"/>
      <c r="LK13" s="15">
        <v>6</v>
      </c>
      <c r="LL13" s="92">
        <v>960.7</v>
      </c>
      <c r="LM13" s="324"/>
      <c r="LN13" s="92"/>
      <c r="LO13" s="95"/>
      <c r="LP13" s="71"/>
      <c r="LQ13" s="566">
        <f t="shared" si="36"/>
        <v>0</v>
      </c>
      <c r="LT13" s="106"/>
      <c r="LU13" s="15">
        <v>6</v>
      </c>
      <c r="LV13" s="92"/>
      <c r="LW13" s="324"/>
      <c r="LX13" s="92"/>
      <c r="LY13" s="95"/>
      <c r="LZ13" s="71"/>
      <c r="MA13" s="566">
        <f t="shared" si="37"/>
        <v>0</v>
      </c>
      <c r="MB13" s="566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83175899</v>
      </c>
      <c r="E14" s="135">
        <f t="shared" si="52"/>
        <v>44721</v>
      </c>
      <c r="F14" s="86">
        <f t="shared" si="52"/>
        <v>18995.18</v>
      </c>
      <c r="G14" s="73">
        <f t="shared" si="52"/>
        <v>21</v>
      </c>
      <c r="H14" s="48">
        <f t="shared" si="52"/>
        <v>19047.2</v>
      </c>
      <c r="I14" s="105">
        <f t="shared" si="52"/>
        <v>-52.020000000000437</v>
      </c>
      <c r="K14" s="242"/>
      <c r="L14" s="106"/>
      <c r="M14" s="15">
        <v>7</v>
      </c>
      <c r="N14" s="69">
        <v>968.87</v>
      </c>
      <c r="O14" s="336">
        <v>44712</v>
      </c>
      <c r="P14" s="69">
        <v>968.87</v>
      </c>
      <c r="Q14" s="70" t="s">
        <v>493</v>
      </c>
      <c r="R14" s="71">
        <v>48</v>
      </c>
      <c r="S14" s="566">
        <f t="shared" si="7"/>
        <v>46505.760000000002</v>
      </c>
      <c r="T14" s="242"/>
      <c r="V14" s="106"/>
      <c r="W14" s="15">
        <v>7</v>
      </c>
      <c r="X14" s="69">
        <v>908.1</v>
      </c>
      <c r="Y14" s="336">
        <v>44715</v>
      </c>
      <c r="Z14" s="69">
        <v>908.1</v>
      </c>
      <c r="AA14" s="70" t="s">
        <v>524</v>
      </c>
      <c r="AB14" s="71">
        <v>51</v>
      </c>
      <c r="AC14" s="566">
        <f t="shared" si="8"/>
        <v>46313.1</v>
      </c>
      <c r="AF14" s="106"/>
      <c r="AG14" s="15">
        <v>7</v>
      </c>
      <c r="AH14" s="92">
        <v>903.1</v>
      </c>
      <c r="AI14" s="324">
        <v>44713</v>
      </c>
      <c r="AJ14" s="92">
        <v>903.1</v>
      </c>
      <c r="AK14" s="95" t="s">
        <v>502</v>
      </c>
      <c r="AL14" s="71">
        <v>49</v>
      </c>
      <c r="AM14" s="566">
        <f t="shared" si="9"/>
        <v>44251.9</v>
      </c>
      <c r="AP14" s="106"/>
      <c r="AQ14" s="15">
        <v>7</v>
      </c>
      <c r="AR14" s="92">
        <v>939.8</v>
      </c>
      <c r="AS14" s="324">
        <v>44714</v>
      </c>
      <c r="AT14" s="92">
        <v>939.8</v>
      </c>
      <c r="AU14" s="95" t="s">
        <v>513</v>
      </c>
      <c r="AV14" s="71">
        <v>49</v>
      </c>
      <c r="AW14" s="566">
        <f t="shared" si="10"/>
        <v>46050.2</v>
      </c>
      <c r="AZ14" s="106"/>
      <c r="BA14" s="15">
        <v>7</v>
      </c>
      <c r="BB14" s="92">
        <v>894.5</v>
      </c>
      <c r="BC14" s="324">
        <v>44715</v>
      </c>
      <c r="BD14" s="92">
        <v>894.5</v>
      </c>
      <c r="BE14" s="95" t="s">
        <v>528</v>
      </c>
      <c r="BF14" s="71">
        <v>51</v>
      </c>
      <c r="BG14" s="566">
        <f t="shared" si="11"/>
        <v>45619.5</v>
      </c>
      <c r="BJ14" s="106"/>
      <c r="BK14" s="15">
        <v>7</v>
      </c>
      <c r="BL14" s="279">
        <v>927.1</v>
      </c>
      <c r="BM14" s="245">
        <v>44719</v>
      </c>
      <c r="BN14" s="279">
        <v>927.1</v>
      </c>
      <c r="BO14" s="319" t="s">
        <v>550</v>
      </c>
      <c r="BP14" s="801">
        <v>51</v>
      </c>
      <c r="BQ14" s="729">
        <f t="shared" si="12"/>
        <v>47282.1</v>
      </c>
      <c r="BT14" s="106"/>
      <c r="BU14" s="263">
        <v>7</v>
      </c>
      <c r="BV14" s="279">
        <v>926.2</v>
      </c>
      <c r="BW14" s="378"/>
      <c r="BX14" s="279"/>
      <c r="BY14" s="379"/>
      <c r="BZ14" s="380"/>
      <c r="CA14" s="566">
        <f t="shared" si="13"/>
        <v>0</v>
      </c>
      <c r="CD14" s="752"/>
      <c r="CE14" s="15">
        <v>7</v>
      </c>
      <c r="CF14" s="279">
        <v>908.1</v>
      </c>
      <c r="CG14" s="963"/>
      <c r="CH14" s="279"/>
      <c r="CI14" s="802"/>
      <c r="CJ14" s="684"/>
      <c r="CK14" s="566">
        <f t="shared" si="14"/>
        <v>0</v>
      </c>
      <c r="CN14" s="94"/>
      <c r="CO14" s="15">
        <v>7</v>
      </c>
      <c r="CP14" s="92">
        <v>916.3</v>
      </c>
      <c r="CQ14" s="378"/>
      <c r="CR14" s="92"/>
      <c r="CS14" s="381"/>
      <c r="CT14" s="380"/>
      <c r="CU14" s="572">
        <f t="shared" si="48"/>
        <v>0</v>
      </c>
      <c r="CX14" s="106"/>
      <c r="CY14" s="15">
        <v>7</v>
      </c>
      <c r="CZ14" s="92">
        <v>961.61</v>
      </c>
      <c r="DA14" s="324"/>
      <c r="DB14" s="92"/>
      <c r="DC14" s="95"/>
      <c r="DD14" s="71"/>
      <c r="DE14" s="566">
        <f t="shared" si="15"/>
        <v>0</v>
      </c>
      <c r="DH14" s="106"/>
      <c r="DI14" s="15">
        <v>7</v>
      </c>
      <c r="DJ14" s="279">
        <v>910.8</v>
      </c>
      <c r="DK14" s="378"/>
      <c r="DL14" s="92"/>
      <c r="DM14" s="381"/>
      <c r="DN14" s="380"/>
      <c r="DO14" s="572">
        <f t="shared" si="16"/>
        <v>0</v>
      </c>
      <c r="DR14" s="106"/>
      <c r="DS14" s="15">
        <v>7</v>
      </c>
      <c r="DT14" s="92">
        <v>940.29</v>
      </c>
      <c r="DU14" s="378"/>
      <c r="DV14" s="92"/>
      <c r="DW14" s="381"/>
      <c r="DX14" s="380"/>
      <c r="DY14" s="566">
        <f t="shared" si="17"/>
        <v>0</v>
      </c>
      <c r="EB14" s="106"/>
      <c r="EC14" s="15">
        <v>7</v>
      </c>
      <c r="ED14" s="69">
        <v>870.9</v>
      </c>
      <c r="EE14" s="336"/>
      <c r="EF14" s="92"/>
      <c r="EG14" s="70"/>
      <c r="EH14" s="71"/>
      <c r="EI14" s="566">
        <f t="shared" si="18"/>
        <v>0</v>
      </c>
      <c r="EL14" s="425"/>
      <c r="EM14" s="15">
        <v>7</v>
      </c>
      <c r="EN14" s="279">
        <v>915.3</v>
      </c>
      <c r="EO14" s="328"/>
      <c r="EP14" s="279"/>
      <c r="EQ14" s="265"/>
      <c r="ER14" s="266"/>
      <c r="ES14" s="566">
        <f t="shared" si="19"/>
        <v>0</v>
      </c>
      <c r="EV14" s="106"/>
      <c r="EW14" s="15">
        <v>7</v>
      </c>
      <c r="EX14" s="264">
        <v>876.3</v>
      </c>
      <c r="EY14" s="494"/>
      <c r="EZ14" s="264"/>
      <c r="FA14" s="265"/>
      <c r="FB14" s="266"/>
      <c r="FC14" s="322">
        <f t="shared" si="20"/>
        <v>0</v>
      </c>
      <c r="FF14" s="425"/>
      <c r="FG14" s="15">
        <v>7</v>
      </c>
      <c r="FH14" s="279">
        <v>932.13</v>
      </c>
      <c r="FI14" s="328"/>
      <c r="FJ14" s="279"/>
      <c r="FK14" s="265"/>
      <c r="FL14" s="266"/>
      <c r="FM14" s="566">
        <f t="shared" si="21"/>
        <v>0</v>
      </c>
      <c r="FP14" s="106"/>
      <c r="FQ14" s="15">
        <v>7</v>
      </c>
      <c r="FR14" s="92">
        <v>970.23</v>
      </c>
      <c r="FS14" s="324"/>
      <c r="FT14" s="92"/>
      <c r="FU14" s="70"/>
      <c r="FV14" s="71"/>
      <c r="FW14" s="566">
        <f t="shared" si="22"/>
        <v>0</v>
      </c>
      <c r="FZ14" s="106"/>
      <c r="GA14" s="15">
        <v>7</v>
      </c>
      <c r="GB14" s="69">
        <v>906.3</v>
      </c>
      <c r="GC14" s="494"/>
      <c r="GD14" s="69"/>
      <c r="GE14" s="265"/>
      <c r="GF14" s="266"/>
      <c r="GG14" s="322">
        <f t="shared" si="23"/>
        <v>0</v>
      </c>
      <c r="GJ14" s="106"/>
      <c r="GK14" s="15">
        <v>7</v>
      </c>
      <c r="GL14" s="472">
        <v>927.1</v>
      </c>
      <c r="GM14" s="324"/>
      <c r="GN14" s="472"/>
      <c r="GO14" s="95"/>
      <c r="GP14" s="71"/>
      <c r="GQ14" s="566">
        <f t="shared" si="24"/>
        <v>0</v>
      </c>
      <c r="GT14" s="106"/>
      <c r="GU14" s="15">
        <v>7</v>
      </c>
      <c r="GV14" s="279">
        <v>937.57</v>
      </c>
      <c r="GW14" s="328"/>
      <c r="GX14" s="279"/>
      <c r="GY14" s="319"/>
      <c r="GZ14" s="266"/>
      <c r="HA14" s="566">
        <f t="shared" si="25"/>
        <v>0</v>
      </c>
      <c r="HD14" s="106"/>
      <c r="HE14" s="15">
        <v>7</v>
      </c>
      <c r="HF14" s="279">
        <v>889</v>
      </c>
      <c r="HG14" s="328"/>
      <c r="HH14" s="279"/>
      <c r="HI14" s="319"/>
      <c r="HJ14" s="266"/>
      <c r="HK14" s="566">
        <f t="shared" si="26"/>
        <v>0</v>
      </c>
      <c r="HN14" s="106"/>
      <c r="HO14" s="15">
        <v>7</v>
      </c>
      <c r="HP14" s="279">
        <v>938.9</v>
      </c>
      <c r="HQ14" s="328"/>
      <c r="HR14" s="279"/>
      <c r="HS14" s="383"/>
      <c r="HT14" s="266"/>
      <c r="HU14" s="566">
        <f t="shared" si="27"/>
        <v>0</v>
      </c>
      <c r="HX14" s="106"/>
      <c r="HY14" s="15">
        <v>7</v>
      </c>
      <c r="HZ14" s="69">
        <v>945.74</v>
      </c>
      <c r="IA14" s="336"/>
      <c r="IB14" s="69"/>
      <c r="IC14" s="70"/>
      <c r="ID14" s="71"/>
      <c r="IE14" s="566">
        <f t="shared" si="5"/>
        <v>0</v>
      </c>
      <c r="IH14" s="106"/>
      <c r="II14" s="15">
        <v>7</v>
      </c>
      <c r="IJ14" s="69">
        <v>965.24</v>
      </c>
      <c r="IK14" s="336"/>
      <c r="IL14" s="69"/>
      <c r="IM14" s="70"/>
      <c r="IN14" s="71"/>
      <c r="IO14" s="566">
        <f t="shared" si="28"/>
        <v>0</v>
      </c>
      <c r="IQ14" s="737"/>
      <c r="IR14" s="106"/>
      <c r="IS14" s="15">
        <v>7</v>
      </c>
      <c r="IT14" s="279">
        <v>928</v>
      </c>
      <c r="IU14" s="245"/>
      <c r="IV14" s="279"/>
      <c r="IW14" s="500"/>
      <c r="IX14" s="266"/>
      <c r="IY14" s="322">
        <f t="shared" si="29"/>
        <v>0</v>
      </c>
      <c r="IZ14" s="92"/>
      <c r="JA14" s="69"/>
      <c r="JB14" s="106"/>
      <c r="JC14" s="15">
        <v>7</v>
      </c>
      <c r="JD14" s="92">
        <v>900.8</v>
      </c>
      <c r="JE14" s="336"/>
      <c r="JF14" s="92"/>
      <c r="JG14" s="265"/>
      <c r="JH14" s="71"/>
      <c r="JI14" s="566">
        <f t="shared" si="30"/>
        <v>0</v>
      </c>
      <c r="JJ14" s="69"/>
      <c r="JL14" s="106"/>
      <c r="JM14" s="15">
        <v>7</v>
      </c>
      <c r="JN14" s="92">
        <v>939.38</v>
      </c>
      <c r="JO14" s="324"/>
      <c r="JP14" s="92"/>
      <c r="JQ14" s="70"/>
      <c r="JR14" s="71"/>
      <c r="JS14" s="566">
        <f t="shared" si="31"/>
        <v>0</v>
      </c>
      <c r="JV14" s="106"/>
      <c r="JW14" s="15">
        <v>7</v>
      </c>
      <c r="JX14" s="69">
        <v>903.6</v>
      </c>
      <c r="JY14" s="336"/>
      <c r="JZ14" s="69"/>
      <c r="KA14" s="70"/>
      <c r="KB14" s="71"/>
      <c r="KC14" s="566">
        <f t="shared" si="32"/>
        <v>0</v>
      </c>
      <c r="KE14" s="242"/>
      <c r="KF14" s="922"/>
      <c r="KG14" s="15">
        <v>7</v>
      </c>
      <c r="KH14" s="69">
        <v>900.8</v>
      </c>
      <c r="KI14" s="336"/>
      <c r="KJ14" s="69"/>
      <c r="KK14" s="70"/>
      <c r="KL14" s="71"/>
      <c r="KM14" s="566">
        <f t="shared" si="33"/>
        <v>0</v>
      </c>
      <c r="KP14" s="106"/>
      <c r="KQ14" s="15">
        <v>7</v>
      </c>
      <c r="KR14" s="69">
        <v>825.53</v>
      </c>
      <c r="KS14" s="336"/>
      <c r="KT14" s="69"/>
      <c r="KU14" s="70"/>
      <c r="KV14" s="71"/>
      <c r="KW14" s="566">
        <f t="shared" si="34"/>
        <v>0</v>
      </c>
      <c r="KZ14" s="106"/>
      <c r="LA14" s="15">
        <v>7</v>
      </c>
      <c r="LB14" s="92">
        <v>917.2</v>
      </c>
      <c r="LC14" s="324"/>
      <c r="LD14" s="92"/>
      <c r="LE14" s="95"/>
      <c r="LF14" s="71"/>
      <c r="LG14" s="566">
        <f t="shared" si="35"/>
        <v>0</v>
      </c>
      <c r="LJ14" s="106"/>
      <c r="LK14" s="15">
        <v>7</v>
      </c>
      <c r="LL14" s="92">
        <v>913.53</v>
      </c>
      <c r="LM14" s="324"/>
      <c r="LN14" s="92"/>
      <c r="LO14" s="95"/>
      <c r="LP14" s="71"/>
      <c r="LQ14" s="566">
        <f t="shared" si="36"/>
        <v>0</v>
      </c>
      <c r="LT14" s="106"/>
      <c r="LU14" s="15">
        <v>7</v>
      </c>
      <c r="LV14" s="92"/>
      <c r="LW14" s="324"/>
      <c r="LX14" s="92"/>
      <c r="LY14" s="95"/>
      <c r="LZ14" s="71"/>
      <c r="MA14" s="566">
        <f t="shared" si="37"/>
        <v>0</v>
      </c>
      <c r="MB14" s="566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MEATS</v>
      </c>
      <c r="C15" s="75" t="str">
        <f t="shared" si="53"/>
        <v xml:space="preserve">I B P </v>
      </c>
      <c r="D15" s="102" t="str">
        <f t="shared" si="53"/>
        <v>PED. 83215695</v>
      </c>
      <c r="E15" s="135">
        <f t="shared" si="53"/>
        <v>44722</v>
      </c>
      <c r="F15" s="86">
        <f t="shared" si="53"/>
        <v>18957.71</v>
      </c>
      <c r="G15" s="73">
        <f t="shared" si="53"/>
        <v>20</v>
      </c>
      <c r="H15" s="48">
        <f t="shared" si="53"/>
        <v>19049.419999999998</v>
      </c>
      <c r="I15" s="105">
        <f t="shared" si="53"/>
        <v>-91.709999999999127</v>
      </c>
      <c r="K15" s="242"/>
      <c r="L15" s="106"/>
      <c r="M15" s="15">
        <v>8</v>
      </c>
      <c r="N15" s="69">
        <v>936.21</v>
      </c>
      <c r="O15" s="336">
        <v>44712</v>
      </c>
      <c r="P15" s="69">
        <v>936.21</v>
      </c>
      <c r="Q15" s="70" t="s">
        <v>492</v>
      </c>
      <c r="R15" s="71">
        <v>48</v>
      </c>
      <c r="S15" s="566">
        <f t="shared" si="7"/>
        <v>44938.080000000002</v>
      </c>
      <c r="T15" s="242"/>
      <c r="V15" s="106"/>
      <c r="W15" s="15">
        <v>8</v>
      </c>
      <c r="X15" s="69">
        <v>877.2</v>
      </c>
      <c r="Y15" s="336">
        <v>44715</v>
      </c>
      <c r="Z15" s="69">
        <v>877.2</v>
      </c>
      <c r="AA15" s="70" t="s">
        <v>522</v>
      </c>
      <c r="AB15" s="71">
        <v>51</v>
      </c>
      <c r="AC15" s="566">
        <f t="shared" si="8"/>
        <v>44737.200000000004</v>
      </c>
      <c r="AF15" s="106"/>
      <c r="AG15" s="15">
        <v>8</v>
      </c>
      <c r="AH15" s="92">
        <v>899.47</v>
      </c>
      <c r="AI15" s="324">
        <v>44713</v>
      </c>
      <c r="AJ15" s="92">
        <v>899.47</v>
      </c>
      <c r="AK15" s="95" t="s">
        <v>503</v>
      </c>
      <c r="AL15" s="71">
        <v>49</v>
      </c>
      <c r="AM15" s="566">
        <f t="shared" si="9"/>
        <v>44074.03</v>
      </c>
      <c r="AP15" s="106"/>
      <c r="AQ15" s="15">
        <v>8</v>
      </c>
      <c r="AR15" s="92">
        <v>910.8</v>
      </c>
      <c r="AS15" s="324">
        <v>44714</v>
      </c>
      <c r="AT15" s="92">
        <v>910.8</v>
      </c>
      <c r="AU15" s="95" t="s">
        <v>513</v>
      </c>
      <c r="AV15" s="71">
        <v>49</v>
      </c>
      <c r="AW15" s="566">
        <f t="shared" si="10"/>
        <v>44629.2</v>
      </c>
      <c r="AZ15" s="106"/>
      <c r="BA15" s="15">
        <v>8</v>
      </c>
      <c r="BB15" s="92">
        <v>915.3</v>
      </c>
      <c r="BC15" s="324">
        <v>44715</v>
      </c>
      <c r="BD15" s="92">
        <v>915.3</v>
      </c>
      <c r="BE15" s="95" t="s">
        <v>528</v>
      </c>
      <c r="BF15" s="71">
        <v>51</v>
      </c>
      <c r="BG15" s="566">
        <f t="shared" si="11"/>
        <v>46680.299999999996</v>
      </c>
      <c r="BJ15" s="106"/>
      <c r="BK15" s="15">
        <v>8</v>
      </c>
      <c r="BL15" s="279">
        <v>878.2</v>
      </c>
      <c r="BM15" s="245">
        <v>44719</v>
      </c>
      <c r="BN15" s="279">
        <v>878.2</v>
      </c>
      <c r="BO15" s="319" t="s">
        <v>550</v>
      </c>
      <c r="BP15" s="801">
        <v>51</v>
      </c>
      <c r="BQ15" s="729">
        <f t="shared" si="12"/>
        <v>44788.200000000004</v>
      </c>
      <c r="BT15" s="106"/>
      <c r="BU15" s="263">
        <v>8</v>
      </c>
      <c r="BV15" s="279">
        <v>931.7</v>
      </c>
      <c r="BW15" s="378"/>
      <c r="BX15" s="279"/>
      <c r="BY15" s="379"/>
      <c r="BZ15" s="380"/>
      <c r="CA15" s="566">
        <f t="shared" si="13"/>
        <v>0</v>
      </c>
      <c r="CD15" s="752"/>
      <c r="CE15" s="15">
        <v>8</v>
      </c>
      <c r="CF15" s="279">
        <v>911.7</v>
      </c>
      <c r="CG15" s="963"/>
      <c r="CH15" s="279"/>
      <c r="CI15" s="802"/>
      <c r="CJ15" s="684"/>
      <c r="CK15" s="566">
        <f t="shared" si="14"/>
        <v>0</v>
      </c>
      <c r="CN15" s="94"/>
      <c r="CO15" s="15">
        <v>8</v>
      </c>
      <c r="CP15" s="92">
        <v>918.1</v>
      </c>
      <c r="CQ15" s="378"/>
      <c r="CR15" s="92"/>
      <c r="CS15" s="381"/>
      <c r="CT15" s="380"/>
      <c r="CU15" s="572">
        <f t="shared" si="48"/>
        <v>0</v>
      </c>
      <c r="CX15" s="106"/>
      <c r="CY15" s="15">
        <v>8</v>
      </c>
      <c r="CZ15" s="92">
        <v>933.03</v>
      </c>
      <c r="DA15" s="324"/>
      <c r="DB15" s="92"/>
      <c r="DC15" s="95"/>
      <c r="DD15" s="71"/>
      <c r="DE15" s="566">
        <f t="shared" si="15"/>
        <v>0</v>
      </c>
      <c r="DH15" s="106"/>
      <c r="DI15" s="15">
        <v>8</v>
      </c>
      <c r="DJ15" s="279">
        <v>895.4</v>
      </c>
      <c r="DK15" s="378"/>
      <c r="DL15" s="92"/>
      <c r="DM15" s="381"/>
      <c r="DN15" s="380"/>
      <c r="DO15" s="572">
        <f t="shared" si="16"/>
        <v>0</v>
      </c>
      <c r="DR15" s="106"/>
      <c r="DS15" s="15">
        <v>8</v>
      </c>
      <c r="DT15" s="92">
        <v>933.94</v>
      </c>
      <c r="DU15" s="378"/>
      <c r="DV15" s="92"/>
      <c r="DW15" s="381"/>
      <c r="DX15" s="380"/>
      <c r="DY15" s="566">
        <f t="shared" si="17"/>
        <v>0</v>
      </c>
      <c r="EB15" s="106"/>
      <c r="EC15" s="15">
        <v>8</v>
      </c>
      <c r="ED15" s="69">
        <v>916.3</v>
      </c>
      <c r="EE15" s="336"/>
      <c r="EF15" s="92"/>
      <c r="EG15" s="70"/>
      <c r="EH15" s="71"/>
      <c r="EI15" s="566">
        <f t="shared" si="18"/>
        <v>0</v>
      </c>
      <c r="EL15" s="425"/>
      <c r="EM15" s="15">
        <v>8</v>
      </c>
      <c r="EN15" s="279">
        <v>912.6</v>
      </c>
      <c r="EO15" s="328"/>
      <c r="EP15" s="279"/>
      <c r="EQ15" s="265"/>
      <c r="ER15" s="266"/>
      <c r="ES15" s="566">
        <f t="shared" si="19"/>
        <v>0</v>
      </c>
      <c r="EV15" s="106"/>
      <c r="EW15" s="15">
        <v>8</v>
      </c>
      <c r="EX15" s="264">
        <v>913.5</v>
      </c>
      <c r="EY15" s="494"/>
      <c r="EZ15" s="264"/>
      <c r="FA15" s="265"/>
      <c r="FB15" s="266"/>
      <c r="FC15" s="322">
        <f t="shared" si="20"/>
        <v>0</v>
      </c>
      <c r="FF15" s="425"/>
      <c r="FG15" s="15">
        <v>8</v>
      </c>
      <c r="FH15" s="279">
        <v>952.99</v>
      </c>
      <c r="FI15" s="328"/>
      <c r="FJ15" s="279"/>
      <c r="FK15" s="265"/>
      <c r="FL15" s="266"/>
      <c r="FM15" s="566">
        <f t="shared" si="21"/>
        <v>0</v>
      </c>
      <c r="FP15" s="106"/>
      <c r="FQ15" s="15">
        <v>8</v>
      </c>
      <c r="FR15" s="92">
        <v>906.73</v>
      </c>
      <c r="FS15" s="324"/>
      <c r="FT15" s="92"/>
      <c r="FU15" s="70"/>
      <c r="FV15" s="71"/>
      <c r="FW15" s="566">
        <f t="shared" si="22"/>
        <v>0</v>
      </c>
      <c r="FZ15" s="106"/>
      <c r="GA15" s="15">
        <v>8</v>
      </c>
      <c r="GB15" s="69">
        <v>894.5</v>
      </c>
      <c r="GC15" s="494"/>
      <c r="GD15" s="69"/>
      <c r="GE15" s="265"/>
      <c r="GF15" s="266"/>
      <c r="GG15" s="322">
        <f t="shared" si="23"/>
        <v>0</v>
      </c>
      <c r="GJ15" s="106"/>
      <c r="GK15" s="15">
        <v>8</v>
      </c>
      <c r="GL15" s="472">
        <v>891.8</v>
      </c>
      <c r="GM15" s="324"/>
      <c r="GN15" s="472"/>
      <c r="GO15" s="95"/>
      <c r="GP15" s="71"/>
      <c r="GQ15" s="566">
        <f t="shared" si="24"/>
        <v>0</v>
      </c>
      <c r="GT15" s="106"/>
      <c r="GU15" s="15">
        <v>8</v>
      </c>
      <c r="GV15" s="279">
        <v>936.66</v>
      </c>
      <c r="GW15" s="328"/>
      <c r="GX15" s="279"/>
      <c r="GY15" s="319"/>
      <c r="GZ15" s="266"/>
      <c r="HA15" s="566">
        <f t="shared" si="25"/>
        <v>0</v>
      </c>
      <c r="HD15" s="106"/>
      <c r="HE15" s="15">
        <v>8</v>
      </c>
      <c r="HF15" s="279">
        <v>881.8</v>
      </c>
      <c r="HG15" s="328"/>
      <c r="HH15" s="279"/>
      <c r="HI15" s="319"/>
      <c r="HJ15" s="266"/>
      <c r="HK15" s="566">
        <f t="shared" si="26"/>
        <v>0</v>
      </c>
      <c r="HN15" s="106"/>
      <c r="HO15" s="15">
        <v>8</v>
      </c>
      <c r="HP15" s="279">
        <v>913.5</v>
      </c>
      <c r="HQ15" s="328"/>
      <c r="HR15" s="279"/>
      <c r="HS15" s="383"/>
      <c r="HT15" s="266"/>
      <c r="HU15" s="566">
        <f t="shared" si="27"/>
        <v>0</v>
      </c>
      <c r="HX15" s="94"/>
      <c r="HY15" s="15">
        <v>8</v>
      </c>
      <c r="HZ15" s="69">
        <v>933.03</v>
      </c>
      <c r="IA15" s="336"/>
      <c r="IB15" s="69"/>
      <c r="IC15" s="70"/>
      <c r="ID15" s="71"/>
      <c r="IE15" s="566">
        <f t="shared" si="5"/>
        <v>0</v>
      </c>
      <c r="IH15" s="94"/>
      <c r="II15" s="15">
        <v>8</v>
      </c>
      <c r="IJ15" s="69">
        <v>926.68</v>
      </c>
      <c r="IK15" s="336"/>
      <c r="IL15" s="69"/>
      <c r="IM15" s="70"/>
      <c r="IN15" s="71"/>
      <c r="IO15" s="566">
        <f t="shared" si="28"/>
        <v>0</v>
      </c>
      <c r="IR15" s="106"/>
      <c r="IS15" s="15">
        <v>8</v>
      </c>
      <c r="IT15" s="279">
        <v>927.1</v>
      </c>
      <c r="IU15" s="245"/>
      <c r="IV15" s="279"/>
      <c r="IW15" s="500"/>
      <c r="IX15" s="266"/>
      <c r="IY15" s="322">
        <f t="shared" si="29"/>
        <v>0</v>
      </c>
      <c r="IZ15" s="92"/>
      <c r="JA15" s="69"/>
      <c r="JB15" s="106"/>
      <c r="JC15" s="15">
        <v>8</v>
      </c>
      <c r="JD15" s="92">
        <v>906.3</v>
      </c>
      <c r="JE15" s="336"/>
      <c r="JF15" s="92"/>
      <c r="JG15" s="265"/>
      <c r="JH15" s="71"/>
      <c r="JI15" s="566">
        <f t="shared" si="30"/>
        <v>0</v>
      </c>
      <c r="JJ15" s="69"/>
      <c r="JL15" s="106"/>
      <c r="JM15" s="15">
        <v>8</v>
      </c>
      <c r="JN15" s="92">
        <v>918.52</v>
      </c>
      <c r="JO15" s="324"/>
      <c r="JP15" s="92"/>
      <c r="JQ15" s="70"/>
      <c r="JR15" s="71"/>
      <c r="JS15" s="566">
        <f t="shared" si="31"/>
        <v>0</v>
      </c>
      <c r="JV15" s="106"/>
      <c r="JW15" s="15">
        <v>8</v>
      </c>
      <c r="JX15" s="69">
        <v>931.7</v>
      </c>
      <c r="JY15" s="336"/>
      <c r="JZ15" s="69"/>
      <c r="KA15" s="70"/>
      <c r="KB15" s="71"/>
      <c r="KC15" s="566">
        <f t="shared" si="32"/>
        <v>0</v>
      </c>
      <c r="KE15" s="242"/>
      <c r="KF15" s="922"/>
      <c r="KG15" s="15">
        <v>8</v>
      </c>
      <c r="KH15" s="69">
        <v>870</v>
      </c>
      <c r="KI15" s="336"/>
      <c r="KJ15" s="69"/>
      <c r="KK15" s="70"/>
      <c r="KL15" s="71"/>
      <c r="KM15" s="566">
        <f t="shared" si="33"/>
        <v>0</v>
      </c>
      <c r="KP15" s="106"/>
      <c r="KQ15" s="15">
        <v>8</v>
      </c>
      <c r="KR15" s="69">
        <v>842.77</v>
      </c>
      <c r="KS15" s="336"/>
      <c r="KT15" s="69"/>
      <c r="KU15" s="70"/>
      <c r="KV15" s="71"/>
      <c r="KW15" s="566">
        <f t="shared" si="34"/>
        <v>0</v>
      </c>
      <c r="KZ15" s="106"/>
      <c r="LA15" s="15">
        <v>8</v>
      </c>
      <c r="LB15" s="92">
        <v>897.2</v>
      </c>
      <c r="LC15" s="324"/>
      <c r="LD15" s="92"/>
      <c r="LE15" s="95"/>
      <c r="LF15" s="71"/>
      <c r="LG15" s="566">
        <f t="shared" si="35"/>
        <v>0</v>
      </c>
      <c r="LJ15" s="106"/>
      <c r="LK15" s="15">
        <v>8</v>
      </c>
      <c r="LL15" s="92">
        <v>953.45</v>
      </c>
      <c r="LM15" s="324"/>
      <c r="LN15" s="92"/>
      <c r="LO15" s="95"/>
      <c r="LP15" s="71"/>
      <c r="LQ15" s="566">
        <f t="shared" si="36"/>
        <v>0</v>
      </c>
      <c r="LT15" s="106"/>
      <c r="LU15" s="15">
        <v>8</v>
      </c>
      <c r="LV15" s="92"/>
      <c r="LW15" s="324"/>
      <c r="LX15" s="92"/>
      <c r="LY15" s="95"/>
      <c r="LZ15" s="71"/>
      <c r="MA15" s="566">
        <f t="shared" si="37"/>
        <v>0</v>
      </c>
      <c r="MB15" s="566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83215694</v>
      </c>
      <c r="E16" s="135">
        <f t="shared" si="54"/>
        <v>44722</v>
      </c>
      <c r="F16" s="86">
        <f t="shared" si="54"/>
        <v>17874.939999999999</v>
      </c>
      <c r="G16" s="73">
        <f t="shared" si="54"/>
        <v>20</v>
      </c>
      <c r="H16" s="48">
        <f t="shared" si="54"/>
        <v>17911.2</v>
      </c>
      <c r="I16" s="105">
        <f t="shared" si="54"/>
        <v>-36.260000000002037</v>
      </c>
      <c r="K16" s="242"/>
      <c r="L16" s="106"/>
      <c r="M16" s="15">
        <v>9</v>
      </c>
      <c r="N16" s="69">
        <v>909.9</v>
      </c>
      <c r="O16" s="336">
        <v>44711</v>
      </c>
      <c r="P16" s="69">
        <v>909.9</v>
      </c>
      <c r="Q16" s="70" t="s">
        <v>491</v>
      </c>
      <c r="R16" s="71">
        <v>48</v>
      </c>
      <c r="S16" s="566">
        <f t="shared" si="7"/>
        <v>43675.199999999997</v>
      </c>
      <c r="T16" s="242"/>
      <c r="V16" s="106"/>
      <c r="W16" s="15">
        <v>9</v>
      </c>
      <c r="X16" s="69">
        <v>932.6</v>
      </c>
      <c r="Y16" s="336">
        <v>44715</v>
      </c>
      <c r="Z16" s="69">
        <v>932.6</v>
      </c>
      <c r="AA16" s="70" t="s">
        <v>522</v>
      </c>
      <c r="AB16" s="71">
        <v>51</v>
      </c>
      <c r="AC16" s="566">
        <f t="shared" si="8"/>
        <v>47562.6</v>
      </c>
      <c r="AF16" s="106"/>
      <c r="AG16" s="15">
        <v>9</v>
      </c>
      <c r="AH16" s="92">
        <v>919.43</v>
      </c>
      <c r="AI16" s="324">
        <v>44713</v>
      </c>
      <c r="AJ16" s="92">
        <v>919.43</v>
      </c>
      <c r="AK16" s="95" t="s">
        <v>502</v>
      </c>
      <c r="AL16" s="71">
        <v>49</v>
      </c>
      <c r="AM16" s="566">
        <f t="shared" si="9"/>
        <v>45052.07</v>
      </c>
      <c r="AP16" s="106"/>
      <c r="AQ16" s="15">
        <v>9</v>
      </c>
      <c r="AR16" s="92">
        <v>906.3</v>
      </c>
      <c r="AS16" s="324">
        <v>44714</v>
      </c>
      <c r="AT16" s="92">
        <v>906.3</v>
      </c>
      <c r="AU16" s="95" t="s">
        <v>509</v>
      </c>
      <c r="AV16" s="71">
        <v>49</v>
      </c>
      <c r="AW16" s="566">
        <f t="shared" si="10"/>
        <v>44408.7</v>
      </c>
      <c r="AZ16" s="106"/>
      <c r="BA16" s="15">
        <v>9</v>
      </c>
      <c r="BB16" s="92">
        <v>922.6</v>
      </c>
      <c r="BC16" s="324">
        <v>44715</v>
      </c>
      <c r="BD16" s="92">
        <v>922.6</v>
      </c>
      <c r="BE16" s="95" t="s">
        <v>528</v>
      </c>
      <c r="BF16" s="71">
        <v>51</v>
      </c>
      <c r="BG16" s="566">
        <f t="shared" si="11"/>
        <v>47052.6</v>
      </c>
      <c r="BJ16" s="106"/>
      <c r="BK16" s="15">
        <v>9</v>
      </c>
      <c r="BL16" s="279">
        <v>884.5</v>
      </c>
      <c r="BM16" s="245">
        <v>44719</v>
      </c>
      <c r="BN16" s="279">
        <v>884.5</v>
      </c>
      <c r="BO16" s="319" t="s">
        <v>550</v>
      </c>
      <c r="BP16" s="801">
        <v>51</v>
      </c>
      <c r="BQ16" s="729">
        <f t="shared" si="12"/>
        <v>45109.5</v>
      </c>
      <c r="BT16" s="106"/>
      <c r="BU16" s="263">
        <v>9</v>
      </c>
      <c r="BV16" s="279">
        <v>909.9</v>
      </c>
      <c r="BW16" s="378"/>
      <c r="BX16" s="279"/>
      <c r="BY16" s="379"/>
      <c r="BZ16" s="380"/>
      <c r="CA16" s="566">
        <f t="shared" si="13"/>
        <v>0</v>
      </c>
      <c r="CD16" s="752"/>
      <c r="CE16" s="15">
        <v>9</v>
      </c>
      <c r="CF16" s="279">
        <v>882.7</v>
      </c>
      <c r="CG16" s="963"/>
      <c r="CH16" s="279"/>
      <c r="CI16" s="802"/>
      <c r="CJ16" s="684"/>
      <c r="CK16" s="566">
        <f t="shared" si="14"/>
        <v>0</v>
      </c>
      <c r="CN16" s="94"/>
      <c r="CO16" s="15">
        <v>9</v>
      </c>
      <c r="CP16" s="92">
        <v>912.6</v>
      </c>
      <c r="CQ16" s="378"/>
      <c r="CR16" s="92"/>
      <c r="CS16" s="381"/>
      <c r="CT16" s="380"/>
      <c r="CU16" s="572">
        <f t="shared" si="48"/>
        <v>0</v>
      </c>
      <c r="CX16" s="106"/>
      <c r="CY16" s="15">
        <v>9</v>
      </c>
      <c r="CZ16" s="92">
        <v>940.75</v>
      </c>
      <c r="DA16" s="324"/>
      <c r="DB16" s="92"/>
      <c r="DC16" s="95"/>
      <c r="DD16" s="71"/>
      <c r="DE16" s="566">
        <f t="shared" si="15"/>
        <v>0</v>
      </c>
      <c r="DH16" s="106"/>
      <c r="DI16" s="15">
        <v>9</v>
      </c>
      <c r="DJ16" s="279">
        <v>905.4</v>
      </c>
      <c r="DK16" s="378"/>
      <c r="DL16" s="92"/>
      <c r="DM16" s="381"/>
      <c r="DN16" s="380"/>
      <c r="DO16" s="572">
        <f t="shared" si="16"/>
        <v>0</v>
      </c>
      <c r="DR16" s="106"/>
      <c r="DS16" s="15">
        <v>9</v>
      </c>
      <c r="DT16" s="92">
        <v>962.06</v>
      </c>
      <c r="DU16" s="378"/>
      <c r="DV16" s="92"/>
      <c r="DW16" s="381"/>
      <c r="DX16" s="380"/>
      <c r="DY16" s="566">
        <f t="shared" si="17"/>
        <v>0</v>
      </c>
      <c r="EB16" s="106"/>
      <c r="EC16" s="15">
        <v>9</v>
      </c>
      <c r="ED16" s="69">
        <v>874.5</v>
      </c>
      <c r="EE16" s="336"/>
      <c r="EF16" s="92"/>
      <c r="EG16" s="70"/>
      <c r="EH16" s="71"/>
      <c r="EI16" s="566">
        <f t="shared" si="18"/>
        <v>0</v>
      </c>
      <c r="EL16" s="425"/>
      <c r="EM16" s="15">
        <v>9</v>
      </c>
      <c r="EN16" s="279">
        <v>904.5</v>
      </c>
      <c r="EO16" s="328"/>
      <c r="EP16" s="279"/>
      <c r="EQ16" s="265"/>
      <c r="ER16" s="266"/>
      <c r="ES16" s="566">
        <f t="shared" si="19"/>
        <v>0</v>
      </c>
      <c r="EV16" s="106"/>
      <c r="EW16" s="15">
        <v>9</v>
      </c>
      <c r="EX16" s="264">
        <v>866.4</v>
      </c>
      <c r="EY16" s="494"/>
      <c r="EZ16" s="264"/>
      <c r="FA16" s="265"/>
      <c r="FB16" s="266"/>
      <c r="FC16" s="322">
        <f t="shared" si="20"/>
        <v>0</v>
      </c>
      <c r="FF16" s="425"/>
      <c r="FG16" s="15">
        <v>9</v>
      </c>
      <c r="FH16" s="279">
        <v>925.78</v>
      </c>
      <c r="FI16" s="328"/>
      <c r="FJ16" s="279"/>
      <c r="FK16" s="265"/>
      <c r="FL16" s="266"/>
      <c r="FM16" s="566">
        <f t="shared" si="21"/>
        <v>0</v>
      </c>
      <c r="FP16" s="106"/>
      <c r="FQ16" s="15">
        <v>9</v>
      </c>
      <c r="FR16" s="92">
        <v>913.98</v>
      </c>
      <c r="FS16" s="324"/>
      <c r="FT16" s="92"/>
      <c r="FU16" s="70"/>
      <c r="FV16" s="71"/>
      <c r="FW16" s="566">
        <f t="shared" si="22"/>
        <v>0</v>
      </c>
      <c r="FZ16" s="106"/>
      <c r="GA16" s="15">
        <v>9</v>
      </c>
      <c r="GB16" s="69">
        <v>938</v>
      </c>
      <c r="GC16" s="494"/>
      <c r="GD16" s="69"/>
      <c r="GE16" s="265"/>
      <c r="GF16" s="266"/>
      <c r="GG16" s="322">
        <f t="shared" si="23"/>
        <v>0</v>
      </c>
      <c r="GJ16" s="106"/>
      <c r="GK16" s="15">
        <v>9</v>
      </c>
      <c r="GL16" s="472">
        <v>917.2</v>
      </c>
      <c r="GM16" s="324"/>
      <c r="GN16" s="472"/>
      <c r="GO16" s="95"/>
      <c r="GP16" s="71"/>
      <c r="GQ16" s="566">
        <f t="shared" si="24"/>
        <v>0</v>
      </c>
      <c r="GT16" s="106"/>
      <c r="GU16" s="15">
        <v>9</v>
      </c>
      <c r="GV16" s="279">
        <v>914.89</v>
      </c>
      <c r="GW16" s="328"/>
      <c r="GX16" s="279"/>
      <c r="GY16" s="319"/>
      <c r="GZ16" s="266"/>
      <c r="HA16" s="566">
        <f t="shared" si="25"/>
        <v>0</v>
      </c>
      <c r="HD16" s="106"/>
      <c r="HE16" s="15">
        <v>9</v>
      </c>
      <c r="HF16" s="279">
        <v>867.3</v>
      </c>
      <c r="HG16" s="328"/>
      <c r="HH16" s="279"/>
      <c r="HI16" s="319"/>
      <c r="HJ16" s="266"/>
      <c r="HK16" s="566">
        <f t="shared" si="26"/>
        <v>0</v>
      </c>
      <c r="HN16" s="106"/>
      <c r="HO16" s="15">
        <v>9</v>
      </c>
      <c r="HP16" s="279">
        <v>893.6</v>
      </c>
      <c r="HQ16" s="328"/>
      <c r="HR16" s="279"/>
      <c r="HS16" s="383"/>
      <c r="HT16" s="266"/>
      <c r="HU16" s="566">
        <f t="shared" si="27"/>
        <v>0</v>
      </c>
      <c r="HX16" s="94"/>
      <c r="HY16" s="15">
        <v>9</v>
      </c>
      <c r="HZ16" s="69">
        <v>957.53</v>
      </c>
      <c r="IA16" s="336"/>
      <c r="IB16" s="69"/>
      <c r="IC16" s="70"/>
      <c r="ID16" s="71"/>
      <c r="IE16" s="566">
        <f t="shared" si="5"/>
        <v>0</v>
      </c>
      <c r="IH16" s="94"/>
      <c r="II16" s="15">
        <v>9</v>
      </c>
      <c r="IJ16" s="69">
        <v>946.19</v>
      </c>
      <c r="IK16" s="336"/>
      <c r="IL16" s="69"/>
      <c r="IM16" s="70"/>
      <c r="IN16" s="71"/>
      <c r="IO16" s="566">
        <f t="shared" si="28"/>
        <v>0</v>
      </c>
      <c r="IR16" s="106"/>
      <c r="IS16" s="15">
        <v>9</v>
      </c>
      <c r="IT16" s="279">
        <v>922.6</v>
      </c>
      <c r="IU16" s="245"/>
      <c r="IV16" s="279"/>
      <c r="IW16" s="500"/>
      <c r="IX16" s="266"/>
      <c r="IY16" s="322">
        <f t="shared" si="29"/>
        <v>0</v>
      </c>
      <c r="IZ16" s="92"/>
      <c r="JA16" s="69"/>
      <c r="JB16" s="106"/>
      <c r="JC16" s="15">
        <v>9</v>
      </c>
      <c r="JD16" s="92">
        <v>887.2</v>
      </c>
      <c r="JE16" s="336"/>
      <c r="JF16" s="92"/>
      <c r="JG16" s="265"/>
      <c r="JH16" s="71"/>
      <c r="JI16" s="566">
        <f t="shared" si="30"/>
        <v>0</v>
      </c>
      <c r="JJ16" s="69"/>
      <c r="JL16" s="106"/>
      <c r="JM16" s="15">
        <v>9</v>
      </c>
      <c r="JN16" s="92">
        <v>910.35</v>
      </c>
      <c r="JO16" s="324"/>
      <c r="JP16" s="92"/>
      <c r="JQ16" s="70"/>
      <c r="JR16" s="71"/>
      <c r="JS16" s="566">
        <f t="shared" si="31"/>
        <v>0</v>
      </c>
      <c r="JV16" s="106"/>
      <c r="JW16" s="15">
        <v>9</v>
      </c>
      <c r="JX16" s="69">
        <v>889</v>
      </c>
      <c r="JY16" s="336"/>
      <c r="JZ16" s="69"/>
      <c r="KA16" s="70"/>
      <c r="KB16" s="71"/>
      <c r="KC16" s="566">
        <f t="shared" si="32"/>
        <v>0</v>
      </c>
      <c r="KE16" s="242"/>
      <c r="KF16" s="922"/>
      <c r="KG16" s="15">
        <v>9</v>
      </c>
      <c r="KH16" s="69">
        <v>905.4</v>
      </c>
      <c r="KI16" s="336"/>
      <c r="KJ16" s="69"/>
      <c r="KK16" s="70"/>
      <c r="KL16" s="71"/>
      <c r="KM16" s="566">
        <f t="shared" si="33"/>
        <v>0</v>
      </c>
      <c r="KP16" s="106"/>
      <c r="KQ16" s="15">
        <v>9</v>
      </c>
      <c r="KR16" s="69">
        <v>835.97</v>
      </c>
      <c r="KS16" s="336"/>
      <c r="KT16" s="69"/>
      <c r="KU16" s="70"/>
      <c r="KV16" s="71"/>
      <c r="KW16" s="566">
        <f t="shared" si="34"/>
        <v>0</v>
      </c>
      <c r="KZ16" s="106"/>
      <c r="LA16" s="15">
        <v>9</v>
      </c>
      <c r="LB16" s="92">
        <v>899.9</v>
      </c>
      <c r="LC16" s="324"/>
      <c r="LD16" s="92"/>
      <c r="LE16" s="95"/>
      <c r="LF16" s="71"/>
      <c r="LG16" s="566">
        <f t="shared" si="35"/>
        <v>0</v>
      </c>
      <c r="LJ16" s="106"/>
      <c r="LK16" s="15">
        <v>9</v>
      </c>
      <c r="LL16" s="92">
        <v>925.32</v>
      </c>
      <c r="LM16" s="324"/>
      <c r="LN16" s="92"/>
      <c r="LO16" s="95"/>
      <c r="LP16" s="71"/>
      <c r="LQ16" s="566">
        <f t="shared" si="36"/>
        <v>0</v>
      </c>
      <c r="LT16" s="106"/>
      <c r="LU16" s="15">
        <v>9</v>
      </c>
      <c r="LV16" s="92"/>
      <c r="LW16" s="324"/>
      <c r="LX16" s="92"/>
      <c r="LY16" s="95"/>
      <c r="LZ16" s="71"/>
      <c r="MA16" s="566">
        <f t="shared" si="37"/>
        <v>0</v>
      </c>
      <c r="MB16" s="566"/>
      <c r="MD16" s="106"/>
      <c r="ME16" s="15">
        <v>9</v>
      </c>
      <c r="MF16" s="389"/>
      <c r="MG16" s="324"/>
      <c r="MH16" s="960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83349836</v>
      </c>
      <c r="E17" s="135">
        <f t="shared" si="55"/>
        <v>44726</v>
      </c>
      <c r="F17" s="86">
        <f t="shared" si="55"/>
        <v>19065.189999999999</v>
      </c>
      <c r="G17" s="73">
        <f t="shared" si="55"/>
        <v>21</v>
      </c>
      <c r="H17" s="48">
        <f t="shared" si="55"/>
        <v>19086.28</v>
      </c>
      <c r="I17" s="105">
        <f t="shared" si="55"/>
        <v>-21.090000000000146</v>
      </c>
      <c r="K17" s="242"/>
      <c r="L17" s="106"/>
      <c r="M17" s="15">
        <v>10</v>
      </c>
      <c r="N17" s="69">
        <v>937.57</v>
      </c>
      <c r="O17" s="336">
        <v>44712</v>
      </c>
      <c r="P17" s="69">
        <v>937.57</v>
      </c>
      <c r="Q17" s="70" t="s">
        <v>492</v>
      </c>
      <c r="R17" s="71">
        <v>48</v>
      </c>
      <c r="S17" s="566">
        <f t="shared" si="7"/>
        <v>45003.360000000001</v>
      </c>
      <c r="T17" s="242"/>
      <c r="V17" s="106"/>
      <c r="W17" s="15">
        <v>10</v>
      </c>
      <c r="X17" s="69">
        <v>910.8</v>
      </c>
      <c r="Y17" s="336">
        <v>44715</v>
      </c>
      <c r="Z17" s="69">
        <v>910.8</v>
      </c>
      <c r="AA17" s="70" t="s">
        <v>522</v>
      </c>
      <c r="AB17" s="71">
        <v>51</v>
      </c>
      <c r="AC17" s="566">
        <f t="shared" si="8"/>
        <v>46450.799999999996</v>
      </c>
      <c r="AF17" s="106"/>
      <c r="AG17" s="15">
        <v>10</v>
      </c>
      <c r="AH17" s="92">
        <v>967.05</v>
      </c>
      <c r="AI17" s="324">
        <v>44713</v>
      </c>
      <c r="AJ17" s="92">
        <v>967.05</v>
      </c>
      <c r="AK17" s="95" t="s">
        <v>502</v>
      </c>
      <c r="AL17" s="71">
        <v>49</v>
      </c>
      <c r="AM17" s="566">
        <f t="shared" si="9"/>
        <v>47385.45</v>
      </c>
      <c r="AP17" s="106"/>
      <c r="AQ17" s="15">
        <v>10</v>
      </c>
      <c r="AR17" s="92">
        <v>884.5</v>
      </c>
      <c r="AS17" s="324">
        <v>44714</v>
      </c>
      <c r="AT17" s="92">
        <v>884.5</v>
      </c>
      <c r="AU17" s="95" t="s">
        <v>509</v>
      </c>
      <c r="AV17" s="71">
        <v>49</v>
      </c>
      <c r="AW17" s="566">
        <f t="shared" si="10"/>
        <v>43340.5</v>
      </c>
      <c r="AZ17" s="106"/>
      <c r="BA17" s="15">
        <v>10</v>
      </c>
      <c r="BB17" s="92">
        <v>911.7</v>
      </c>
      <c r="BC17" s="324">
        <v>44715</v>
      </c>
      <c r="BD17" s="92">
        <v>911.7</v>
      </c>
      <c r="BE17" s="95" t="s">
        <v>528</v>
      </c>
      <c r="BF17" s="71">
        <v>51</v>
      </c>
      <c r="BG17" s="566">
        <f t="shared" si="11"/>
        <v>46496.700000000004</v>
      </c>
      <c r="BJ17" s="106"/>
      <c r="BK17" s="15">
        <v>10</v>
      </c>
      <c r="BL17" s="279">
        <v>902.6</v>
      </c>
      <c r="BM17" s="245">
        <v>44719</v>
      </c>
      <c r="BN17" s="279">
        <v>902.6</v>
      </c>
      <c r="BO17" s="319" t="s">
        <v>550</v>
      </c>
      <c r="BP17" s="801">
        <v>51</v>
      </c>
      <c r="BQ17" s="729">
        <f t="shared" si="12"/>
        <v>46032.6</v>
      </c>
      <c r="BT17" s="106"/>
      <c r="BU17" s="263">
        <v>10</v>
      </c>
      <c r="BV17" s="264">
        <v>925.3</v>
      </c>
      <c r="BW17" s="378"/>
      <c r="BX17" s="279"/>
      <c r="BY17" s="379"/>
      <c r="BZ17" s="380"/>
      <c r="CA17" s="566">
        <f t="shared" si="13"/>
        <v>0</v>
      </c>
      <c r="CD17" s="752"/>
      <c r="CE17" s="15">
        <v>10</v>
      </c>
      <c r="CF17" s="279">
        <v>929.9</v>
      </c>
      <c r="CG17" s="963"/>
      <c r="CH17" s="279"/>
      <c r="CI17" s="802"/>
      <c r="CJ17" s="684"/>
      <c r="CK17" s="566">
        <f t="shared" si="14"/>
        <v>0</v>
      </c>
      <c r="CN17" s="94"/>
      <c r="CO17" s="15">
        <v>10</v>
      </c>
      <c r="CP17" s="92">
        <v>881.8</v>
      </c>
      <c r="CQ17" s="378"/>
      <c r="CR17" s="92"/>
      <c r="CS17" s="381"/>
      <c r="CT17" s="380"/>
      <c r="CU17" s="572">
        <f t="shared" si="48"/>
        <v>0</v>
      </c>
      <c r="CX17" s="106"/>
      <c r="CY17" s="15">
        <v>10</v>
      </c>
      <c r="CZ17" s="92">
        <v>937.57</v>
      </c>
      <c r="DA17" s="324"/>
      <c r="DB17" s="92"/>
      <c r="DC17" s="95"/>
      <c r="DD17" s="71"/>
      <c r="DE17" s="566">
        <f t="shared" si="15"/>
        <v>0</v>
      </c>
      <c r="DH17" s="106"/>
      <c r="DI17" s="15">
        <v>10</v>
      </c>
      <c r="DJ17" s="264">
        <v>919.9</v>
      </c>
      <c r="DK17" s="378"/>
      <c r="DL17" s="92"/>
      <c r="DM17" s="381"/>
      <c r="DN17" s="380"/>
      <c r="DO17" s="572">
        <f t="shared" si="16"/>
        <v>0</v>
      </c>
      <c r="DR17" s="106"/>
      <c r="DS17" s="15">
        <v>10</v>
      </c>
      <c r="DT17" s="69">
        <v>968.41</v>
      </c>
      <c r="DU17" s="378"/>
      <c r="DV17" s="69"/>
      <c r="DW17" s="381"/>
      <c r="DX17" s="380"/>
      <c r="DY17" s="566">
        <f t="shared" si="17"/>
        <v>0</v>
      </c>
      <c r="EB17" s="106"/>
      <c r="EC17" s="15">
        <v>10</v>
      </c>
      <c r="ED17" s="69">
        <v>880.9</v>
      </c>
      <c r="EE17" s="336"/>
      <c r="EF17" s="69"/>
      <c r="EG17" s="70"/>
      <c r="EH17" s="71"/>
      <c r="EI17" s="566">
        <f t="shared" si="18"/>
        <v>0</v>
      </c>
      <c r="EL17" s="106"/>
      <c r="EM17" s="15">
        <v>10</v>
      </c>
      <c r="EN17" s="279">
        <v>910.8</v>
      </c>
      <c r="EO17" s="328"/>
      <c r="EP17" s="279"/>
      <c r="EQ17" s="265"/>
      <c r="ER17" s="266"/>
      <c r="ES17" s="566">
        <f t="shared" si="19"/>
        <v>0</v>
      </c>
      <c r="EV17" s="106"/>
      <c r="EW17" s="15">
        <v>10</v>
      </c>
      <c r="EX17" s="264">
        <v>872.7</v>
      </c>
      <c r="EY17" s="494"/>
      <c r="EZ17" s="264"/>
      <c r="FA17" s="265"/>
      <c r="FB17" s="266"/>
      <c r="FC17" s="322">
        <f t="shared" si="20"/>
        <v>0</v>
      </c>
      <c r="FF17" s="106"/>
      <c r="FG17" s="15">
        <v>10</v>
      </c>
      <c r="FH17" s="279">
        <v>935.3</v>
      </c>
      <c r="FI17" s="328"/>
      <c r="FJ17" s="279"/>
      <c r="FK17" s="265"/>
      <c r="FL17" s="266"/>
      <c r="FM17" s="566">
        <f t="shared" si="21"/>
        <v>0</v>
      </c>
      <c r="FP17" s="106"/>
      <c r="FQ17" s="15">
        <v>10</v>
      </c>
      <c r="FR17" s="92">
        <v>865.45</v>
      </c>
      <c r="FS17" s="324"/>
      <c r="FT17" s="92"/>
      <c r="FU17" s="70"/>
      <c r="FV17" s="71"/>
      <c r="FW17" s="566">
        <f t="shared" si="22"/>
        <v>0</v>
      </c>
      <c r="FZ17" s="106"/>
      <c r="GA17" s="15">
        <v>10</v>
      </c>
      <c r="GB17" s="69">
        <v>889</v>
      </c>
      <c r="GC17" s="494"/>
      <c r="GD17" s="69"/>
      <c r="GE17" s="265"/>
      <c r="GF17" s="266"/>
      <c r="GG17" s="322">
        <f t="shared" si="23"/>
        <v>0</v>
      </c>
      <c r="GJ17" s="106"/>
      <c r="GK17" s="15">
        <v>10</v>
      </c>
      <c r="GL17" s="472">
        <v>889.9</v>
      </c>
      <c r="GM17" s="324"/>
      <c r="GN17" s="472"/>
      <c r="GO17" s="95"/>
      <c r="GP17" s="71"/>
      <c r="GQ17" s="566">
        <f t="shared" si="24"/>
        <v>0</v>
      </c>
      <c r="GT17" s="106"/>
      <c r="GU17" s="15">
        <v>10</v>
      </c>
      <c r="GV17" s="279">
        <v>933.03</v>
      </c>
      <c r="GW17" s="328"/>
      <c r="GX17" s="279"/>
      <c r="GY17" s="319"/>
      <c r="GZ17" s="266"/>
      <c r="HA17" s="566">
        <f t="shared" si="25"/>
        <v>0</v>
      </c>
      <c r="HD17" s="106"/>
      <c r="HE17" s="15">
        <v>10</v>
      </c>
      <c r="HF17" s="279">
        <v>895.4</v>
      </c>
      <c r="HG17" s="328"/>
      <c r="HH17" s="279"/>
      <c r="HI17" s="319"/>
      <c r="HJ17" s="266"/>
      <c r="HK17" s="566">
        <f t="shared" si="26"/>
        <v>0</v>
      </c>
      <c r="HN17" s="106"/>
      <c r="HO17" s="15">
        <v>10</v>
      </c>
      <c r="HP17" s="279">
        <v>922.6</v>
      </c>
      <c r="HQ17" s="328"/>
      <c r="HR17" s="279"/>
      <c r="HS17" s="383"/>
      <c r="HT17" s="266"/>
      <c r="HU17" s="566">
        <f t="shared" si="27"/>
        <v>0</v>
      </c>
      <c r="HX17" s="94"/>
      <c r="HY17" s="15">
        <v>10</v>
      </c>
      <c r="HZ17" s="69">
        <v>952.09</v>
      </c>
      <c r="IA17" s="336"/>
      <c r="IB17" s="69"/>
      <c r="IC17" s="70"/>
      <c r="ID17" s="71"/>
      <c r="IE17" s="566">
        <f t="shared" si="5"/>
        <v>0</v>
      </c>
      <c r="IH17" s="94"/>
      <c r="II17" s="15">
        <v>10</v>
      </c>
      <c r="IJ17" s="69">
        <v>963.88</v>
      </c>
      <c r="IK17" s="336"/>
      <c r="IL17" s="69"/>
      <c r="IM17" s="70"/>
      <c r="IN17" s="71"/>
      <c r="IO17" s="566">
        <f t="shared" si="28"/>
        <v>0</v>
      </c>
      <c r="IR17" s="106"/>
      <c r="IS17" s="15">
        <v>10</v>
      </c>
      <c r="IT17" s="279">
        <v>916.3</v>
      </c>
      <c r="IU17" s="245"/>
      <c r="IV17" s="279"/>
      <c r="IW17" s="500"/>
      <c r="IX17" s="266"/>
      <c r="IY17" s="322">
        <f t="shared" si="29"/>
        <v>0</v>
      </c>
      <c r="IZ17" s="92"/>
      <c r="JA17" s="69"/>
      <c r="JB17" s="106"/>
      <c r="JC17" s="15">
        <v>10</v>
      </c>
      <c r="JD17" s="92">
        <v>897.2</v>
      </c>
      <c r="JE17" s="336"/>
      <c r="JF17" s="92"/>
      <c r="JG17" s="265"/>
      <c r="JH17" s="71"/>
      <c r="JI17" s="566">
        <f t="shared" si="30"/>
        <v>0</v>
      </c>
      <c r="JJ17" s="69"/>
      <c r="JL17" s="106"/>
      <c r="JM17" s="15">
        <v>10</v>
      </c>
      <c r="JN17" s="92">
        <v>967.05</v>
      </c>
      <c r="JO17" s="324"/>
      <c r="JP17" s="92"/>
      <c r="JQ17" s="70"/>
      <c r="JR17" s="71"/>
      <c r="JS17" s="566">
        <f t="shared" si="31"/>
        <v>0</v>
      </c>
      <c r="JV17" s="106"/>
      <c r="JW17" s="15">
        <v>10</v>
      </c>
      <c r="JX17" s="69">
        <v>896.3</v>
      </c>
      <c r="JY17" s="336"/>
      <c r="JZ17" s="69"/>
      <c r="KA17" s="70"/>
      <c r="KB17" s="71"/>
      <c r="KC17" s="566">
        <f t="shared" si="32"/>
        <v>0</v>
      </c>
      <c r="KE17" s="242"/>
      <c r="KF17" s="922"/>
      <c r="KG17" s="15">
        <v>10</v>
      </c>
      <c r="KH17" s="69">
        <v>922.6</v>
      </c>
      <c r="KI17" s="336"/>
      <c r="KJ17" s="69"/>
      <c r="KK17" s="70"/>
      <c r="KL17" s="71"/>
      <c r="KM17" s="566">
        <f t="shared" si="33"/>
        <v>0</v>
      </c>
      <c r="KP17" s="106"/>
      <c r="KQ17" s="15">
        <v>10</v>
      </c>
      <c r="KR17" s="69">
        <v>891.3</v>
      </c>
      <c r="KS17" s="336"/>
      <c r="KT17" s="69"/>
      <c r="KU17" s="70"/>
      <c r="KV17" s="71"/>
      <c r="KW17" s="566">
        <f t="shared" si="34"/>
        <v>0</v>
      </c>
      <c r="KZ17" s="106"/>
      <c r="LA17" s="15">
        <v>10</v>
      </c>
      <c r="LB17" s="92">
        <v>905.4</v>
      </c>
      <c r="LC17" s="324"/>
      <c r="LD17" s="92"/>
      <c r="LE17" s="95"/>
      <c r="LF17" s="71"/>
      <c r="LG17" s="566">
        <f t="shared" si="35"/>
        <v>0</v>
      </c>
      <c r="LJ17" s="106"/>
      <c r="LK17" s="15">
        <v>10</v>
      </c>
      <c r="LL17" s="92">
        <v>948</v>
      </c>
      <c r="LM17" s="324"/>
      <c r="LN17" s="92"/>
      <c r="LO17" s="95"/>
      <c r="LP17" s="71"/>
      <c r="LQ17" s="566">
        <f t="shared" si="36"/>
        <v>0</v>
      </c>
      <c r="LT17" s="106"/>
      <c r="LU17" s="15">
        <v>10</v>
      </c>
      <c r="LV17" s="69"/>
      <c r="LW17" s="324"/>
      <c r="LX17" s="69"/>
      <c r="LY17" s="95"/>
      <c r="LZ17" s="71"/>
      <c r="MA17" s="566">
        <f t="shared" si="37"/>
        <v>0</v>
      </c>
      <c r="MB17" s="566"/>
      <c r="MD17" s="106"/>
      <c r="ME17" s="15">
        <v>10</v>
      </c>
      <c r="MF17" s="389"/>
      <c r="MG17" s="324"/>
      <c r="MH17" s="960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83349835</v>
      </c>
      <c r="E18" s="135">
        <f t="shared" si="56"/>
        <v>44726</v>
      </c>
      <c r="F18" s="86">
        <f t="shared" si="56"/>
        <v>18791.89</v>
      </c>
      <c r="G18" s="73">
        <f t="shared" si="56"/>
        <v>21</v>
      </c>
      <c r="H18" s="48">
        <f t="shared" si="56"/>
        <v>18832.099999999999</v>
      </c>
      <c r="I18" s="105">
        <f t="shared" si="56"/>
        <v>-40.209999999999127</v>
      </c>
      <c r="K18" s="242"/>
      <c r="L18" s="106"/>
      <c r="M18" s="15">
        <v>11</v>
      </c>
      <c r="N18" s="69">
        <v>928.95</v>
      </c>
      <c r="O18" s="336">
        <v>44712</v>
      </c>
      <c r="P18" s="69">
        <v>928.95</v>
      </c>
      <c r="Q18" s="70" t="s">
        <v>492</v>
      </c>
      <c r="R18" s="71">
        <v>48</v>
      </c>
      <c r="S18" s="566">
        <f t="shared" si="7"/>
        <v>44589.600000000006</v>
      </c>
      <c r="T18" s="242"/>
      <c r="V18" s="106"/>
      <c r="W18" s="15">
        <v>11</v>
      </c>
      <c r="X18" s="69">
        <v>939.8</v>
      </c>
      <c r="Y18" s="336">
        <v>44715</v>
      </c>
      <c r="Z18" s="69">
        <v>939.8</v>
      </c>
      <c r="AA18" s="70" t="s">
        <v>522</v>
      </c>
      <c r="AB18" s="71">
        <v>51</v>
      </c>
      <c r="AC18" s="566">
        <f t="shared" si="8"/>
        <v>47929.799999999996</v>
      </c>
      <c r="AF18" s="106"/>
      <c r="AG18" s="15">
        <v>11</v>
      </c>
      <c r="AH18" s="92">
        <v>948.46</v>
      </c>
      <c r="AI18" s="324">
        <v>44713</v>
      </c>
      <c r="AJ18" s="92">
        <v>948.46</v>
      </c>
      <c r="AK18" s="95" t="s">
        <v>503</v>
      </c>
      <c r="AL18" s="71">
        <v>49</v>
      </c>
      <c r="AM18" s="566">
        <f t="shared" si="9"/>
        <v>46474.54</v>
      </c>
      <c r="AP18" s="106"/>
      <c r="AQ18" s="15">
        <v>11</v>
      </c>
      <c r="AR18" s="279">
        <v>902.6</v>
      </c>
      <c r="AS18" s="324">
        <v>44714</v>
      </c>
      <c r="AT18" s="279">
        <v>902.6</v>
      </c>
      <c r="AU18" s="95" t="s">
        <v>509</v>
      </c>
      <c r="AV18" s="71">
        <v>49</v>
      </c>
      <c r="AW18" s="566">
        <f t="shared" si="10"/>
        <v>44227.4</v>
      </c>
      <c r="AZ18" s="106"/>
      <c r="BA18" s="15">
        <v>11</v>
      </c>
      <c r="BB18" s="279">
        <v>877.2</v>
      </c>
      <c r="BC18" s="324">
        <v>44715</v>
      </c>
      <c r="BD18" s="92">
        <v>877.2</v>
      </c>
      <c r="BE18" s="95" t="s">
        <v>528</v>
      </c>
      <c r="BF18" s="71">
        <v>51</v>
      </c>
      <c r="BG18" s="566">
        <f t="shared" si="11"/>
        <v>44737.200000000004</v>
      </c>
      <c r="BJ18" s="106"/>
      <c r="BK18" s="15">
        <v>11</v>
      </c>
      <c r="BL18" s="279">
        <v>900.8</v>
      </c>
      <c r="BM18" s="245">
        <v>44719</v>
      </c>
      <c r="BN18" s="279">
        <v>900.8</v>
      </c>
      <c r="BO18" s="319" t="s">
        <v>551</v>
      </c>
      <c r="BP18" s="801">
        <v>51</v>
      </c>
      <c r="BQ18" s="729">
        <f t="shared" si="12"/>
        <v>45940.799999999996</v>
      </c>
      <c r="BT18" s="106"/>
      <c r="BU18" s="263">
        <v>11</v>
      </c>
      <c r="BV18" s="279">
        <v>929.9</v>
      </c>
      <c r="BW18" s="378"/>
      <c r="BX18" s="279"/>
      <c r="BY18" s="379"/>
      <c r="BZ18" s="380"/>
      <c r="CA18" s="566">
        <f t="shared" si="13"/>
        <v>0</v>
      </c>
      <c r="CD18" s="752"/>
      <c r="CE18" s="15">
        <v>11</v>
      </c>
      <c r="CF18" s="264">
        <v>914.4</v>
      </c>
      <c r="CG18" s="963"/>
      <c r="CH18" s="279"/>
      <c r="CI18" s="802"/>
      <c r="CJ18" s="684"/>
      <c r="CK18" s="566">
        <f t="shared" si="14"/>
        <v>0</v>
      </c>
      <c r="CN18" s="94"/>
      <c r="CO18" s="15">
        <v>11</v>
      </c>
      <c r="CP18" s="69">
        <v>881.8</v>
      </c>
      <c r="CQ18" s="378"/>
      <c r="CR18" s="69"/>
      <c r="CS18" s="381"/>
      <c r="CT18" s="380"/>
      <c r="CU18" s="572">
        <f t="shared" si="48"/>
        <v>0</v>
      </c>
      <c r="CX18" s="106"/>
      <c r="CY18" s="15">
        <v>11</v>
      </c>
      <c r="CZ18" s="92">
        <v>941.65</v>
      </c>
      <c r="DA18" s="324"/>
      <c r="DB18" s="92"/>
      <c r="DC18" s="95"/>
      <c r="DD18" s="71"/>
      <c r="DE18" s="566">
        <f t="shared" si="15"/>
        <v>0</v>
      </c>
      <c r="DH18" s="106"/>
      <c r="DI18" s="15">
        <v>11</v>
      </c>
      <c r="DJ18" s="279">
        <v>864.5</v>
      </c>
      <c r="DK18" s="378"/>
      <c r="DL18" s="92"/>
      <c r="DM18" s="381"/>
      <c r="DN18" s="380"/>
      <c r="DO18" s="572">
        <f t="shared" si="16"/>
        <v>0</v>
      </c>
      <c r="DR18" s="106"/>
      <c r="DS18" s="15">
        <v>11</v>
      </c>
      <c r="DT18" s="92">
        <v>968.41</v>
      </c>
      <c r="DU18" s="378"/>
      <c r="DV18" s="92"/>
      <c r="DW18" s="381"/>
      <c r="DX18" s="380"/>
      <c r="DY18" s="566">
        <f t="shared" si="17"/>
        <v>0</v>
      </c>
      <c r="EB18" s="106"/>
      <c r="EC18" s="15">
        <v>11</v>
      </c>
      <c r="ED18" s="69">
        <v>918</v>
      </c>
      <c r="EE18" s="336"/>
      <c r="EF18" s="69"/>
      <c r="EG18" s="70"/>
      <c r="EH18" s="71"/>
      <c r="EI18" s="566">
        <f t="shared" si="18"/>
        <v>0</v>
      </c>
      <c r="EL18" s="106"/>
      <c r="EM18" s="15">
        <v>11</v>
      </c>
      <c r="EN18" s="279">
        <v>928</v>
      </c>
      <c r="EO18" s="328"/>
      <c r="EP18" s="279"/>
      <c r="EQ18" s="265"/>
      <c r="ER18" s="266"/>
      <c r="ES18" s="566">
        <f t="shared" si="19"/>
        <v>0</v>
      </c>
      <c r="EV18" s="106"/>
      <c r="EW18" s="15">
        <v>11</v>
      </c>
      <c r="EX18" s="264">
        <v>900.8</v>
      </c>
      <c r="EY18" s="494"/>
      <c r="EZ18" s="264"/>
      <c r="FA18" s="265"/>
      <c r="FB18" s="266"/>
      <c r="FC18" s="322">
        <f t="shared" si="20"/>
        <v>0</v>
      </c>
      <c r="FF18" s="106"/>
      <c r="FG18" s="15">
        <v>11</v>
      </c>
      <c r="FH18" s="279">
        <v>882.23</v>
      </c>
      <c r="FI18" s="328"/>
      <c r="FJ18" s="279"/>
      <c r="FK18" s="265"/>
      <c r="FL18" s="266"/>
      <c r="FM18" s="566">
        <f t="shared" si="21"/>
        <v>0</v>
      </c>
      <c r="FP18" s="106"/>
      <c r="FQ18" s="15">
        <v>11</v>
      </c>
      <c r="FR18" s="92">
        <v>903.1</v>
      </c>
      <c r="FS18" s="324"/>
      <c r="FT18" s="92"/>
      <c r="FU18" s="70"/>
      <c r="FV18" s="71"/>
      <c r="FW18" s="566">
        <f t="shared" si="22"/>
        <v>0</v>
      </c>
      <c r="FX18" s="71"/>
      <c r="FZ18" s="106"/>
      <c r="GA18" s="15">
        <v>11</v>
      </c>
      <c r="GB18" s="69">
        <v>910.8</v>
      </c>
      <c r="GC18" s="494"/>
      <c r="GD18" s="69"/>
      <c r="GE18" s="265"/>
      <c r="GF18" s="266"/>
      <c r="GG18" s="322">
        <f t="shared" si="23"/>
        <v>0</v>
      </c>
      <c r="GH18" s="71"/>
      <c r="GJ18" s="106"/>
      <c r="GK18" s="15">
        <v>11</v>
      </c>
      <c r="GL18" s="472">
        <v>899.9</v>
      </c>
      <c r="GM18" s="324"/>
      <c r="GN18" s="472"/>
      <c r="GO18" s="95"/>
      <c r="GP18" s="71"/>
      <c r="GQ18" s="566">
        <f t="shared" si="24"/>
        <v>0</v>
      </c>
      <c r="GT18" s="106"/>
      <c r="GU18" s="15">
        <v>11</v>
      </c>
      <c r="GV18" s="279">
        <v>969.32</v>
      </c>
      <c r="GW18" s="328"/>
      <c r="GX18" s="279"/>
      <c r="GY18" s="319"/>
      <c r="GZ18" s="266"/>
      <c r="HA18" s="566">
        <f t="shared" si="25"/>
        <v>0</v>
      </c>
      <c r="HD18" s="106"/>
      <c r="HE18" s="15">
        <v>11</v>
      </c>
      <c r="HF18" s="279">
        <v>890.9</v>
      </c>
      <c r="HG18" s="328"/>
      <c r="HH18" s="279"/>
      <c r="HI18" s="319"/>
      <c r="HJ18" s="266"/>
      <c r="HK18" s="566">
        <f t="shared" si="26"/>
        <v>0</v>
      </c>
      <c r="HN18" s="106"/>
      <c r="HO18" s="15">
        <v>11</v>
      </c>
      <c r="HP18" s="279">
        <v>909</v>
      </c>
      <c r="HQ18" s="328"/>
      <c r="HR18" s="279"/>
      <c r="HS18" s="383"/>
      <c r="HT18" s="266"/>
      <c r="HU18" s="566">
        <f t="shared" si="27"/>
        <v>0</v>
      </c>
      <c r="HX18" s="94"/>
      <c r="HY18" s="15">
        <v>11</v>
      </c>
      <c r="HZ18" s="69">
        <v>953</v>
      </c>
      <c r="IA18" s="336"/>
      <c r="IB18" s="69"/>
      <c r="IC18" s="70"/>
      <c r="ID18" s="71"/>
      <c r="IE18" s="566">
        <f t="shared" si="5"/>
        <v>0</v>
      </c>
      <c r="IH18" s="94"/>
      <c r="II18" s="15">
        <v>11</v>
      </c>
      <c r="IJ18" s="69">
        <v>937.57</v>
      </c>
      <c r="IK18" s="336"/>
      <c r="IL18" s="69"/>
      <c r="IM18" s="70"/>
      <c r="IN18" s="71"/>
      <c r="IO18" s="566">
        <f t="shared" si="28"/>
        <v>0</v>
      </c>
      <c r="IR18" s="106"/>
      <c r="IS18" s="15">
        <v>11</v>
      </c>
      <c r="IT18" s="279">
        <v>881.8</v>
      </c>
      <c r="IU18" s="245"/>
      <c r="IV18" s="279"/>
      <c r="IW18" s="500"/>
      <c r="IX18" s="266"/>
      <c r="IY18" s="322">
        <f t="shared" si="29"/>
        <v>0</v>
      </c>
      <c r="IZ18" s="92"/>
      <c r="JA18" s="69"/>
      <c r="JB18" s="106"/>
      <c r="JC18" s="15">
        <v>11</v>
      </c>
      <c r="JD18" s="92">
        <v>897.2</v>
      </c>
      <c r="JE18" s="336"/>
      <c r="JF18" s="92"/>
      <c r="JG18" s="265"/>
      <c r="JH18" s="71"/>
      <c r="JI18" s="566">
        <f t="shared" si="30"/>
        <v>0</v>
      </c>
      <c r="JJ18" s="105"/>
      <c r="JL18" s="106"/>
      <c r="JM18" s="15">
        <v>11</v>
      </c>
      <c r="JN18" s="92">
        <v>952.9</v>
      </c>
      <c r="JO18" s="324"/>
      <c r="JP18" s="92"/>
      <c r="JQ18" s="70"/>
      <c r="JR18" s="71"/>
      <c r="JS18" s="566">
        <f t="shared" si="31"/>
        <v>0</v>
      </c>
      <c r="JV18" s="106"/>
      <c r="JW18" s="15">
        <v>11</v>
      </c>
      <c r="JX18" s="69">
        <v>908.1</v>
      </c>
      <c r="JY18" s="336"/>
      <c r="JZ18" s="69"/>
      <c r="KA18" s="70"/>
      <c r="KB18" s="71"/>
      <c r="KC18" s="566">
        <f t="shared" si="32"/>
        <v>0</v>
      </c>
      <c r="KE18" s="242"/>
      <c r="KF18" s="922"/>
      <c r="KG18" s="15">
        <v>11</v>
      </c>
      <c r="KH18" s="69">
        <v>909.9</v>
      </c>
      <c r="KI18" s="336"/>
      <c r="KJ18" s="69"/>
      <c r="KK18" s="70"/>
      <c r="KL18" s="71"/>
      <c r="KM18" s="566">
        <f t="shared" si="33"/>
        <v>0</v>
      </c>
      <c r="KP18" s="106"/>
      <c r="KQ18" s="15">
        <v>11</v>
      </c>
      <c r="KR18" s="69">
        <v>842.32</v>
      </c>
      <c r="KS18" s="336"/>
      <c r="KT18" s="69"/>
      <c r="KU18" s="70"/>
      <c r="KV18" s="71"/>
      <c r="KW18" s="566">
        <f t="shared" si="34"/>
        <v>0</v>
      </c>
      <c r="KZ18" s="106"/>
      <c r="LA18" s="15">
        <v>11</v>
      </c>
      <c r="LB18" s="92">
        <v>898.1</v>
      </c>
      <c r="LC18" s="324"/>
      <c r="LD18" s="92"/>
      <c r="LE18" s="95"/>
      <c r="LF18" s="71"/>
      <c r="LG18" s="566">
        <f t="shared" si="35"/>
        <v>0</v>
      </c>
      <c r="LJ18" s="106"/>
      <c r="LK18" s="15">
        <v>11</v>
      </c>
      <c r="LL18" s="279">
        <v>971.14</v>
      </c>
      <c r="LM18" s="324"/>
      <c r="LN18" s="279"/>
      <c r="LO18" s="95"/>
      <c r="LP18" s="71"/>
      <c r="LQ18" s="566">
        <f t="shared" si="36"/>
        <v>0</v>
      </c>
      <c r="LT18" s="106"/>
      <c r="LU18" s="15">
        <v>11</v>
      </c>
      <c r="LV18" s="92"/>
      <c r="LW18" s="324"/>
      <c r="LX18" s="92"/>
      <c r="LY18" s="95"/>
      <c r="LZ18" s="71"/>
      <c r="MA18" s="566">
        <f t="shared" si="37"/>
        <v>0</v>
      </c>
      <c r="MB18" s="566"/>
      <c r="MD18" s="106"/>
      <c r="ME18" s="15">
        <v>11</v>
      </c>
      <c r="MF18" s="389"/>
      <c r="MG18" s="324"/>
      <c r="MH18" s="960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 83404869</v>
      </c>
      <c r="E19" s="135">
        <f t="shared" si="57"/>
        <v>44727</v>
      </c>
      <c r="F19" s="86">
        <f t="shared" si="57"/>
        <v>18491.36</v>
      </c>
      <c r="G19" s="73">
        <f t="shared" si="57"/>
        <v>20</v>
      </c>
      <c r="H19" s="48">
        <f t="shared" si="57"/>
        <v>18631.66</v>
      </c>
      <c r="I19" s="105">
        <f t="shared" si="57"/>
        <v>-140.29999999999927</v>
      </c>
      <c r="K19" s="242"/>
      <c r="L19" s="94"/>
      <c r="M19" s="15">
        <v>12</v>
      </c>
      <c r="N19" s="69">
        <v>945.74</v>
      </c>
      <c r="O19" s="336">
        <v>44712</v>
      </c>
      <c r="P19" s="69">
        <v>945.74</v>
      </c>
      <c r="Q19" s="70" t="s">
        <v>492</v>
      </c>
      <c r="R19" s="71">
        <v>48</v>
      </c>
      <c r="S19" s="566">
        <f t="shared" si="7"/>
        <v>45395.520000000004</v>
      </c>
      <c r="T19" s="242"/>
      <c r="V19" s="94"/>
      <c r="W19" s="15">
        <v>12</v>
      </c>
      <c r="X19" s="69">
        <v>917.2</v>
      </c>
      <c r="Y19" s="336">
        <v>44715</v>
      </c>
      <c r="Z19" s="69">
        <v>917.2</v>
      </c>
      <c r="AA19" s="70" t="s">
        <v>521</v>
      </c>
      <c r="AB19" s="71">
        <v>51</v>
      </c>
      <c r="AC19" s="566">
        <f t="shared" si="8"/>
        <v>46777.200000000004</v>
      </c>
      <c r="AF19" s="106"/>
      <c r="AG19" s="15">
        <v>12</v>
      </c>
      <c r="AH19" s="69">
        <v>924.87</v>
      </c>
      <c r="AI19" s="324">
        <v>44713</v>
      </c>
      <c r="AJ19" s="69">
        <v>924.87</v>
      </c>
      <c r="AK19" s="95" t="s">
        <v>503</v>
      </c>
      <c r="AL19" s="71">
        <v>49</v>
      </c>
      <c r="AM19" s="566">
        <f t="shared" si="9"/>
        <v>45318.63</v>
      </c>
      <c r="AP19" s="106"/>
      <c r="AQ19" s="15">
        <v>12</v>
      </c>
      <c r="AR19" s="279">
        <v>916.3</v>
      </c>
      <c r="AS19" s="324">
        <v>44714</v>
      </c>
      <c r="AT19" s="279">
        <v>916.3</v>
      </c>
      <c r="AU19" s="95" t="s">
        <v>509</v>
      </c>
      <c r="AV19" s="71">
        <v>49</v>
      </c>
      <c r="AW19" s="566">
        <f t="shared" si="10"/>
        <v>44898.7</v>
      </c>
      <c r="AZ19" s="106"/>
      <c r="BA19" s="15">
        <v>12</v>
      </c>
      <c r="BB19" s="279">
        <v>933.5</v>
      </c>
      <c r="BC19" s="324">
        <v>44715</v>
      </c>
      <c r="BD19" s="92">
        <v>933.5</v>
      </c>
      <c r="BE19" s="95" t="s">
        <v>528</v>
      </c>
      <c r="BF19" s="71">
        <v>51</v>
      </c>
      <c r="BG19" s="566">
        <f t="shared" si="11"/>
        <v>47608.5</v>
      </c>
      <c r="BJ19" s="106"/>
      <c r="BK19" s="15">
        <v>12</v>
      </c>
      <c r="BL19" s="279">
        <v>920.8</v>
      </c>
      <c r="BM19" s="245">
        <v>44719</v>
      </c>
      <c r="BN19" s="279">
        <v>920.8</v>
      </c>
      <c r="BO19" s="319" t="s">
        <v>551</v>
      </c>
      <c r="BP19" s="801">
        <v>51</v>
      </c>
      <c r="BQ19" s="729">
        <f t="shared" si="12"/>
        <v>46960.799999999996</v>
      </c>
      <c r="BT19" s="106"/>
      <c r="BU19" s="263">
        <v>12</v>
      </c>
      <c r="BV19" s="279">
        <v>875.4</v>
      </c>
      <c r="BW19" s="378"/>
      <c r="BX19" s="279"/>
      <c r="BY19" s="379"/>
      <c r="BZ19" s="380"/>
      <c r="CA19" s="566">
        <f t="shared" si="13"/>
        <v>0</v>
      </c>
      <c r="CD19" s="752"/>
      <c r="CE19" s="15">
        <v>12</v>
      </c>
      <c r="CF19" s="279">
        <v>911.7</v>
      </c>
      <c r="CG19" s="963"/>
      <c r="CH19" s="279"/>
      <c r="CI19" s="802"/>
      <c r="CJ19" s="684"/>
      <c r="CK19" s="322">
        <f t="shared" si="14"/>
        <v>0</v>
      </c>
      <c r="CN19" s="598"/>
      <c r="CO19" s="15">
        <v>12</v>
      </c>
      <c r="CP19" s="92">
        <v>925.3</v>
      </c>
      <c r="CQ19" s="378"/>
      <c r="CR19" s="92"/>
      <c r="CS19" s="381"/>
      <c r="CT19" s="380"/>
      <c r="CU19" s="572">
        <f t="shared" si="48"/>
        <v>0</v>
      </c>
      <c r="CX19" s="106"/>
      <c r="CY19" s="15">
        <v>12</v>
      </c>
      <c r="CZ19" s="92">
        <v>958.44</v>
      </c>
      <c r="DA19" s="324"/>
      <c r="DB19" s="92"/>
      <c r="DC19" s="95"/>
      <c r="DD19" s="71"/>
      <c r="DE19" s="566">
        <f t="shared" si="15"/>
        <v>0</v>
      </c>
      <c r="DH19" s="106"/>
      <c r="DI19" s="15">
        <v>12</v>
      </c>
      <c r="DJ19" s="279">
        <v>934.4</v>
      </c>
      <c r="DK19" s="378"/>
      <c r="DL19" s="92"/>
      <c r="DM19" s="381"/>
      <c r="DN19" s="380"/>
      <c r="DO19" s="572">
        <f t="shared" si="16"/>
        <v>0</v>
      </c>
      <c r="DR19" s="106"/>
      <c r="DS19" s="15">
        <v>12</v>
      </c>
      <c r="DT19" s="92">
        <v>922.15</v>
      </c>
      <c r="DU19" s="378"/>
      <c r="DV19" s="92"/>
      <c r="DW19" s="381"/>
      <c r="DX19" s="380"/>
      <c r="DY19" s="566">
        <f t="shared" si="17"/>
        <v>0</v>
      </c>
      <c r="EB19" s="106"/>
      <c r="EC19" s="15">
        <v>12</v>
      </c>
      <c r="ED19" s="69">
        <v>891.8</v>
      </c>
      <c r="EE19" s="336"/>
      <c r="EF19" s="69"/>
      <c r="EG19" s="70"/>
      <c r="EH19" s="71"/>
      <c r="EI19" s="566">
        <f t="shared" si="18"/>
        <v>0</v>
      </c>
      <c r="EL19" s="106"/>
      <c r="EM19" s="15">
        <v>12</v>
      </c>
      <c r="EN19" s="279">
        <v>923.58</v>
      </c>
      <c r="EO19" s="328"/>
      <c r="EP19" s="279"/>
      <c r="EQ19" s="265"/>
      <c r="ER19" s="266"/>
      <c r="ES19" s="566">
        <f t="shared" si="19"/>
        <v>0</v>
      </c>
      <c r="EV19" s="106"/>
      <c r="EW19" s="15">
        <v>12</v>
      </c>
      <c r="EX19" s="264">
        <v>938.9</v>
      </c>
      <c r="EY19" s="494"/>
      <c r="EZ19" s="264"/>
      <c r="FA19" s="265"/>
      <c r="FB19" s="266"/>
      <c r="FC19" s="322">
        <f>FB19*EZ19</f>
        <v>0</v>
      </c>
      <c r="FF19" s="106"/>
      <c r="FG19" s="15">
        <v>12</v>
      </c>
      <c r="FH19" s="279">
        <v>947.1</v>
      </c>
      <c r="FI19" s="328"/>
      <c r="FJ19" s="279"/>
      <c r="FK19" s="265"/>
      <c r="FL19" s="266"/>
      <c r="FM19" s="566">
        <f t="shared" si="21"/>
        <v>0</v>
      </c>
      <c r="FP19" s="106"/>
      <c r="FQ19" s="15">
        <v>12</v>
      </c>
      <c r="FR19" s="92">
        <v>901.28</v>
      </c>
      <c r="FS19" s="324"/>
      <c r="FT19" s="92"/>
      <c r="FU19" s="70"/>
      <c r="FV19" s="71"/>
      <c r="FW19" s="566">
        <f t="shared" si="22"/>
        <v>0</v>
      </c>
      <c r="FX19" s="71"/>
      <c r="FZ19" s="106"/>
      <c r="GA19" s="15">
        <v>12</v>
      </c>
      <c r="GB19" s="69">
        <v>895.4</v>
      </c>
      <c r="GC19" s="494"/>
      <c r="GD19" s="69"/>
      <c r="GE19" s="265"/>
      <c r="GF19" s="266"/>
      <c r="GG19" s="322">
        <f t="shared" si="23"/>
        <v>0</v>
      </c>
      <c r="GJ19" s="106"/>
      <c r="GK19" s="15">
        <v>12</v>
      </c>
      <c r="GL19" s="472">
        <v>916.3</v>
      </c>
      <c r="GM19" s="324"/>
      <c r="GN19" s="472"/>
      <c r="GO19" s="95"/>
      <c r="GP19" s="71"/>
      <c r="GQ19" s="566">
        <f t="shared" si="24"/>
        <v>0</v>
      </c>
      <c r="GT19" s="106"/>
      <c r="GU19" s="15">
        <v>12</v>
      </c>
      <c r="GV19" s="279">
        <v>933.94</v>
      </c>
      <c r="GW19" s="328"/>
      <c r="GX19" s="279"/>
      <c r="GY19" s="319"/>
      <c r="GZ19" s="266"/>
      <c r="HA19" s="566">
        <f t="shared" si="25"/>
        <v>0</v>
      </c>
      <c r="HD19" s="106"/>
      <c r="HE19" s="15">
        <v>12</v>
      </c>
      <c r="HF19" s="279">
        <v>880.9</v>
      </c>
      <c r="HG19" s="328"/>
      <c r="HH19" s="279"/>
      <c r="HI19" s="319"/>
      <c r="HJ19" s="266"/>
      <c r="HK19" s="566">
        <f t="shared" si="26"/>
        <v>0</v>
      </c>
      <c r="HN19" s="106"/>
      <c r="HO19" s="15">
        <v>12</v>
      </c>
      <c r="HP19" s="279">
        <v>904.5</v>
      </c>
      <c r="HQ19" s="328"/>
      <c r="HR19" s="279"/>
      <c r="HS19" s="383"/>
      <c r="HT19" s="266"/>
      <c r="HU19" s="566">
        <f t="shared" si="27"/>
        <v>0</v>
      </c>
      <c r="HX19" s="94"/>
      <c r="HY19" s="15">
        <v>12</v>
      </c>
      <c r="HZ19" s="69">
        <v>941.2</v>
      </c>
      <c r="IA19" s="336"/>
      <c r="IB19" s="69"/>
      <c r="IC19" s="70"/>
      <c r="ID19" s="71"/>
      <c r="IE19" s="566">
        <f t="shared" si="5"/>
        <v>0</v>
      </c>
      <c r="IH19" s="94"/>
      <c r="II19" s="15">
        <v>12</v>
      </c>
      <c r="IJ19" s="69">
        <v>899.02</v>
      </c>
      <c r="IK19" s="336"/>
      <c r="IL19" s="69"/>
      <c r="IM19" s="70"/>
      <c r="IN19" s="71"/>
      <c r="IO19" s="566">
        <f t="shared" si="28"/>
        <v>0</v>
      </c>
      <c r="IR19" s="106"/>
      <c r="IS19" s="15">
        <v>12</v>
      </c>
      <c r="IT19" s="279">
        <v>914.4</v>
      </c>
      <c r="IU19" s="245"/>
      <c r="IV19" s="279"/>
      <c r="IW19" s="500"/>
      <c r="IX19" s="266"/>
      <c r="IY19" s="322">
        <f t="shared" si="29"/>
        <v>0</v>
      </c>
      <c r="IZ19" s="92"/>
      <c r="JA19" s="105"/>
      <c r="JB19" s="106"/>
      <c r="JC19" s="15">
        <v>12</v>
      </c>
      <c r="JD19" s="92">
        <v>923.5</v>
      </c>
      <c r="JE19" s="336"/>
      <c r="JF19" s="92"/>
      <c r="JG19" s="265"/>
      <c r="JH19" s="71"/>
      <c r="JI19" s="566">
        <f t="shared" si="30"/>
        <v>0</v>
      </c>
      <c r="JL19" s="106"/>
      <c r="JM19" s="15">
        <v>12</v>
      </c>
      <c r="JN19" s="92">
        <v>916.71</v>
      </c>
      <c r="JO19" s="324"/>
      <c r="JP19" s="92"/>
      <c r="JQ19" s="70"/>
      <c r="JR19" s="71"/>
      <c r="JS19" s="566">
        <f t="shared" si="31"/>
        <v>0</v>
      </c>
      <c r="JV19" s="94"/>
      <c r="JW19" s="15">
        <v>12</v>
      </c>
      <c r="JX19" s="69">
        <v>890.9</v>
      </c>
      <c r="JY19" s="336"/>
      <c r="JZ19" s="69"/>
      <c r="KA19" s="70"/>
      <c r="KB19" s="71"/>
      <c r="KC19" s="566">
        <f t="shared" si="32"/>
        <v>0</v>
      </c>
      <c r="KE19" s="242"/>
      <c r="KF19" s="457"/>
      <c r="KG19" s="15">
        <v>12</v>
      </c>
      <c r="KH19" s="69">
        <v>875.4</v>
      </c>
      <c r="KI19" s="336"/>
      <c r="KJ19" s="69"/>
      <c r="KK19" s="70"/>
      <c r="KL19" s="71"/>
      <c r="KM19" s="566">
        <f t="shared" si="33"/>
        <v>0</v>
      </c>
      <c r="KP19" s="94"/>
      <c r="KQ19" s="15">
        <v>12</v>
      </c>
      <c r="KR19" s="69">
        <v>825.53</v>
      </c>
      <c r="KS19" s="336"/>
      <c r="KT19" s="69"/>
      <c r="KU19" s="70"/>
      <c r="KV19" s="71"/>
      <c r="KW19" s="566">
        <f t="shared" si="34"/>
        <v>0</v>
      </c>
      <c r="KZ19" s="106"/>
      <c r="LA19" s="15">
        <v>12</v>
      </c>
      <c r="LB19" s="92">
        <v>910.8</v>
      </c>
      <c r="LC19" s="324"/>
      <c r="LD19" s="69"/>
      <c r="LE19" s="95"/>
      <c r="LF19" s="71"/>
      <c r="LG19" s="566">
        <f t="shared" si="35"/>
        <v>0</v>
      </c>
      <c r="LJ19" s="106"/>
      <c r="LK19" s="15">
        <v>12</v>
      </c>
      <c r="LL19" s="279">
        <v>870.89</v>
      </c>
      <c r="LM19" s="324"/>
      <c r="LN19" s="279"/>
      <c r="LO19" s="95"/>
      <c r="LP19" s="71"/>
      <c r="LQ19" s="566">
        <f t="shared" si="36"/>
        <v>0</v>
      </c>
      <c r="LT19" s="106"/>
      <c r="LU19" s="15">
        <v>12</v>
      </c>
      <c r="LV19" s="92"/>
      <c r="LW19" s="324"/>
      <c r="LX19" s="92"/>
      <c r="LY19" s="95"/>
      <c r="LZ19" s="71"/>
      <c r="MA19" s="566">
        <f t="shared" si="37"/>
        <v>0</v>
      </c>
      <c r="MB19" s="566"/>
      <c r="MD19" s="106"/>
      <c r="ME19" s="15">
        <v>12</v>
      </c>
      <c r="MF19" s="389"/>
      <c r="MG19" s="324"/>
      <c r="MH19" s="960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I B P </v>
      </c>
      <c r="D20" s="102" t="str">
        <f t="shared" si="58"/>
        <v>PED. 83467776</v>
      </c>
      <c r="E20" s="135">
        <f t="shared" si="58"/>
        <v>44728</v>
      </c>
      <c r="F20" s="86">
        <f t="shared" si="58"/>
        <v>18181.259999999998</v>
      </c>
      <c r="G20" s="73">
        <f t="shared" si="58"/>
        <v>20</v>
      </c>
      <c r="H20" s="48">
        <f t="shared" si="58"/>
        <v>18285.11</v>
      </c>
      <c r="I20" s="105">
        <f t="shared" si="58"/>
        <v>-103.85000000000218</v>
      </c>
      <c r="K20" s="242"/>
      <c r="L20" s="94"/>
      <c r="M20" s="15">
        <v>13</v>
      </c>
      <c r="N20" s="69">
        <v>949.36</v>
      </c>
      <c r="O20" s="336">
        <v>44711</v>
      </c>
      <c r="P20" s="69">
        <v>949.36</v>
      </c>
      <c r="Q20" s="70" t="s">
        <v>491</v>
      </c>
      <c r="R20" s="71">
        <v>48</v>
      </c>
      <c r="S20" s="566">
        <f t="shared" si="7"/>
        <v>45569.279999999999</v>
      </c>
      <c r="T20" s="242"/>
      <c r="V20" s="94"/>
      <c r="W20" s="15">
        <v>13</v>
      </c>
      <c r="X20" s="69">
        <v>880</v>
      </c>
      <c r="Y20" s="336">
        <v>44715</v>
      </c>
      <c r="Z20" s="69">
        <v>880</v>
      </c>
      <c r="AA20" s="70" t="s">
        <v>521</v>
      </c>
      <c r="AB20" s="71">
        <v>51</v>
      </c>
      <c r="AC20" s="566">
        <f t="shared" si="8"/>
        <v>44880</v>
      </c>
      <c r="AF20" s="106"/>
      <c r="AG20" s="15">
        <v>13</v>
      </c>
      <c r="AH20" s="92">
        <v>925.78</v>
      </c>
      <c r="AI20" s="324">
        <v>44713</v>
      </c>
      <c r="AJ20" s="92">
        <v>925.78</v>
      </c>
      <c r="AK20" s="95" t="s">
        <v>502</v>
      </c>
      <c r="AL20" s="71">
        <v>49</v>
      </c>
      <c r="AM20" s="566">
        <f t="shared" si="9"/>
        <v>45363.22</v>
      </c>
      <c r="AP20" s="106"/>
      <c r="AQ20" s="15">
        <v>13</v>
      </c>
      <c r="AR20" s="279">
        <v>902.6</v>
      </c>
      <c r="AS20" s="324">
        <v>44714</v>
      </c>
      <c r="AT20" s="279">
        <v>902.6</v>
      </c>
      <c r="AU20" s="95" t="s">
        <v>512</v>
      </c>
      <c r="AV20" s="71">
        <v>49</v>
      </c>
      <c r="AW20" s="566">
        <f t="shared" si="10"/>
        <v>44227.4</v>
      </c>
      <c r="AZ20" s="106"/>
      <c r="BA20" s="15">
        <v>13</v>
      </c>
      <c r="BB20" s="279">
        <v>891.8</v>
      </c>
      <c r="BC20" s="324">
        <v>44715</v>
      </c>
      <c r="BD20" s="92">
        <v>891.8</v>
      </c>
      <c r="BE20" s="95" t="s">
        <v>528</v>
      </c>
      <c r="BF20" s="71">
        <v>51</v>
      </c>
      <c r="BG20" s="566">
        <f t="shared" si="11"/>
        <v>45481.799999999996</v>
      </c>
      <c r="BJ20" s="106"/>
      <c r="BK20" s="15">
        <v>13</v>
      </c>
      <c r="BL20" s="264">
        <v>888.1</v>
      </c>
      <c r="BM20" s="245">
        <v>44719</v>
      </c>
      <c r="BN20" s="264">
        <v>888.1</v>
      </c>
      <c r="BO20" s="319" t="s">
        <v>551</v>
      </c>
      <c r="BP20" s="801">
        <v>51</v>
      </c>
      <c r="BQ20" s="729">
        <f t="shared" si="12"/>
        <v>45293.1</v>
      </c>
      <c r="BT20" s="106"/>
      <c r="BU20" s="263">
        <v>13</v>
      </c>
      <c r="BV20" s="279">
        <v>913.5</v>
      </c>
      <c r="BW20" s="378"/>
      <c r="BX20" s="279"/>
      <c r="BY20" s="379"/>
      <c r="BZ20" s="380"/>
      <c r="CA20" s="566">
        <f t="shared" si="13"/>
        <v>0</v>
      </c>
      <c r="CD20" s="752"/>
      <c r="CE20" s="15">
        <v>13</v>
      </c>
      <c r="CF20" s="279">
        <v>877.2</v>
      </c>
      <c r="CG20" s="963"/>
      <c r="CH20" s="279"/>
      <c r="CI20" s="802"/>
      <c r="CJ20" s="684"/>
      <c r="CK20" s="322">
        <f t="shared" si="14"/>
        <v>0</v>
      </c>
      <c r="CN20" s="598"/>
      <c r="CO20" s="15">
        <v>13</v>
      </c>
      <c r="CP20" s="279">
        <v>907.2</v>
      </c>
      <c r="CQ20" s="378"/>
      <c r="CR20" s="279"/>
      <c r="CS20" s="381"/>
      <c r="CT20" s="380"/>
      <c r="CU20" s="572">
        <f t="shared" si="48"/>
        <v>0</v>
      </c>
      <c r="CX20" s="106"/>
      <c r="CY20" s="15">
        <v>13</v>
      </c>
      <c r="CZ20" s="92">
        <v>934.4</v>
      </c>
      <c r="DA20" s="324"/>
      <c r="DB20" s="92"/>
      <c r="DC20" s="95"/>
      <c r="DD20" s="71"/>
      <c r="DE20" s="566">
        <f t="shared" si="15"/>
        <v>0</v>
      </c>
      <c r="DH20" s="106"/>
      <c r="DI20" s="15">
        <v>13</v>
      </c>
      <c r="DJ20" s="279">
        <v>918.1</v>
      </c>
      <c r="DK20" s="378"/>
      <c r="DL20" s="92"/>
      <c r="DM20" s="381"/>
      <c r="DN20" s="380"/>
      <c r="DO20" s="572">
        <f t="shared" si="16"/>
        <v>0</v>
      </c>
      <c r="DR20" s="106"/>
      <c r="DS20" s="15">
        <v>13</v>
      </c>
      <c r="DT20" s="92">
        <v>974.77</v>
      </c>
      <c r="DU20" s="378"/>
      <c r="DV20" s="92"/>
      <c r="DW20" s="381"/>
      <c r="DX20" s="380"/>
      <c r="DY20" s="566">
        <f t="shared" si="17"/>
        <v>0</v>
      </c>
      <c r="EB20" s="106"/>
      <c r="EC20" s="15">
        <v>13</v>
      </c>
      <c r="ED20" s="69">
        <v>877.7</v>
      </c>
      <c r="EE20" s="336"/>
      <c r="EF20" s="92"/>
      <c r="EG20" s="70"/>
      <c r="EH20" s="71"/>
      <c r="EI20" s="566">
        <f t="shared" si="18"/>
        <v>0</v>
      </c>
      <c r="EL20" s="106"/>
      <c r="EM20" s="15">
        <v>13</v>
      </c>
      <c r="EN20" s="279">
        <v>893.6</v>
      </c>
      <c r="EO20" s="328"/>
      <c r="EP20" s="279"/>
      <c r="EQ20" s="265"/>
      <c r="ER20" s="266"/>
      <c r="ES20" s="566">
        <f t="shared" si="19"/>
        <v>0</v>
      </c>
      <c r="EV20" s="106"/>
      <c r="EW20" s="15">
        <v>13</v>
      </c>
      <c r="EX20" s="264">
        <v>861.8</v>
      </c>
      <c r="EY20" s="494"/>
      <c r="EZ20" s="264"/>
      <c r="FA20" s="265"/>
      <c r="FB20" s="266"/>
      <c r="FC20" s="322">
        <f>FB20*EZ20</f>
        <v>0</v>
      </c>
      <c r="FF20" s="106"/>
      <c r="FG20" s="15">
        <v>13</v>
      </c>
      <c r="FH20" s="279">
        <v>931.22</v>
      </c>
      <c r="FI20" s="328"/>
      <c r="FJ20" s="279"/>
      <c r="FK20" s="265"/>
      <c r="FL20" s="266"/>
      <c r="FM20" s="566">
        <f t="shared" si="21"/>
        <v>0</v>
      </c>
      <c r="FP20" s="106"/>
      <c r="FQ20" s="15">
        <v>13</v>
      </c>
      <c r="FR20" s="92">
        <v>909.45</v>
      </c>
      <c r="FS20" s="324"/>
      <c r="FT20" s="92"/>
      <c r="FU20" s="70"/>
      <c r="FV20" s="71"/>
      <c r="FW20" s="566">
        <f t="shared" si="22"/>
        <v>0</v>
      </c>
      <c r="FX20" s="71"/>
      <c r="FZ20" s="106"/>
      <c r="GA20" s="15">
        <v>13</v>
      </c>
      <c r="GB20" s="69">
        <v>886.3</v>
      </c>
      <c r="GC20" s="494"/>
      <c r="GD20" s="69"/>
      <c r="GE20" s="265"/>
      <c r="GF20" s="266"/>
      <c r="GG20" s="322">
        <f t="shared" si="23"/>
        <v>0</v>
      </c>
      <c r="GJ20" s="106"/>
      <c r="GK20" s="15">
        <v>13</v>
      </c>
      <c r="GL20" s="472">
        <v>908.1</v>
      </c>
      <c r="GM20" s="324"/>
      <c r="GN20" s="472"/>
      <c r="GO20" s="95"/>
      <c r="GP20" s="71"/>
      <c r="GQ20" s="566">
        <f t="shared" si="24"/>
        <v>0</v>
      </c>
      <c r="GT20" s="106"/>
      <c r="GU20" s="15">
        <v>13</v>
      </c>
      <c r="GV20" s="279">
        <v>962.97</v>
      </c>
      <c r="GW20" s="328"/>
      <c r="GX20" s="279"/>
      <c r="GY20" s="319"/>
      <c r="GZ20" s="266"/>
      <c r="HA20" s="566">
        <f t="shared" si="25"/>
        <v>0</v>
      </c>
      <c r="HD20" s="106"/>
      <c r="HE20" s="15">
        <v>13</v>
      </c>
      <c r="HF20" s="279">
        <v>883.6</v>
      </c>
      <c r="HG20" s="328"/>
      <c r="HH20" s="279"/>
      <c r="HI20" s="319"/>
      <c r="HJ20" s="266"/>
      <c r="HK20" s="322">
        <f t="shared" si="26"/>
        <v>0</v>
      </c>
      <c r="HN20" s="106"/>
      <c r="HO20" s="15">
        <v>13</v>
      </c>
      <c r="HP20" s="279">
        <v>899</v>
      </c>
      <c r="HQ20" s="328"/>
      <c r="HR20" s="279"/>
      <c r="HS20" s="383"/>
      <c r="HT20" s="266"/>
      <c r="HU20" s="566">
        <f t="shared" si="27"/>
        <v>0</v>
      </c>
      <c r="HX20" s="94"/>
      <c r="HY20" s="15">
        <v>13</v>
      </c>
      <c r="HZ20" s="69">
        <v>964.79</v>
      </c>
      <c r="IA20" s="336"/>
      <c r="IB20" s="69"/>
      <c r="IC20" s="70"/>
      <c r="ID20" s="71"/>
      <c r="IE20" s="566">
        <f t="shared" si="5"/>
        <v>0</v>
      </c>
      <c r="IH20" s="94"/>
      <c r="II20" s="15">
        <v>13</v>
      </c>
      <c r="IJ20" s="69">
        <v>947.1</v>
      </c>
      <c r="IK20" s="336"/>
      <c r="IL20" s="69"/>
      <c r="IM20" s="70"/>
      <c r="IN20" s="71"/>
      <c r="IO20" s="566">
        <f t="shared" si="28"/>
        <v>0</v>
      </c>
      <c r="IR20" s="106"/>
      <c r="IS20" s="15">
        <v>13</v>
      </c>
      <c r="IT20" s="279">
        <v>929</v>
      </c>
      <c r="IU20" s="245"/>
      <c r="IV20" s="279"/>
      <c r="IW20" s="500"/>
      <c r="IX20" s="266"/>
      <c r="IY20" s="322">
        <f t="shared" si="29"/>
        <v>0</v>
      </c>
      <c r="IZ20" s="92"/>
      <c r="JB20" s="106"/>
      <c r="JC20" s="15">
        <v>13</v>
      </c>
      <c r="JD20" s="92">
        <v>874.5</v>
      </c>
      <c r="JE20" s="336"/>
      <c r="JF20" s="92"/>
      <c r="JG20" s="265"/>
      <c r="JH20" s="71"/>
      <c r="JI20" s="566">
        <f t="shared" si="30"/>
        <v>0</v>
      </c>
      <c r="JL20" s="106"/>
      <c r="JM20" s="15">
        <v>13</v>
      </c>
      <c r="JN20" s="92">
        <v>948</v>
      </c>
      <c r="JO20" s="324"/>
      <c r="JP20" s="92"/>
      <c r="JQ20" s="70"/>
      <c r="JR20" s="71"/>
      <c r="JS20" s="566">
        <f t="shared" si="31"/>
        <v>0</v>
      </c>
      <c r="JV20" s="94"/>
      <c r="JW20" s="15">
        <v>13</v>
      </c>
      <c r="JX20" s="69">
        <v>910.8</v>
      </c>
      <c r="JY20" s="336"/>
      <c r="JZ20" s="69"/>
      <c r="KA20" s="70"/>
      <c r="KB20" s="71"/>
      <c r="KC20" s="566">
        <f t="shared" si="32"/>
        <v>0</v>
      </c>
      <c r="KE20" s="242"/>
      <c r="KF20" s="457"/>
      <c r="KG20" s="15">
        <v>13</v>
      </c>
      <c r="KH20" s="69">
        <v>909.9</v>
      </c>
      <c r="KI20" s="336"/>
      <c r="KJ20" s="69"/>
      <c r="KK20" s="70"/>
      <c r="KL20" s="71"/>
      <c r="KM20" s="566">
        <f t="shared" si="33"/>
        <v>0</v>
      </c>
      <c r="KP20" s="94"/>
      <c r="KQ20" s="15">
        <v>13</v>
      </c>
      <c r="KR20" s="69">
        <v>860.91</v>
      </c>
      <c r="KS20" s="336"/>
      <c r="KT20" s="69"/>
      <c r="KU20" s="70"/>
      <c r="KV20" s="71"/>
      <c r="KW20" s="566">
        <f t="shared" si="34"/>
        <v>0</v>
      </c>
      <c r="KZ20" s="106"/>
      <c r="LA20" s="15">
        <v>13</v>
      </c>
      <c r="LB20" s="69">
        <v>916.3</v>
      </c>
      <c r="LC20" s="324"/>
      <c r="LD20" s="92"/>
      <c r="LE20" s="95"/>
      <c r="LF20" s="71"/>
      <c r="LG20" s="566">
        <f t="shared" si="35"/>
        <v>0</v>
      </c>
      <c r="LJ20" s="106"/>
      <c r="LK20" s="15">
        <v>13</v>
      </c>
      <c r="LL20" s="279">
        <v>959.8</v>
      </c>
      <c r="LM20" s="324"/>
      <c r="LN20" s="279"/>
      <c r="LO20" s="95"/>
      <c r="LP20" s="71"/>
      <c r="LQ20" s="566">
        <f t="shared" si="36"/>
        <v>0</v>
      </c>
      <c r="LT20" s="106"/>
      <c r="LU20" s="15">
        <v>13</v>
      </c>
      <c r="LV20" s="92"/>
      <c r="LW20" s="324"/>
      <c r="LX20" s="92"/>
      <c r="LY20" s="95"/>
      <c r="LZ20" s="71"/>
      <c r="MA20" s="566">
        <f t="shared" si="37"/>
        <v>0</v>
      </c>
      <c r="MB20" s="566"/>
      <c r="MD20" s="106"/>
      <c r="ME20" s="15">
        <v>13</v>
      </c>
      <c r="MF20" s="389"/>
      <c r="MG20" s="324"/>
      <c r="MH20" s="960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83470562</v>
      </c>
      <c r="E21" s="135">
        <f t="shared" si="59"/>
        <v>44728</v>
      </c>
      <c r="F21" s="86">
        <f t="shared" si="59"/>
        <v>16335.96</v>
      </c>
      <c r="G21" s="73">
        <f t="shared" si="59"/>
        <v>18</v>
      </c>
      <c r="H21" s="48">
        <f t="shared" si="59"/>
        <v>16348.1</v>
      </c>
      <c r="I21" s="105">
        <f t="shared" si="59"/>
        <v>-12.140000000001237</v>
      </c>
      <c r="K21" s="242"/>
      <c r="L21" s="94"/>
      <c r="M21" s="15">
        <v>14</v>
      </c>
      <c r="N21" s="69">
        <v>933.03</v>
      </c>
      <c r="O21" s="336">
        <v>44711</v>
      </c>
      <c r="P21" s="69">
        <v>933.03</v>
      </c>
      <c r="Q21" s="70" t="s">
        <v>491</v>
      </c>
      <c r="R21" s="71">
        <v>48</v>
      </c>
      <c r="S21" s="566">
        <f t="shared" si="7"/>
        <v>44785.440000000002</v>
      </c>
      <c r="T21" s="242"/>
      <c r="V21" s="94"/>
      <c r="W21" s="15">
        <v>14</v>
      </c>
      <c r="X21" s="69">
        <v>879.1</v>
      </c>
      <c r="Y21" s="336">
        <v>44715</v>
      </c>
      <c r="Z21" s="69">
        <v>879.1</v>
      </c>
      <c r="AA21" s="70" t="s">
        <v>521</v>
      </c>
      <c r="AB21" s="71">
        <v>51</v>
      </c>
      <c r="AC21" s="566">
        <f t="shared" si="8"/>
        <v>44834.1</v>
      </c>
      <c r="AF21" s="106"/>
      <c r="AG21" s="15">
        <v>14</v>
      </c>
      <c r="AH21" s="92">
        <v>889.04</v>
      </c>
      <c r="AI21" s="324">
        <v>44713</v>
      </c>
      <c r="AJ21" s="92">
        <v>889.04</v>
      </c>
      <c r="AK21" s="95" t="s">
        <v>502</v>
      </c>
      <c r="AL21" s="71">
        <v>49</v>
      </c>
      <c r="AM21" s="566">
        <f t="shared" si="9"/>
        <v>43562.96</v>
      </c>
      <c r="AP21" s="106"/>
      <c r="AQ21" s="15">
        <v>14</v>
      </c>
      <c r="AR21" s="279">
        <v>927.1</v>
      </c>
      <c r="AS21" s="324">
        <v>44714</v>
      </c>
      <c r="AT21" s="279">
        <v>927.1</v>
      </c>
      <c r="AU21" s="95" t="s">
        <v>512</v>
      </c>
      <c r="AV21" s="71">
        <v>49</v>
      </c>
      <c r="AW21" s="566">
        <f t="shared" si="10"/>
        <v>45427.9</v>
      </c>
      <c r="AZ21" s="106"/>
      <c r="BA21" s="15">
        <v>14</v>
      </c>
      <c r="BB21" s="279">
        <v>910.8</v>
      </c>
      <c r="BC21" s="324">
        <v>44715</v>
      </c>
      <c r="BD21" s="279">
        <v>910.8</v>
      </c>
      <c r="BE21" s="95" t="s">
        <v>527</v>
      </c>
      <c r="BF21" s="71">
        <v>51</v>
      </c>
      <c r="BG21" s="566">
        <f t="shared" si="11"/>
        <v>46450.799999999996</v>
      </c>
      <c r="BJ21" s="106"/>
      <c r="BK21" s="15">
        <v>14</v>
      </c>
      <c r="BL21" s="279">
        <v>865.4</v>
      </c>
      <c r="BM21" s="245">
        <v>44719</v>
      </c>
      <c r="BN21" s="279">
        <v>865.4</v>
      </c>
      <c r="BO21" s="319" t="s">
        <v>551</v>
      </c>
      <c r="BP21" s="801">
        <v>51</v>
      </c>
      <c r="BQ21" s="729">
        <f t="shared" si="12"/>
        <v>44135.4</v>
      </c>
      <c r="BT21" s="106"/>
      <c r="BU21" s="263">
        <v>14</v>
      </c>
      <c r="BV21" s="279">
        <v>880.9</v>
      </c>
      <c r="BW21" s="378"/>
      <c r="BX21" s="279"/>
      <c r="BY21" s="379"/>
      <c r="BZ21" s="380"/>
      <c r="CA21" s="566">
        <f t="shared" si="13"/>
        <v>0</v>
      </c>
      <c r="CD21" s="752"/>
      <c r="CE21" s="15">
        <v>14</v>
      </c>
      <c r="CF21" s="279">
        <v>880</v>
      </c>
      <c r="CG21" s="963"/>
      <c r="CH21" s="279"/>
      <c r="CI21" s="802"/>
      <c r="CJ21" s="684"/>
      <c r="CK21" s="322">
        <f t="shared" si="14"/>
        <v>0</v>
      </c>
      <c r="CN21" s="598"/>
      <c r="CO21" s="15">
        <v>14</v>
      </c>
      <c r="CP21" s="279">
        <v>884.5</v>
      </c>
      <c r="CQ21" s="378"/>
      <c r="CR21" s="279"/>
      <c r="CS21" s="381"/>
      <c r="CT21" s="380"/>
      <c r="CU21" s="572">
        <f t="shared" si="48"/>
        <v>0</v>
      </c>
      <c r="CX21" s="106"/>
      <c r="CY21" s="15">
        <v>14</v>
      </c>
      <c r="CZ21" s="92">
        <v>941.65</v>
      </c>
      <c r="DA21" s="324"/>
      <c r="DB21" s="92"/>
      <c r="DC21" s="95"/>
      <c r="DD21" s="71"/>
      <c r="DE21" s="566">
        <f t="shared" si="15"/>
        <v>0</v>
      </c>
      <c r="DH21" s="106"/>
      <c r="DI21" s="15">
        <v>14</v>
      </c>
      <c r="DJ21" s="279">
        <v>881.8</v>
      </c>
      <c r="DK21" s="378"/>
      <c r="DL21" s="92"/>
      <c r="DM21" s="381"/>
      <c r="DN21" s="380"/>
      <c r="DO21" s="572">
        <f t="shared" si="16"/>
        <v>0</v>
      </c>
      <c r="DR21" s="106"/>
      <c r="DS21" s="15">
        <v>14</v>
      </c>
      <c r="DT21" s="92">
        <v>949.36</v>
      </c>
      <c r="DU21" s="378"/>
      <c r="DV21" s="92"/>
      <c r="DW21" s="381"/>
      <c r="DX21" s="380"/>
      <c r="DY21" s="566">
        <f t="shared" si="17"/>
        <v>0</v>
      </c>
      <c r="EB21" s="106"/>
      <c r="EC21" s="15">
        <v>14</v>
      </c>
      <c r="ED21" s="69">
        <v>880.9</v>
      </c>
      <c r="EE21" s="336"/>
      <c r="EF21" s="92"/>
      <c r="EG21" s="70"/>
      <c r="EH21" s="71"/>
      <c r="EI21" s="566">
        <f t="shared" si="18"/>
        <v>0</v>
      </c>
      <c r="EL21" s="106"/>
      <c r="EM21" s="15">
        <v>14</v>
      </c>
      <c r="EN21" s="279">
        <v>889</v>
      </c>
      <c r="EO21" s="328"/>
      <c r="EP21" s="279"/>
      <c r="EQ21" s="265"/>
      <c r="ER21" s="266"/>
      <c r="ES21" s="566">
        <f t="shared" si="19"/>
        <v>0</v>
      </c>
      <c r="EV21" s="106"/>
      <c r="EW21" s="15">
        <v>14</v>
      </c>
      <c r="EX21" s="264">
        <v>909.9</v>
      </c>
      <c r="EY21" s="494"/>
      <c r="EZ21" s="264"/>
      <c r="FA21" s="265"/>
      <c r="FB21" s="266"/>
      <c r="FC21" s="322">
        <f t="shared" si="20"/>
        <v>0</v>
      </c>
      <c r="FF21" s="106"/>
      <c r="FG21" s="15">
        <v>14</v>
      </c>
      <c r="FH21" s="279">
        <v>945.74</v>
      </c>
      <c r="FI21" s="328"/>
      <c r="FJ21" s="279"/>
      <c r="FK21" s="265"/>
      <c r="FL21" s="266"/>
      <c r="FM21" s="566">
        <f t="shared" si="21"/>
        <v>0</v>
      </c>
      <c r="FP21" s="106"/>
      <c r="FQ21" s="15">
        <v>14</v>
      </c>
      <c r="FR21" s="92">
        <v>968.41</v>
      </c>
      <c r="FS21" s="324"/>
      <c r="FT21" s="92"/>
      <c r="FU21" s="70"/>
      <c r="FV21" s="71"/>
      <c r="FW21" s="566">
        <f t="shared" si="22"/>
        <v>0</v>
      </c>
      <c r="FX21" s="71"/>
      <c r="FZ21" s="106"/>
      <c r="GA21" s="15">
        <v>14</v>
      </c>
      <c r="GB21" s="69">
        <v>939.8</v>
      </c>
      <c r="GC21" s="494"/>
      <c r="GD21" s="69"/>
      <c r="GE21" s="265"/>
      <c r="GF21" s="266"/>
      <c r="GG21" s="322">
        <f t="shared" si="23"/>
        <v>0</v>
      </c>
      <c r="GJ21" s="106"/>
      <c r="GK21" s="15">
        <v>14</v>
      </c>
      <c r="GL21" s="472">
        <v>895.4</v>
      </c>
      <c r="GM21" s="324"/>
      <c r="GN21" s="472"/>
      <c r="GO21" s="95"/>
      <c r="GP21" s="71"/>
      <c r="GQ21" s="566">
        <f t="shared" si="24"/>
        <v>0</v>
      </c>
      <c r="GT21" s="106"/>
      <c r="GU21" s="15">
        <v>14</v>
      </c>
      <c r="GV21" s="279">
        <v>942.11</v>
      </c>
      <c r="GW21" s="328"/>
      <c r="GX21" s="279"/>
      <c r="GY21" s="319"/>
      <c r="GZ21" s="266"/>
      <c r="HA21" s="566">
        <f t="shared" si="25"/>
        <v>0</v>
      </c>
      <c r="HD21" s="106"/>
      <c r="HE21" s="15">
        <v>14</v>
      </c>
      <c r="HF21" s="279">
        <v>866.4</v>
      </c>
      <c r="HG21" s="328"/>
      <c r="HH21" s="279"/>
      <c r="HI21" s="319"/>
      <c r="HJ21" s="266"/>
      <c r="HK21" s="322">
        <f t="shared" si="26"/>
        <v>0</v>
      </c>
      <c r="HN21" s="106"/>
      <c r="HO21" s="15">
        <v>14</v>
      </c>
      <c r="HP21" s="279">
        <v>907.2</v>
      </c>
      <c r="HQ21" s="328"/>
      <c r="HR21" s="279"/>
      <c r="HS21" s="383"/>
      <c r="HT21" s="266"/>
      <c r="HU21" s="566">
        <f t="shared" si="27"/>
        <v>0</v>
      </c>
      <c r="HX21" s="94"/>
      <c r="HY21" s="15">
        <v>14</v>
      </c>
      <c r="HZ21" s="69">
        <v>922.15</v>
      </c>
      <c r="IA21" s="336"/>
      <c r="IB21" s="69"/>
      <c r="IC21" s="70"/>
      <c r="ID21" s="71"/>
      <c r="IE21" s="566">
        <f t="shared" si="5"/>
        <v>0</v>
      </c>
      <c r="IH21" s="94"/>
      <c r="II21" s="15">
        <v>14</v>
      </c>
      <c r="IJ21" s="69">
        <v>927.14</v>
      </c>
      <c r="IK21" s="336"/>
      <c r="IL21" s="69"/>
      <c r="IM21" s="70"/>
      <c r="IN21" s="71"/>
      <c r="IO21" s="566">
        <f t="shared" si="28"/>
        <v>0</v>
      </c>
      <c r="IR21" s="106"/>
      <c r="IS21" s="15">
        <v>14</v>
      </c>
      <c r="IT21" s="279">
        <v>909</v>
      </c>
      <c r="IU21" s="245"/>
      <c r="IV21" s="279"/>
      <c r="IW21" s="500"/>
      <c r="IX21" s="266"/>
      <c r="IY21" s="322">
        <f t="shared" si="29"/>
        <v>0</v>
      </c>
      <c r="IZ21" s="92"/>
      <c r="JB21" s="106"/>
      <c r="JC21" s="15">
        <v>14</v>
      </c>
      <c r="JD21" s="92">
        <v>862.7</v>
      </c>
      <c r="JE21" s="336"/>
      <c r="JF21" s="92"/>
      <c r="JG21" s="265"/>
      <c r="JH21" s="71"/>
      <c r="JI21" s="566">
        <f t="shared" si="30"/>
        <v>0</v>
      </c>
      <c r="JL21" s="106"/>
      <c r="JM21" s="15">
        <v>14</v>
      </c>
      <c r="JN21" s="92">
        <v>914.44</v>
      </c>
      <c r="JO21" s="324"/>
      <c r="JP21" s="92"/>
      <c r="JQ21" s="70"/>
      <c r="JR21" s="71"/>
      <c r="JS21" s="566">
        <f t="shared" si="31"/>
        <v>0</v>
      </c>
      <c r="JV21" s="94"/>
      <c r="JW21" s="15">
        <v>14</v>
      </c>
      <c r="JX21" s="69">
        <v>912.6</v>
      </c>
      <c r="JY21" s="336"/>
      <c r="JZ21" s="69"/>
      <c r="KA21" s="70"/>
      <c r="KB21" s="71"/>
      <c r="KC21" s="566">
        <f t="shared" si="32"/>
        <v>0</v>
      </c>
      <c r="KE21" s="242"/>
      <c r="KF21" s="457"/>
      <c r="KG21" s="15">
        <v>14</v>
      </c>
      <c r="KH21" s="69">
        <v>917.2</v>
      </c>
      <c r="KI21" s="336"/>
      <c r="KJ21" s="69"/>
      <c r="KK21" s="70"/>
      <c r="KL21" s="71"/>
      <c r="KM21" s="566">
        <f t="shared" si="33"/>
        <v>0</v>
      </c>
      <c r="KP21" s="94"/>
      <c r="KQ21" s="15">
        <v>14</v>
      </c>
      <c r="KR21" s="69">
        <v>843.22</v>
      </c>
      <c r="KS21" s="336"/>
      <c r="KT21" s="69"/>
      <c r="KU21" s="70"/>
      <c r="KV21" s="71"/>
      <c r="KW21" s="566">
        <f t="shared" si="34"/>
        <v>0</v>
      </c>
      <c r="KZ21" s="106"/>
      <c r="LA21" s="15">
        <v>14</v>
      </c>
      <c r="LB21" s="92">
        <v>917.2</v>
      </c>
      <c r="LC21" s="324"/>
      <c r="LD21" s="92"/>
      <c r="LE21" s="95"/>
      <c r="LF21" s="71"/>
      <c r="LG21" s="566">
        <f t="shared" si="35"/>
        <v>0</v>
      </c>
      <c r="LJ21" s="106"/>
      <c r="LK21" s="15">
        <v>14</v>
      </c>
      <c r="LL21" s="279">
        <v>905.37</v>
      </c>
      <c r="LM21" s="324"/>
      <c r="LN21" s="279"/>
      <c r="LO21" s="95"/>
      <c r="LP21" s="71"/>
      <c r="LQ21" s="566">
        <f t="shared" si="36"/>
        <v>0</v>
      </c>
      <c r="LT21" s="106"/>
      <c r="LU21" s="15">
        <v>14</v>
      </c>
      <c r="LV21" s="92"/>
      <c r="LW21" s="324"/>
      <c r="LX21" s="92"/>
      <c r="LY21" s="95"/>
      <c r="LZ21" s="71"/>
      <c r="MA21" s="566">
        <f t="shared" si="37"/>
        <v>0</v>
      </c>
      <c r="MB21" s="566"/>
      <c r="MD21" s="106"/>
      <c r="ME21" s="15">
        <v>14</v>
      </c>
      <c r="MF21" s="389"/>
      <c r="MG21" s="324"/>
      <c r="MH21" s="960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83515583</v>
      </c>
      <c r="E22" s="135">
        <f t="shared" si="60"/>
        <v>44729</v>
      </c>
      <c r="F22" s="86">
        <f t="shared" si="60"/>
        <v>18849.61</v>
      </c>
      <c r="G22" s="73">
        <f t="shared" si="60"/>
        <v>21</v>
      </c>
      <c r="H22" s="48">
        <f t="shared" si="60"/>
        <v>18903.2</v>
      </c>
      <c r="I22" s="105">
        <f>GP5</f>
        <v>-53.590000000000146</v>
      </c>
      <c r="K22" s="242"/>
      <c r="L22" s="94"/>
      <c r="M22" s="15">
        <v>15</v>
      </c>
      <c r="N22" s="69">
        <v>908.09</v>
      </c>
      <c r="O22" s="336">
        <v>44712</v>
      </c>
      <c r="P22" s="69">
        <v>908.09</v>
      </c>
      <c r="Q22" s="70" t="s">
        <v>487</v>
      </c>
      <c r="R22" s="71">
        <v>48</v>
      </c>
      <c r="S22" s="566">
        <f t="shared" si="7"/>
        <v>43588.32</v>
      </c>
      <c r="T22" s="242"/>
      <c r="V22" s="94"/>
      <c r="W22" s="15">
        <v>15</v>
      </c>
      <c r="X22" s="69">
        <v>896.3</v>
      </c>
      <c r="Y22" s="336">
        <v>44715</v>
      </c>
      <c r="Z22" s="69">
        <v>896.3</v>
      </c>
      <c r="AA22" s="70" t="s">
        <v>521</v>
      </c>
      <c r="AB22" s="71">
        <v>51</v>
      </c>
      <c r="AC22" s="566">
        <f t="shared" si="8"/>
        <v>45711.299999999996</v>
      </c>
      <c r="AF22" s="106"/>
      <c r="AG22" s="15">
        <v>15</v>
      </c>
      <c r="AH22" s="92">
        <v>917.61</v>
      </c>
      <c r="AI22" s="324">
        <v>44713</v>
      </c>
      <c r="AJ22" s="92">
        <v>917.61</v>
      </c>
      <c r="AK22" s="95" t="s">
        <v>502</v>
      </c>
      <c r="AL22" s="71">
        <v>49</v>
      </c>
      <c r="AM22" s="566">
        <f t="shared" si="9"/>
        <v>44962.89</v>
      </c>
      <c r="AP22" s="106"/>
      <c r="AQ22" s="15">
        <v>15</v>
      </c>
      <c r="AR22" s="279">
        <v>886.3</v>
      </c>
      <c r="AS22" s="324">
        <v>44714</v>
      </c>
      <c r="AT22" s="279">
        <v>886.3</v>
      </c>
      <c r="AU22" s="95" t="s">
        <v>509</v>
      </c>
      <c r="AV22" s="71">
        <v>49</v>
      </c>
      <c r="AW22" s="566">
        <f t="shared" si="10"/>
        <v>43428.7</v>
      </c>
      <c r="AZ22" s="106"/>
      <c r="BA22" s="15">
        <v>15</v>
      </c>
      <c r="BB22" s="279">
        <v>940.7</v>
      </c>
      <c r="BC22" s="324">
        <v>44715</v>
      </c>
      <c r="BD22" s="279">
        <v>940.7</v>
      </c>
      <c r="BE22" s="95" t="s">
        <v>528</v>
      </c>
      <c r="BF22" s="71">
        <v>51</v>
      </c>
      <c r="BG22" s="566">
        <f t="shared" si="11"/>
        <v>47975.700000000004</v>
      </c>
      <c r="BJ22" s="106"/>
      <c r="BK22" s="15">
        <v>15</v>
      </c>
      <c r="BL22" s="279">
        <v>902.6</v>
      </c>
      <c r="BM22" s="245">
        <v>44719</v>
      </c>
      <c r="BN22" s="279">
        <v>902.6</v>
      </c>
      <c r="BO22" s="319" t="s">
        <v>551</v>
      </c>
      <c r="BP22" s="801">
        <v>51</v>
      </c>
      <c r="BQ22" s="729">
        <f t="shared" si="12"/>
        <v>46032.6</v>
      </c>
      <c r="BT22" s="106"/>
      <c r="BU22" s="263">
        <v>15</v>
      </c>
      <c r="BV22" s="279">
        <v>903.6</v>
      </c>
      <c r="BW22" s="378"/>
      <c r="BX22" s="279"/>
      <c r="BY22" s="379"/>
      <c r="BZ22" s="380"/>
      <c r="CA22" s="566">
        <f t="shared" si="13"/>
        <v>0</v>
      </c>
      <c r="CD22" s="752"/>
      <c r="CE22" s="15">
        <v>15</v>
      </c>
      <c r="CF22" s="279">
        <v>930.8</v>
      </c>
      <c r="CG22" s="963"/>
      <c r="CH22" s="279"/>
      <c r="CI22" s="802"/>
      <c r="CJ22" s="684"/>
      <c r="CK22" s="322">
        <f t="shared" si="14"/>
        <v>0</v>
      </c>
      <c r="CN22" s="598"/>
      <c r="CO22" s="15">
        <v>15</v>
      </c>
      <c r="CP22" s="264">
        <v>930.8</v>
      </c>
      <c r="CQ22" s="378"/>
      <c r="CR22" s="264"/>
      <c r="CS22" s="381"/>
      <c r="CT22" s="380"/>
      <c r="CU22" s="572">
        <f t="shared" si="48"/>
        <v>0</v>
      </c>
      <c r="CX22" s="106"/>
      <c r="CY22" s="15">
        <v>15</v>
      </c>
      <c r="CZ22" s="92">
        <v>947.55</v>
      </c>
      <c r="DA22" s="324"/>
      <c r="DB22" s="92"/>
      <c r="DC22" s="95"/>
      <c r="DD22" s="71"/>
      <c r="DE22" s="566">
        <f t="shared" si="15"/>
        <v>0</v>
      </c>
      <c r="DH22" s="106"/>
      <c r="DI22" s="15">
        <v>15</v>
      </c>
      <c r="DJ22" s="279">
        <v>920.8</v>
      </c>
      <c r="DK22" s="378"/>
      <c r="DL22" s="92"/>
      <c r="DM22" s="381"/>
      <c r="DN22" s="380"/>
      <c r="DO22" s="572">
        <f t="shared" si="16"/>
        <v>0</v>
      </c>
      <c r="DR22" s="106"/>
      <c r="DS22" s="15">
        <v>15</v>
      </c>
      <c r="DT22" s="92">
        <v>961.16</v>
      </c>
      <c r="DU22" s="378"/>
      <c r="DV22" s="92"/>
      <c r="DW22" s="381"/>
      <c r="DX22" s="380"/>
      <c r="DY22" s="566">
        <f t="shared" si="17"/>
        <v>0</v>
      </c>
      <c r="EB22" s="106"/>
      <c r="EC22" s="15">
        <v>15</v>
      </c>
      <c r="ED22" s="69">
        <v>932.6</v>
      </c>
      <c r="EE22" s="336"/>
      <c r="EF22" s="69"/>
      <c r="EG22" s="70"/>
      <c r="EH22" s="71"/>
      <c r="EI22" s="566">
        <f t="shared" si="18"/>
        <v>0</v>
      </c>
      <c r="EL22" s="106"/>
      <c r="EM22" s="15">
        <v>15</v>
      </c>
      <c r="EN22" s="279">
        <v>930.8</v>
      </c>
      <c r="EO22" s="328"/>
      <c r="EP22" s="279"/>
      <c r="EQ22" s="265"/>
      <c r="ER22" s="266"/>
      <c r="ES22" s="566">
        <f t="shared" si="19"/>
        <v>0</v>
      </c>
      <c r="EV22" s="106"/>
      <c r="EW22" s="15">
        <v>15</v>
      </c>
      <c r="EX22" s="264">
        <v>890.9</v>
      </c>
      <c r="EY22" s="494"/>
      <c r="EZ22" s="264"/>
      <c r="FA22" s="265"/>
      <c r="FB22" s="266"/>
      <c r="FC22" s="322">
        <f t="shared" si="20"/>
        <v>0</v>
      </c>
      <c r="FF22" s="106"/>
      <c r="FG22" s="15">
        <v>15</v>
      </c>
      <c r="FH22" s="279">
        <v>970.68</v>
      </c>
      <c r="FI22" s="328"/>
      <c r="FJ22" s="279"/>
      <c r="FK22" s="265"/>
      <c r="FL22" s="266"/>
      <c r="FM22" s="566">
        <f t="shared" si="21"/>
        <v>0</v>
      </c>
      <c r="FP22" s="106"/>
      <c r="FQ22" s="15">
        <v>15</v>
      </c>
      <c r="FR22" s="92">
        <v>870.89</v>
      </c>
      <c r="FS22" s="324"/>
      <c r="FT22" s="92"/>
      <c r="FU22" s="70"/>
      <c r="FV22" s="71"/>
      <c r="FW22" s="566">
        <f t="shared" si="22"/>
        <v>0</v>
      </c>
      <c r="FX22" s="71"/>
      <c r="FZ22" s="106"/>
      <c r="GA22" s="15">
        <v>15</v>
      </c>
      <c r="GB22" s="69">
        <v>897.2</v>
      </c>
      <c r="GC22" s="494"/>
      <c r="GD22" s="69"/>
      <c r="GE22" s="265"/>
      <c r="GF22" s="266"/>
      <c r="GG22" s="322">
        <f t="shared" si="23"/>
        <v>0</v>
      </c>
      <c r="GJ22" s="106"/>
      <c r="GK22" s="15">
        <v>15</v>
      </c>
      <c r="GL22" s="472">
        <v>916.3</v>
      </c>
      <c r="GM22" s="324"/>
      <c r="GN22" s="472"/>
      <c r="GO22" s="95"/>
      <c r="GP22" s="71"/>
      <c r="GQ22" s="566">
        <f t="shared" si="24"/>
        <v>0</v>
      </c>
      <c r="GT22" s="106"/>
      <c r="GU22" s="15">
        <v>15</v>
      </c>
      <c r="GV22" s="279">
        <v>910.35</v>
      </c>
      <c r="GW22" s="328"/>
      <c r="GX22" s="279"/>
      <c r="GY22" s="319"/>
      <c r="GZ22" s="266"/>
      <c r="HA22" s="566">
        <f t="shared" si="25"/>
        <v>0</v>
      </c>
      <c r="HD22" s="106"/>
      <c r="HE22" s="15">
        <v>15</v>
      </c>
      <c r="HF22" s="279">
        <v>903.6</v>
      </c>
      <c r="HG22" s="328"/>
      <c r="HH22" s="279"/>
      <c r="HI22" s="319"/>
      <c r="HJ22" s="266"/>
      <c r="HK22" s="322">
        <f t="shared" si="26"/>
        <v>0</v>
      </c>
      <c r="HN22" s="106"/>
      <c r="HO22" s="15">
        <v>15</v>
      </c>
      <c r="HP22" s="279">
        <v>911.7</v>
      </c>
      <c r="HQ22" s="328"/>
      <c r="HR22" s="279"/>
      <c r="HS22" s="383"/>
      <c r="HT22" s="266"/>
      <c r="HU22" s="566">
        <f t="shared" si="27"/>
        <v>0</v>
      </c>
      <c r="HX22" s="94"/>
      <c r="HY22" s="15">
        <v>15</v>
      </c>
      <c r="HZ22" s="69">
        <v>933.94</v>
      </c>
      <c r="IA22" s="336"/>
      <c r="IB22" s="69"/>
      <c r="IC22" s="70"/>
      <c r="ID22" s="71"/>
      <c r="IE22" s="566">
        <f t="shared" si="5"/>
        <v>0</v>
      </c>
      <c r="IH22" s="94"/>
      <c r="II22" s="15">
        <v>15</v>
      </c>
      <c r="IJ22" s="69">
        <v>894.48</v>
      </c>
      <c r="IK22" s="336"/>
      <c r="IL22" s="69"/>
      <c r="IM22" s="70"/>
      <c r="IN22" s="71"/>
      <c r="IO22" s="566">
        <f t="shared" si="28"/>
        <v>0</v>
      </c>
      <c r="IR22" s="106"/>
      <c r="IS22" s="15">
        <v>15</v>
      </c>
      <c r="IT22" s="279">
        <v>928</v>
      </c>
      <c r="IU22" s="245"/>
      <c r="IV22" s="279"/>
      <c r="IW22" s="500"/>
      <c r="IX22" s="266"/>
      <c r="IY22" s="322">
        <f t="shared" si="29"/>
        <v>0</v>
      </c>
      <c r="IZ22" s="92"/>
      <c r="JB22" s="106"/>
      <c r="JC22" s="15">
        <v>15</v>
      </c>
      <c r="JD22" s="92">
        <v>873.6</v>
      </c>
      <c r="JE22" s="336"/>
      <c r="JF22" s="92"/>
      <c r="JG22" s="265"/>
      <c r="JH22" s="71"/>
      <c r="JI22" s="566">
        <f t="shared" si="30"/>
        <v>0</v>
      </c>
      <c r="JL22" s="106"/>
      <c r="JM22" s="15">
        <v>15</v>
      </c>
      <c r="JN22" s="92">
        <v>919.43</v>
      </c>
      <c r="JO22" s="324"/>
      <c r="JP22" s="92"/>
      <c r="JQ22" s="70"/>
      <c r="JR22" s="71"/>
      <c r="JS22" s="566">
        <f t="shared" si="31"/>
        <v>0</v>
      </c>
      <c r="JV22" s="94"/>
      <c r="JW22" s="15">
        <v>15</v>
      </c>
      <c r="JX22" s="69">
        <v>902.6</v>
      </c>
      <c r="JY22" s="336"/>
      <c r="JZ22" s="69"/>
      <c r="KA22" s="70"/>
      <c r="KB22" s="71"/>
      <c r="KC22" s="566">
        <f t="shared" si="32"/>
        <v>0</v>
      </c>
      <c r="KE22" s="242"/>
      <c r="KF22" s="457"/>
      <c r="KG22" s="15">
        <v>15</v>
      </c>
      <c r="KH22" s="69">
        <v>940.7</v>
      </c>
      <c r="KI22" s="336"/>
      <c r="KJ22" s="69"/>
      <c r="KK22" s="70"/>
      <c r="KL22" s="71"/>
      <c r="KM22" s="566">
        <f t="shared" si="33"/>
        <v>0</v>
      </c>
      <c r="KP22" s="94"/>
      <c r="KQ22" s="15">
        <v>15</v>
      </c>
      <c r="KR22" s="69">
        <v>865</v>
      </c>
      <c r="KS22" s="336"/>
      <c r="KT22" s="69"/>
      <c r="KU22" s="70"/>
      <c r="KV22" s="71"/>
      <c r="KW22" s="566">
        <f t="shared" si="34"/>
        <v>0</v>
      </c>
      <c r="KZ22" s="106"/>
      <c r="LA22" s="15">
        <v>15</v>
      </c>
      <c r="LB22" s="92">
        <v>907.2</v>
      </c>
      <c r="LC22" s="324"/>
      <c r="LD22" s="92"/>
      <c r="LE22" s="95"/>
      <c r="LF22" s="71"/>
      <c r="LG22" s="566">
        <f t="shared" si="35"/>
        <v>0</v>
      </c>
      <c r="LJ22" s="106"/>
      <c r="LK22" s="15">
        <v>15</v>
      </c>
      <c r="LL22" s="279">
        <v>961.61</v>
      </c>
      <c r="LM22" s="324"/>
      <c r="LN22" s="279"/>
      <c r="LO22" s="95"/>
      <c r="LP22" s="71"/>
      <c r="LQ22" s="566">
        <f t="shared" si="36"/>
        <v>0</v>
      </c>
      <c r="LT22" s="106"/>
      <c r="LU22" s="15">
        <v>15</v>
      </c>
      <c r="LV22" s="92"/>
      <c r="LW22" s="324"/>
      <c r="LX22" s="92"/>
      <c r="LY22" s="95"/>
      <c r="LZ22" s="71"/>
      <c r="MA22" s="566">
        <f t="shared" si="37"/>
        <v>0</v>
      </c>
      <c r="MB22" s="566"/>
      <c r="MD22" s="106"/>
      <c r="ME22" s="15">
        <v>15</v>
      </c>
      <c r="MF22" s="389"/>
      <c r="MG22" s="324"/>
      <c r="MH22" s="960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FRSH MEAT</v>
      </c>
      <c r="C23" s="75" t="str">
        <f>GT5</f>
        <v xml:space="preserve">I B P </v>
      </c>
      <c r="D23" s="102" t="str">
        <f>GU5</f>
        <v>PED. 83515553</v>
      </c>
      <c r="E23" s="135">
        <f t="shared" si="61"/>
        <v>44729</v>
      </c>
      <c r="F23" s="86">
        <f t="shared" si="61"/>
        <v>18862.61</v>
      </c>
      <c r="G23" s="73">
        <f t="shared" si="61"/>
        <v>20</v>
      </c>
      <c r="H23" s="48">
        <f t="shared" si="61"/>
        <v>18953.689999999999</v>
      </c>
      <c r="I23" s="105">
        <f>F23-H23</f>
        <v>-91.079999999998108</v>
      </c>
      <c r="K23" s="242"/>
      <c r="L23" s="94"/>
      <c r="M23" s="15">
        <v>16</v>
      </c>
      <c r="N23" s="69">
        <v>973.4</v>
      </c>
      <c r="O23" s="336">
        <v>44711</v>
      </c>
      <c r="P23" s="69">
        <v>973.44</v>
      </c>
      <c r="Q23" s="70" t="s">
        <v>491</v>
      </c>
      <c r="R23" s="71">
        <v>48</v>
      </c>
      <c r="S23" s="566">
        <f t="shared" si="7"/>
        <v>46725.120000000003</v>
      </c>
      <c r="T23" s="242"/>
      <c r="V23" s="94"/>
      <c r="W23" s="15">
        <v>16</v>
      </c>
      <c r="X23" s="69">
        <v>907.6</v>
      </c>
      <c r="Y23" s="336">
        <v>44715</v>
      </c>
      <c r="Z23" s="69">
        <v>907.6</v>
      </c>
      <c r="AA23" s="70" t="s">
        <v>521</v>
      </c>
      <c r="AB23" s="71">
        <v>51</v>
      </c>
      <c r="AC23" s="566">
        <f t="shared" si="8"/>
        <v>46287.6</v>
      </c>
      <c r="AF23" s="106"/>
      <c r="AG23" s="15">
        <v>16</v>
      </c>
      <c r="AH23" s="92">
        <v>924.42</v>
      </c>
      <c r="AI23" s="324">
        <v>44713</v>
      </c>
      <c r="AJ23" s="92">
        <v>924.42</v>
      </c>
      <c r="AK23" s="95" t="s">
        <v>503</v>
      </c>
      <c r="AL23" s="71">
        <v>49</v>
      </c>
      <c r="AM23" s="566">
        <f t="shared" si="9"/>
        <v>45296.579999999994</v>
      </c>
      <c r="AP23" s="106"/>
      <c r="AQ23" s="15">
        <v>16</v>
      </c>
      <c r="AR23" s="279">
        <v>936.2</v>
      </c>
      <c r="AS23" s="324">
        <v>44714</v>
      </c>
      <c r="AT23" s="279">
        <v>936.2</v>
      </c>
      <c r="AU23" s="95" t="s">
        <v>509</v>
      </c>
      <c r="AV23" s="71">
        <v>49</v>
      </c>
      <c r="AW23" s="566">
        <f t="shared" si="10"/>
        <v>45873.8</v>
      </c>
      <c r="AZ23" s="106"/>
      <c r="BA23" s="15">
        <v>16</v>
      </c>
      <c r="BB23" s="279">
        <v>927.1</v>
      </c>
      <c r="BC23" s="324">
        <v>44715</v>
      </c>
      <c r="BD23" s="279">
        <v>927.1</v>
      </c>
      <c r="BE23" s="95" t="s">
        <v>527</v>
      </c>
      <c r="BF23" s="71">
        <v>51</v>
      </c>
      <c r="BG23" s="566">
        <f t="shared" si="11"/>
        <v>47282.1</v>
      </c>
      <c r="BJ23" s="106"/>
      <c r="BK23" s="15">
        <v>16</v>
      </c>
      <c r="BL23" s="279">
        <v>915.3</v>
      </c>
      <c r="BM23" s="245">
        <v>44719</v>
      </c>
      <c r="BN23" s="279">
        <v>915.3</v>
      </c>
      <c r="BO23" s="319" t="s">
        <v>551</v>
      </c>
      <c r="BP23" s="801">
        <v>51</v>
      </c>
      <c r="BQ23" s="729">
        <f t="shared" si="12"/>
        <v>46680.299999999996</v>
      </c>
      <c r="BT23" s="106"/>
      <c r="BU23" s="263">
        <v>16</v>
      </c>
      <c r="BV23" s="279">
        <v>886.3</v>
      </c>
      <c r="BW23" s="378"/>
      <c r="BX23" s="279"/>
      <c r="BY23" s="379"/>
      <c r="BZ23" s="380"/>
      <c r="CA23" s="566">
        <f t="shared" si="13"/>
        <v>0</v>
      </c>
      <c r="CD23" s="752"/>
      <c r="CE23" s="15">
        <v>16</v>
      </c>
      <c r="CF23" s="279">
        <v>911.7</v>
      </c>
      <c r="CG23" s="963"/>
      <c r="CH23" s="279"/>
      <c r="CI23" s="802"/>
      <c r="CJ23" s="684"/>
      <c r="CK23" s="322">
        <f t="shared" si="14"/>
        <v>0</v>
      </c>
      <c r="CN23" s="598"/>
      <c r="CO23" s="15">
        <v>16</v>
      </c>
      <c r="CP23" s="279">
        <v>871.8</v>
      </c>
      <c r="CQ23" s="378"/>
      <c r="CR23" s="279"/>
      <c r="CS23" s="381"/>
      <c r="CT23" s="380"/>
      <c r="CU23" s="572">
        <f t="shared" si="48"/>
        <v>0</v>
      </c>
      <c r="CX23" s="106"/>
      <c r="CY23" s="15">
        <v>16</v>
      </c>
      <c r="CZ23" s="92">
        <v>944.83</v>
      </c>
      <c r="DA23" s="324"/>
      <c r="DB23" s="92"/>
      <c r="DC23" s="95"/>
      <c r="DD23" s="71"/>
      <c r="DE23" s="566">
        <f t="shared" si="15"/>
        <v>0</v>
      </c>
      <c r="DH23" s="106"/>
      <c r="DI23" s="15">
        <v>16</v>
      </c>
      <c r="DJ23" s="279">
        <v>884.5</v>
      </c>
      <c r="DK23" s="378"/>
      <c r="DL23" s="92"/>
      <c r="DM23" s="381"/>
      <c r="DN23" s="380"/>
      <c r="DO23" s="572">
        <f t="shared" si="16"/>
        <v>0</v>
      </c>
      <c r="DR23" s="106"/>
      <c r="DS23" s="15">
        <v>16</v>
      </c>
      <c r="DT23" s="92">
        <v>932.13</v>
      </c>
      <c r="DU23" s="378"/>
      <c r="DV23" s="92"/>
      <c r="DW23" s="381"/>
      <c r="DX23" s="380"/>
      <c r="DY23" s="566">
        <f t="shared" si="17"/>
        <v>0</v>
      </c>
      <c r="EB23" s="106"/>
      <c r="EC23" s="15">
        <v>16</v>
      </c>
      <c r="ED23" s="69">
        <v>882.7</v>
      </c>
      <c r="EE23" s="336"/>
      <c r="EF23" s="92"/>
      <c r="EG23" s="70"/>
      <c r="EH23" s="71"/>
      <c r="EI23" s="566">
        <f t="shared" si="18"/>
        <v>0</v>
      </c>
      <c r="EL23" s="106"/>
      <c r="EM23" s="15">
        <v>16</v>
      </c>
      <c r="EN23" s="279">
        <v>889.9</v>
      </c>
      <c r="EO23" s="328"/>
      <c r="EP23" s="279"/>
      <c r="EQ23" s="265"/>
      <c r="ER23" s="266"/>
      <c r="ES23" s="566">
        <f t="shared" si="19"/>
        <v>0</v>
      </c>
      <c r="EV23" s="106"/>
      <c r="EW23" s="15">
        <v>16</v>
      </c>
      <c r="EX23" s="264">
        <v>883.6</v>
      </c>
      <c r="EY23" s="494"/>
      <c r="EZ23" s="264"/>
      <c r="FA23" s="265"/>
      <c r="FB23" s="266"/>
      <c r="FC23" s="322">
        <f t="shared" si="20"/>
        <v>0</v>
      </c>
      <c r="FF23" s="106"/>
      <c r="FG23" s="15">
        <v>16</v>
      </c>
      <c r="FH23" s="279">
        <v>943.92</v>
      </c>
      <c r="FI23" s="328"/>
      <c r="FJ23" s="279"/>
      <c r="FK23" s="265"/>
      <c r="FL23" s="266"/>
      <c r="FM23" s="566">
        <f t="shared" si="21"/>
        <v>0</v>
      </c>
      <c r="FP23" s="106"/>
      <c r="FQ23" s="15">
        <v>16</v>
      </c>
      <c r="FR23" s="92">
        <v>928.4</v>
      </c>
      <c r="FS23" s="324"/>
      <c r="FT23" s="92"/>
      <c r="FU23" s="70"/>
      <c r="FV23" s="71"/>
      <c r="FW23" s="566">
        <f t="shared" si="22"/>
        <v>0</v>
      </c>
      <c r="FX23" s="71"/>
      <c r="FZ23" s="106"/>
      <c r="GA23" s="15">
        <v>16</v>
      </c>
      <c r="GB23" s="69">
        <v>885.4</v>
      </c>
      <c r="GC23" s="494"/>
      <c r="GD23" s="69"/>
      <c r="GE23" s="265"/>
      <c r="GF23" s="266"/>
      <c r="GG23" s="322">
        <f t="shared" si="23"/>
        <v>0</v>
      </c>
      <c r="GJ23" s="106"/>
      <c r="GK23" s="15">
        <v>16</v>
      </c>
      <c r="GL23" s="472">
        <v>916.3</v>
      </c>
      <c r="GM23" s="324"/>
      <c r="GN23" s="472"/>
      <c r="GO23" s="95"/>
      <c r="GP23" s="71"/>
      <c r="GQ23" s="566">
        <f t="shared" si="24"/>
        <v>0</v>
      </c>
      <c r="GT23" s="106"/>
      <c r="GU23" s="15">
        <v>16</v>
      </c>
      <c r="GV23" s="279">
        <v>968.41</v>
      </c>
      <c r="GW23" s="328"/>
      <c r="GX23" s="279"/>
      <c r="GY23" s="319"/>
      <c r="GZ23" s="266"/>
      <c r="HA23" s="566">
        <f t="shared" si="25"/>
        <v>0</v>
      </c>
      <c r="HD23" s="106"/>
      <c r="HE23" s="15">
        <v>16</v>
      </c>
      <c r="HF23" s="279">
        <v>916.3</v>
      </c>
      <c r="HG23" s="328"/>
      <c r="HH23" s="279"/>
      <c r="HI23" s="319"/>
      <c r="HJ23" s="266"/>
      <c r="HK23" s="322">
        <f t="shared" si="26"/>
        <v>0</v>
      </c>
      <c r="HN23" s="106"/>
      <c r="HO23" s="15">
        <v>16</v>
      </c>
      <c r="HP23" s="279">
        <v>914.4</v>
      </c>
      <c r="HQ23" s="328"/>
      <c r="HR23" s="279"/>
      <c r="HS23" s="383"/>
      <c r="HT23" s="266"/>
      <c r="HU23" s="566">
        <f t="shared" si="27"/>
        <v>0</v>
      </c>
      <c r="HX23" s="94"/>
      <c r="HY23" s="15">
        <v>16</v>
      </c>
      <c r="HZ23" s="69">
        <v>989.28</v>
      </c>
      <c r="IA23" s="336"/>
      <c r="IB23" s="69"/>
      <c r="IC23" s="70"/>
      <c r="ID23" s="71"/>
      <c r="IE23" s="566">
        <f t="shared" si="5"/>
        <v>0</v>
      </c>
      <c r="IH23" s="94"/>
      <c r="II23" s="15">
        <v>16</v>
      </c>
      <c r="IJ23" s="69">
        <v>928.95</v>
      </c>
      <c r="IK23" s="336"/>
      <c r="IL23" s="69"/>
      <c r="IM23" s="70"/>
      <c r="IN23" s="71"/>
      <c r="IO23" s="566">
        <f t="shared" si="28"/>
        <v>0</v>
      </c>
      <c r="IR23" s="106"/>
      <c r="IS23" s="15">
        <v>16</v>
      </c>
      <c r="IT23" s="279">
        <v>886.3</v>
      </c>
      <c r="IU23" s="245"/>
      <c r="IV23" s="279"/>
      <c r="IW23" s="500"/>
      <c r="IX23" s="266"/>
      <c r="IY23" s="322">
        <f t="shared" si="29"/>
        <v>0</v>
      </c>
      <c r="IZ23" s="105"/>
      <c r="JA23" s="69"/>
      <c r="JB23" s="106"/>
      <c r="JC23" s="15">
        <v>16</v>
      </c>
      <c r="JD23" s="92">
        <v>889.9</v>
      </c>
      <c r="JE23" s="336"/>
      <c r="JF23" s="92"/>
      <c r="JG23" s="265"/>
      <c r="JH23" s="71"/>
      <c r="JI23" s="566">
        <f t="shared" si="30"/>
        <v>0</v>
      </c>
      <c r="JL23" s="106"/>
      <c r="JM23" s="15">
        <v>16</v>
      </c>
      <c r="JN23" s="92">
        <v>922.6</v>
      </c>
      <c r="JO23" s="324"/>
      <c r="JP23" s="92"/>
      <c r="JQ23" s="70"/>
      <c r="JR23" s="71"/>
      <c r="JS23" s="566">
        <f t="shared" si="31"/>
        <v>0</v>
      </c>
      <c r="JV23" s="94"/>
      <c r="JW23" s="15">
        <v>16</v>
      </c>
      <c r="JX23" s="69">
        <v>937.1</v>
      </c>
      <c r="JY23" s="336"/>
      <c r="JZ23" s="69"/>
      <c r="KA23" s="70"/>
      <c r="KB23" s="71"/>
      <c r="KC23" s="566">
        <f t="shared" si="32"/>
        <v>0</v>
      </c>
      <c r="KE23" s="242"/>
      <c r="KF23" s="457"/>
      <c r="KG23" s="15">
        <v>16</v>
      </c>
      <c r="KH23" s="69">
        <v>895.4</v>
      </c>
      <c r="KI23" s="336"/>
      <c r="KJ23" s="69"/>
      <c r="KK23" s="70"/>
      <c r="KL23" s="71"/>
      <c r="KM23" s="566">
        <f t="shared" si="33"/>
        <v>0</v>
      </c>
      <c r="KP23" s="94"/>
      <c r="KQ23" s="15">
        <v>16</v>
      </c>
      <c r="KR23" s="69">
        <v>857.74</v>
      </c>
      <c r="KS23" s="336"/>
      <c r="KT23" s="69"/>
      <c r="KU23" s="70"/>
      <c r="KV23" s="71"/>
      <c r="KW23" s="566">
        <f t="shared" si="34"/>
        <v>0</v>
      </c>
      <c r="KZ23" s="106"/>
      <c r="LA23" s="15">
        <v>16</v>
      </c>
      <c r="LB23" s="92">
        <v>906.3</v>
      </c>
      <c r="LC23" s="324"/>
      <c r="LD23" s="92"/>
      <c r="LE23" s="95"/>
      <c r="LF23" s="71"/>
      <c r="LG23" s="566">
        <f t="shared" si="35"/>
        <v>0</v>
      </c>
      <c r="LJ23" s="106"/>
      <c r="LK23" s="15">
        <v>16</v>
      </c>
      <c r="LL23" s="279">
        <v>911.72</v>
      </c>
      <c r="LM23" s="324"/>
      <c r="LN23" s="279"/>
      <c r="LO23" s="95"/>
      <c r="LP23" s="71"/>
      <c r="LQ23" s="566">
        <f t="shared" si="36"/>
        <v>0</v>
      </c>
      <c r="LT23" s="106"/>
      <c r="LU23" s="15">
        <v>16</v>
      </c>
      <c r="LV23" s="92"/>
      <c r="LW23" s="324"/>
      <c r="LX23" s="92"/>
      <c r="LY23" s="95"/>
      <c r="LZ23" s="71"/>
      <c r="MA23" s="566">
        <f t="shared" si="37"/>
        <v>0</v>
      </c>
      <c r="MB23" s="566"/>
      <c r="MD23" s="106"/>
      <c r="ME23" s="15">
        <v>16</v>
      </c>
      <c r="MF23" s="389"/>
      <c r="MG23" s="324"/>
      <c r="MH23" s="960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83647782</v>
      </c>
      <c r="E24" s="135">
        <f t="shared" si="62"/>
        <v>44733</v>
      </c>
      <c r="F24" s="86">
        <f t="shared" si="62"/>
        <v>18861.32</v>
      </c>
      <c r="G24" s="73">
        <f t="shared" si="62"/>
        <v>21</v>
      </c>
      <c r="H24" s="48">
        <f t="shared" si="62"/>
        <v>18731.8</v>
      </c>
      <c r="I24" s="105">
        <f t="shared" si="62"/>
        <v>129.52000000000044</v>
      </c>
      <c r="K24" s="242"/>
      <c r="L24" s="94"/>
      <c r="M24" s="15">
        <v>17</v>
      </c>
      <c r="N24" s="69">
        <v>925.78</v>
      </c>
      <c r="O24" s="336">
        <v>44712</v>
      </c>
      <c r="P24" s="69">
        <v>925.78</v>
      </c>
      <c r="Q24" s="70" t="s">
        <v>490</v>
      </c>
      <c r="R24" s="71">
        <v>48</v>
      </c>
      <c r="S24" s="566">
        <f t="shared" si="7"/>
        <v>44437.440000000002</v>
      </c>
      <c r="T24" s="242"/>
      <c r="V24" s="94"/>
      <c r="W24" s="15">
        <v>17</v>
      </c>
      <c r="X24" s="69">
        <v>907.2</v>
      </c>
      <c r="Y24" s="336">
        <v>44715</v>
      </c>
      <c r="Z24" s="69">
        <v>907.2</v>
      </c>
      <c r="AA24" s="70" t="s">
        <v>521</v>
      </c>
      <c r="AB24" s="71">
        <v>51</v>
      </c>
      <c r="AC24" s="566">
        <f t="shared" si="8"/>
        <v>46267.200000000004</v>
      </c>
      <c r="AF24" s="106"/>
      <c r="AG24" s="15">
        <v>17</v>
      </c>
      <c r="AH24" s="92">
        <v>970.23</v>
      </c>
      <c r="AI24" s="324">
        <v>44713</v>
      </c>
      <c r="AJ24" s="92">
        <v>970.23</v>
      </c>
      <c r="AK24" s="95" t="s">
        <v>503</v>
      </c>
      <c r="AL24" s="71">
        <v>49</v>
      </c>
      <c r="AM24" s="566">
        <f t="shared" si="9"/>
        <v>47541.270000000004</v>
      </c>
      <c r="AP24" s="106"/>
      <c r="AQ24" s="15">
        <v>17</v>
      </c>
      <c r="AR24" s="279">
        <v>912.6</v>
      </c>
      <c r="AS24" s="324">
        <v>44714</v>
      </c>
      <c r="AT24" s="279">
        <v>912.6</v>
      </c>
      <c r="AU24" s="95" t="s">
        <v>512</v>
      </c>
      <c r="AV24" s="71">
        <v>49</v>
      </c>
      <c r="AW24" s="566">
        <f t="shared" si="10"/>
        <v>44717.4</v>
      </c>
      <c r="AZ24" s="106"/>
      <c r="BA24" s="15">
        <v>17</v>
      </c>
      <c r="BB24" s="279">
        <v>917.2</v>
      </c>
      <c r="BC24" s="324">
        <v>44715</v>
      </c>
      <c r="BD24" s="279">
        <v>917.2</v>
      </c>
      <c r="BE24" s="95" t="s">
        <v>528</v>
      </c>
      <c r="BF24" s="71">
        <v>51</v>
      </c>
      <c r="BG24" s="566">
        <f t="shared" si="11"/>
        <v>46777.200000000004</v>
      </c>
      <c r="BJ24" s="106"/>
      <c r="BK24" s="15">
        <v>17</v>
      </c>
      <c r="BL24" s="279">
        <v>878.2</v>
      </c>
      <c r="BM24" s="245">
        <v>44719</v>
      </c>
      <c r="BN24" s="279">
        <v>878.2</v>
      </c>
      <c r="BO24" s="319" t="s">
        <v>551</v>
      </c>
      <c r="BP24" s="801">
        <v>51</v>
      </c>
      <c r="BQ24" s="729">
        <f t="shared" si="12"/>
        <v>44788.200000000004</v>
      </c>
      <c r="BT24" s="106"/>
      <c r="BU24" s="263">
        <v>17</v>
      </c>
      <c r="BV24" s="279">
        <v>911.7</v>
      </c>
      <c r="BW24" s="378"/>
      <c r="BX24" s="279"/>
      <c r="BY24" s="379"/>
      <c r="BZ24" s="380"/>
      <c r="CA24" s="566">
        <f t="shared" si="13"/>
        <v>0</v>
      </c>
      <c r="CD24" s="752"/>
      <c r="CE24" s="15">
        <v>17</v>
      </c>
      <c r="CF24" s="279">
        <v>919.9</v>
      </c>
      <c r="CG24" s="963"/>
      <c r="CH24" s="279"/>
      <c r="CI24" s="802"/>
      <c r="CJ24" s="684"/>
      <c r="CK24" s="322">
        <f t="shared" si="14"/>
        <v>0</v>
      </c>
      <c r="CN24" s="598"/>
      <c r="CO24" s="15">
        <v>17</v>
      </c>
      <c r="CP24" s="279">
        <v>893.6</v>
      </c>
      <c r="CQ24" s="378"/>
      <c r="CR24" s="279"/>
      <c r="CS24" s="381"/>
      <c r="CT24" s="380"/>
      <c r="CU24" s="572">
        <f t="shared" si="48"/>
        <v>0</v>
      </c>
      <c r="CX24" s="106"/>
      <c r="CY24" s="15">
        <v>17</v>
      </c>
      <c r="CZ24" s="92">
        <v>919.88</v>
      </c>
      <c r="DA24" s="324"/>
      <c r="DB24" s="92"/>
      <c r="DC24" s="95"/>
      <c r="DD24" s="71"/>
      <c r="DE24" s="566">
        <f t="shared" si="15"/>
        <v>0</v>
      </c>
      <c r="DH24" s="106"/>
      <c r="DI24" s="15">
        <v>17</v>
      </c>
      <c r="DJ24" s="279">
        <v>940.7</v>
      </c>
      <c r="DK24" s="378"/>
      <c r="DL24" s="92"/>
      <c r="DM24" s="381"/>
      <c r="DN24" s="380"/>
      <c r="DO24" s="572">
        <f t="shared" si="16"/>
        <v>0</v>
      </c>
      <c r="DR24" s="106"/>
      <c r="DS24" s="15">
        <v>17</v>
      </c>
      <c r="DT24" s="92">
        <v>939.38</v>
      </c>
      <c r="DU24" s="378"/>
      <c r="DV24" s="92"/>
      <c r="DW24" s="381"/>
      <c r="DX24" s="380"/>
      <c r="DY24" s="566">
        <f t="shared" si="17"/>
        <v>0</v>
      </c>
      <c r="EB24" s="106"/>
      <c r="EC24" s="15">
        <v>17</v>
      </c>
      <c r="ED24" s="69">
        <v>901.7</v>
      </c>
      <c r="EE24" s="336"/>
      <c r="EF24" s="92"/>
      <c r="EG24" s="70"/>
      <c r="EH24" s="71"/>
      <c r="EI24" s="566">
        <f t="shared" si="18"/>
        <v>0</v>
      </c>
      <c r="EL24" s="106"/>
      <c r="EM24" s="15">
        <v>17</v>
      </c>
      <c r="EN24" s="279">
        <v>893.6</v>
      </c>
      <c r="EO24" s="328"/>
      <c r="EP24" s="279"/>
      <c r="EQ24" s="265"/>
      <c r="ER24" s="266"/>
      <c r="ES24" s="566">
        <f t="shared" si="19"/>
        <v>0</v>
      </c>
      <c r="EV24" s="106"/>
      <c r="EW24" s="15">
        <v>17</v>
      </c>
      <c r="EX24" s="264">
        <v>888.1</v>
      </c>
      <c r="EY24" s="494"/>
      <c r="EZ24" s="264"/>
      <c r="FA24" s="265"/>
      <c r="FB24" s="266"/>
      <c r="FC24" s="322">
        <f t="shared" si="20"/>
        <v>0</v>
      </c>
      <c r="FF24" s="106"/>
      <c r="FG24" s="15">
        <v>17</v>
      </c>
      <c r="FH24" s="279">
        <v>952.99</v>
      </c>
      <c r="FI24" s="328"/>
      <c r="FJ24" s="279"/>
      <c r="FK24" s="265"/>
      <c r="FL24" s="266"/>
      <c r="FM24" s="566">
        <f t="shared" si="21"/>
        <v>0</v>
      </c>
      <c r="FP24" s="106"/>
      <c r="FQ24" s="15">
        <v>17</v>
      </c>
      <c r="FR24" s="92">
        <v>920.79</v>
      </c>
      <c r="FS24" s="324"/>
      <c r="FT24" s="92"/>
      <c r="FU24" s="70"/>
      <c r="FV24" s="71"/>
      <c r="FW24" s="566">
        <f t="shared" si="22"/>
        <v>0</v>
      </c>
      <c r="FX24" s="71"/>
      <c r="FZ24" s="106"/>
      <c r="GA24" s="15">
        <v>17</v>
      </c>
      <c r="GB24" s="69">
        <v>912.6</v>
      </c>
      <c r="GC24" s="494"/>
      <c r="GD24" s="69"/>
      <c r="GE24" s="265"/>
      <c r="GF24" s="266"/>
      <c r="GG24" s="322">
        <f t="shared" si="23"/>
        <v>0</v>
      </c>
      <c r="GJ24" s="106"/>
      <c r="GK24" s="15">
        <v>17</v>
      </c>
      <c r="GL24" s="472">
        <v>930.8</v>
      </c>
      <c r="GM24" s="324"/>
      <c r="GN24" s="472"/>
      <c r="GO24" s="95"/>
      <c r="GP24" s="71"/>
      <c r="GQ24" s="566">
        <f t="shared" si="24"/>
        <v>0</v>
      </c>
      <c r="GT24" s="106"/>
      <c r="GU24" s="15">
        <v>17</v>
      </c>
      <c r="GV24" s="279">
        <v>965.69</v>
      </c>
      <c r="GW24" s="328"/>
      <c r="GX24" s="279"/>
      <c r="GY24" s="319"/>
      <c r="GZ24" s="266"/>
      <c r="HA24" s="566">
        <f t="shared" si="25"/>
        <v>0</v>
      </c>
      <c r="HD24" s="106"/>
      <c r="HE24" s="15">
        <v>17</v>
      </c>
      <c r="HF24" s="279">
        <v>886.3</v>
      </c>
      <c r="HG24" s="328"/>
      <c r="HH24" s="279"/>
      <c r="HI24" s="319"/>
      <c r="HJ24" s="266"/>
      <c r="HK24" s="322">
        <f t="shared" si="26"/>
        <v>0</v>
      </c>
      <c r="HN24" s="106"/>
      <c r="HO24" s="15">
        <v>17</v>
      </c>
      <c r="HP24" s="279">
        <v>891.3</v>
      </c>
      <c r="HQ24" s="328"/>
      <c r="HR24" s="279"/>
      <c r="HS24" s="383"/>
      <c r="HT24" s="266"/>
      <c r="HU24" s="566">
        <f t="shared" si="27"/>
        <v>0</v>
      </c>
      <c r="HX24" s="106"/>
      <c r="HY24" s="15">
        <v>17</v>
      </c>
      <c r="HZ24" s="69">
        <v>943.92</v>
      </c>
      <c r="IA24" s="336"/>
      <c r="IB24" s="69"/>
      <c r="IC24" s="70"/>
      <c r="ID24" s="71"/>
      <c r="IE24" s="566">
        <f t="shared" si="5"/>
        <v>0</v>
      </c>
      <c r="IH24" s="106"/>
      <c r="II24" s="15">
        <v>17</v>
      </c>
      <c r="IJ24" s="69">
        <v>933.03</v>
      </c>
      <c r="IK24" s="336"/>
      <c r="IL24" s="69"/>
      <c r="IM24" s="70"/>
      <c r="IN24" s="71"/>
      <c r="IO24" s="566">
        <f t="shared" si="28"/>
        <v>0</v>
      </c>
      <c r="IR24" s="106"/>
      <c r="IS24" s="15">
        <v>17</v>
      </c>
      <c r="IT24" s="279">
        <v>915.3</v>
      </c>
      <c r="IU24" s="245"/>
      <c r="IV24" s="279"/>
      <c r="IW24" s="500"/>
      <c r="IX24" s="266"/>
      <c r="IY24" s="322">
        <f t="shared" si="29"/>
        <v>0</v>
      </c>
      <c r="JA24" s="69"/>
      <c r="JB24" s="106"/>
      <c r="JC24" s="15">
        <v>17</v>
      </c>
      <c r="JD24" s="92">
        <v>882.7</v>
      </c>
      <c r="JE24" s="336"/>
      <c r="JF24" s="92"/>
      <c r="JG24" s="265"/>
      <c r="JH24" s="71"/>
      <c r="JI24" s="322">
        <f t="shared" si="30"/>
        <v>0</v>
      </c>
      <c r="JL24" s="106"/>
      <c r="JM24" s="15">
        <v>17</v>
      </c>
      <c r="JN24" s="92">
        <v>953.45</v>
      </c>
      <c r="JO24" s="324"/>
      <c r="JP24" s="92"/>
      <c r="JQ24" s="70"/>
      <c r="JR24" s="71"/>
      <c r="JS24" s="566">
        <f t="shared" si="31"/>
        <v>0</v>
      </c>
      <c r="JV24" s="94"/>
      <c r="JW24" s="15">
        <v>17</v>
      </c>
      <c r="JX24" s="69">
        <v>892.7</v>
      </c>
      <c r="JY24" s="336"/>
      <c r="JZ24" s="69"/>
      <c r="KA24" s="70"/>
      <c r="KB24" s="71"/>
      <c r="KC24" s="566">
        <f t="shared" si="32"/>
        <v>0</v>
      </c>
      <c r="KE24" s="242"/>
      <c r="KF24" s="457"/>
      <c r="KG24" s="15">
        <v>17</v>
      </c>
      <c r="KH24" s="69">
        <v>890.9</v>
      </c>
      <c r="KI24" s="336"/>
      <c r="KJ24" s="69"/>
      <c r="KK24" s="70"/>
      <c r="KL24" s="71"/>
      <c r="KM24" s="566">
        <f t="shared" si="33"/>
        <v>0</v>
      </c>
      <c r="KP24" s="94"/>
      <c r="KQ24" s="15">
        <v>17</v>
      </c>
      <c r="KR24" s="69">
        <v>835.97</v>
      </c>
      <c r="KS24" s="336"/>
      <c r="KT24" s="69"/>
      <c r="KU24" s="70"/>
      <c r="KV24" s="71"/>
      <c r="KW24" s="566">
        <f t="shared" si="34"/>
        <v>0</v>
      </c>
      <c r="KZ24" s="106"/>
      <c r="LA24" s="15">
        <v>17</v>
      </c>
      <c r="LB24" s="92">
        <v>919.9</v>
      </c>
      <c r="LC24" s="324"/>
      <c r="LD24" s="92"/>
      <c r="LE24" s="95"/>
      <c r="LF24" s="71"/>
      <c r="LG24" s="566">
        <f t="shared" si="35"/>
        <v>0</v>
      </c>
      <c r="LJ24" s="106"/>
      <c r="LK24" s="15">
        <v>17</v>
      </c>
      <c r="LL24" s="279">
        <v>973.4</v>
      </c>
      <c r="LM24" s="324"/>
      <c r="LN24" s="279"/>
      <c r="LO24" s="95"/>
      <c r="LP24" s="71"/>
      <c r="LQ24" s="566">
        <f t="shared" si="36"/>
        <v>0</v>
      </c>
      <c r="LT24" s="106"/>
      <c r="LU24" s="15">
        <v>17</v>
      </c>
      <c r="LV24" s="92"/>
      <c r="LW24" s="324"/>
      <c r="LX24" s="92"/>
      <c r="LY24" s="95"/>
      <c r="LZ24" s="71"/>
      <c r="MA24" s="566">
        <f t="shared" si="37"/>
        <v>0</v>
      </c>
      <c r="MB24" s="566"/>
      <c r="MD24" s="106"/>
      <c r="ME24" s="15">
        <v>17</v>
      </c>
      <c r="MF24" s="389"/>
      <c r="MG24" s="324"/>
      <c r="MH24" s="960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83647999</v>
      </c>
      <c r="E25" s="135">
        <f t="shared" si="63"/>
        <v>44733</v>
      </c>
      <c r="F25" s="86">
        <f t="shared" si="63"/>
        <v>19166.77</v>
      </c>
      <c r="G25" s="73">
        <f t="shared" si="63"/>
        <v>21</v>
      </c>
      <c r="H25" s="48">
        <f t="shared" si="63"/>
        <v>19093.8</v>
      </c>
      <c r="I25" s="105">
        <f t="shared" si="63"/>
        <v>72.970000000001164</v>
      </c>
      <c r="K25" s="242"/>
      <c r="L25" s="94"/>
      <c r="M25" s="15">
        <v>18</v>
      </c>
      <c r="N25" s="69">
        <v>933.94</v>
      </c>
      <c r="O25" s="336">
        <v>44712</v>
      </c>
      <c r="P25" s="69">
        <v>933.94</v>
      </c>
      <c r="Q25" s="70" t="s">
        <v>490</v>
      </c>
      <c r="R25" s="71">
        <v>48</v>
      </c>
      <c r="S25" s="566">
        <f t="shared" si="7"/>
        <v>44829.120000000003</v>
      </c>
      <c r="T25" s="242"/>
      <c r="V25" s="94"/>
      <c r="W25" s="15">
        <v>18</v>
      </c>
      <c r="X25" s="69">
        <v>904.5</v>
      </c>
      <c r="Y25" s="336">
        <v>44715</v>
      </c>
      <c r="Z25" s="69">
        <v>904.5</v>
      </c>
      <c r="AA25" s="70" t="s">
        <v>521</v>
      </c>
      <c r="AB25" s="71">
        <v>51</v>
      </c>
      <c r="AC25" s="566">
        <f t="shared" si="8"/>
        <v>46129.5</v>
      </c>
      <c r="AF25" s="94"/>
      <c r="AG25" s="15">
        <v>18</v>
      </c>
      <c r="AH25" s="92">
        <v>913.53</v>
      </c>
      <c r="AI25" s="324">
        <v>44713</v>
      </c>
      <c r="AJ25" s="92">
        <v>913.53</v>
      </c>
      <c r="AK25" s="95" t="s">
        <v>502</v>
      </c>
      <c r="AL25" s="71">
        <v>49</v>
      </c>
      <c r="AM25" s="566">
        <f t="shared" si="9"/>
        <v>44762.97</v>
      </c>
      <c r="AP25" s="94"/>
      <c r="AQ25" s="15">
        <v>18</v>
      </c>
      <c r="AR25" s="279">
        <v>919</v>
      </c>
      <c r="AS25" s="324">
        <v>44714</v>
      </c>
      <c r="AT25" s="279">
        <v>919</v>
      </c>
      <c r="AU25" s="95" t="s">
        <v>509</v>
      </c>
      <c r="AV25" s="71">
        <v>49</v>
      </c>
      <c r="AW25" s="566">
        <f t="shared" si="10"/>
        <v>45031</v>
      </c>
      <c r="AZ25" s="94"/>
      <c r="BA25" s="15">
        <v>18</v>
      </c>
      <c r="BB25" s="279">
        <v>907.2</v>
      </c>
      <c r="BC25" s="324">
        <v>44715</v>
      </c>
      <c r="BD25" s="279">
        <v>907.2</v>
      </c>
      <c r="BE25" s="95" t="s">
        <v>524</v>
      </c>
      <c r="BF25" s="71">
        <v>51</v>
      </c>
      <c r="BG25" s="566">
        <f t="shared" si="11"/>
        <v>46267.200000000004</v>
      </c>
      <c r="BJ25" s="106"/>
      <c r="BK25" s="15">
        <v>18</v>
      </c>
      <c r="BL25" s="279">
        <v>888.1</v>
      </c>
      <c r="BM25" s="245">
        <v>44719</v>
      </c>
      <c r="BN25" s="279">
        <v>888.1</v>
      </c>
      <c r="BO25" s="319" t="s">
        <v>551</v>
      </c>
      <c r="BP25" s="801">
        <v>51</v>
      </c>
      <c r="BQ25" s="729">
        <f t="shared" si="12"/>
        <v>45293.1</v>
      </c>
      <c r="BT25" s="106"/>
      <c r="BU25" s="263">
        <v>18</v>
      </c>
      <c r="BV25" s="279">
        <v>931.7</v>
      </c>
      <c r="BW25" s="378"/>
      <c r="BX25" s="279"/>
      <c r="BY25" s="379"/>
      <c r="BZ25" s="380"/>
      <c r="CA25" s="566">
        <f t="shared" si="13"/>
        <v>0</v>
      </c>
      <c r="CD25" s="752"/>
      <c r="CE25" s="15">
        <v>18</v>
      </c>
      <c r="CF25" s="279">
        <v>929.9</v>
      </c>
      <c r="CG25" s="963"/>
      <c r="CH25" s="279"/>
      <c r="CI25" s="802"/>
      <c r="CJ25" s="684"/>
      <c r="CK25" s="566">
        <f t="shared" si="14"/>
        <v>0</v>
      </c>
      <c r="CN25" s="598"/>
      <c r="CO25" s="15">
        <v>18</v>
      </c>
      <c r="CP25" s="279">
        <v>900.8</v>
      </c>
      <c r="CQ25" s="378"/>
      <c r="CR25" s="279"/>
      <c r="CS25" s="381"/>
      <c r="CT25" s="380"/>
      <c r="CU25" s="572">
        <f t="shared" si="48"/>
        <v>0</v>
      </c>
      <c r="CX25" s="94"/>
      <c r="CY25" s="15">
        <v>18</v>
      </c>
      <c r="CZ25" s="92">
        <v>932.13</v>
      </c>
      <c r="DA25" s="324"/>
      <c r="DB25" s="92"/>
      <c r="DC25" s="95"/>
      <c r="DD25" s="71"/>
      <c r="DE25" s="566">
        <f t="shared" si="15"/>
        <v>0</v>
      </c>
      <c r="DH25" s="94"/>
      <c r="DI25" s="15">
        <v>18</v>
      </c>
      <c r="DJ25" s="92">
        <v>899.9</v>
      </c>
      <c r="DK25" s="378"/>
      <c r="DL25" s="92"/>
      <c r="DM25" s="381"/>
      <c r="DN25" s="380"/>
      <c r="DO25" s="572">
        <f t="shared" si="16"/>
        <v>0</v>
      </c>
      <c r="DR25" s="94"/>
      <c r="DS25" s="15">
        <v>18</v>
      </c>
      <c r="DT25" s="92">
        <v>957.53</v>
      </c>
      <c r="DU25" s="378"/>
      <c r="DV25" s="92"/>
      <c r="DW25" s="381"/>
      <c r="DX25" s="380"/>
      <c r="DY25" s="566">
        <f t="shared" si="17"/>
        <v>0</v>
      </c>
      <c r="EB25" s="94"/>
      <c r="EC25" s="15">
        <v>18</v>
      </c>
      <c r="ED25" s="69">
        <v>880</v>
      </c>
      <c r="EE25" s="336"/>
      <c r="EF25" s="92"/>
      <c r="EG25" s="70"/>
      <c r="EH25" s="71"/>
      <c r="EI25" s="566">
        <f t="shared" si="18"/>
        <v>0</v>
      </c>
      <c r="EL25" s="94"/>
      <c r="EM25" s="15">
        <v>18</v>
      </c>
      <c r="EN25" s="279">
        <v>892.7</v>
      </c>
      <c r="EO25" s="328"/>
      <c r="EP25" s="279"/>
      <c r="EQ25" s="265"/>
      <c r="ER25" s="266"/>
      <c r="ES25" s="566">
        <f t="shared" si="19"/>
        <v>0</v>
      </c>
      <c r="EV25" s="94"/>
      <c r="EW25" s="15">
        <v>18</v>
      </c>
      <c r="EX25" s="264">
        <v>887.2</v>
      </c>
      <c r="EY25" s="494"/>
      <c r="EZ25" s="264"/>
      <c r="FA25" s="265"/>
      <c r="FB25" s="266"/>
      <c r="FC25" s="322">
        <f t="shared" si="20"/>
        <v>0</v>
      </c>
      <c r="FF25" s="94"/>
      <c r="FG25" s="15">
        <v>18</v>
      </c>
      <c r="FH25" s="279">
        <v>943.01</v>
      </c>
      <c r="FI25" s="328"/>
      <c r="FJ25" s="279"/>
      <c r="FK25" s="265"/>
      <c r="FL25" s="266"/>
      <c r="FM25" s="566">
        <f t="shared" si="21"/>
        <v>0</v>
      </c>
      <c r="FP25" s="94"/>
      <c r="FQ25" s="15">
        <v>18</v>
      </c>
      <c r="FR25" s="92">
        <v>889.04</v>
      </c>
      <c r="FS25" s="324"/>
      <c r="FT25" s="92"/>
      <c r="FU25" s="70"/>
      <c r="FV25" s="71"/>
      <c r="FW25" s="566">
        <f t="shared" si="22"/>
        <v>0</v>
      </c>
      <c r="FX25" s="71"/>
      <c r="FZ25" s="94"/>
      <c r="GA25" s="15">
        <v>18</v>
      </c>
      <c r="GB25" s="69">
        <v>924.4</v>
      </c>
      <c r="GC25" s="494"/>
      <c r="GD25" s="69"/>
      <c r="GE25" s="265"/>
      <c r="GF25" s="266"/>
      <c r="GG25" s="322">
        <f t="shared" si="23"/>
        <v>0</v>
      </c>
      <c r="GJ25" s="94"/>
      <c r="GK25" s="15">
        <v>18</v>
      </c>
      <c r="GL25" s="472">
        <v>881.8</v>
      </c>
      <c r="GM25" s="324"/>
      <c r="GN25" s="472"/>
      <c r="GO25" s="95"/>
      <c r="GP25" s="71"/>
      <c r="GQ25" s="566">
        <f t="shared" si="24"/>
        <v>0</v>
      </c>
      <c r="GT25" s="94"/>
      <c r="GU25" s="15">
        <v>18</v>
      </c>
      <c r="GV25" s="279">
        <v>970.23</v>
      </c>
      <c r="GW25" s="328"/>
      <c r="GX25" s="279"/>
      <c r="GY25" s="319"/>
      <c r="GZ25" s="266"/>
      <c r="HA25" s="566">
        <f t="shared" si="25"/>
        <v>0</v>
      </c>
      <c r="HD25" s="94"/>
      <c r="HE25" s="15">
        <v>18</v>
      </c>
      <c r="HF25" s="279">
        <v>880</v>
      </c>
      <c r="HG25" s="328"/>
      <c r="HH25" s="279"/>
      <c r="HI25" s="319"/>
      <c r="HJ25" s="266"/>
      <c r="HK25" s="322">
        <f t="shared" si="26"/>
        <v>0</v>
      </c>
      <c r="HN25" s="228"/>
      <c r="HO25" s="15">
        <v>18</v>
      </c>
      <c r="HP25" s="279">
        <v>889</v>
      </c>
      <c r="HQ25" s="328"/>
      <c r="HR25" s="279"/>
      <c r="HS25" s="383"/>
      <c r="HT25" s="266"/>
      <c r="HU25" s="566">
        <f t="shared" si="27"/>
        <v>0</v>
      </c>
      <c r="HX25" s="106"/>
      <c r="HY25" s="15">
        <v>18</v>
      </c>
      <c r="HZ25" s="69">
        <v>974.77</v>
      </c>
      <c r="IA25" s="336"/>
      <c r="IB25" s="69"/>
      <c r="IC25" s="70"/>
      <c r="ID25" s="71"/>
      <c r="IE25" s="566">
        <f t="shared" si="5"/>
        <v>0</v>
      </c>
      <c r="IH25" s="106"/>
      <c r="II25" s="15">
        <v>18</v>
      </c>
      <c r="IJ25" s="69">
        <v>899.47</v>
      </c>
      <c r="IK25" s="336"/>
      <c r="IL25" s="69"/>
      <c r="IM25" s="70"/>
      <c r="IN25" s="71"/>
      <c r="IO25" s="566">
        <f t="shared" si="28"/>
        <v>0</v>
      </c>
      <c r="IR25" s="94"/>
      <c r="IS25" s="15">
        <v>18</v>
      </c>
      <c r="IT25" s="279">
        <v>912.6</v>
      </c>
      <c r="IU25" s="245"/>
      <c r="IV25" s="279"/>
      <c r="IW25" s="500"/>
      <c r="IX25" s="266"/>
      <c r="IY25" s="322">
        <f t="shared" si="29"/>
        <v>0</v>
      </c>
      <c r="JA25" s="69"/>
      <c r="JB25" s="94"/>
      <c r="JC25" s="15">
        <v>18</v>
      </c>
      <c r="JD25" s="92">
        <v>882.7</v>
      </c>
      <c r="JE25" s="336"/>
      <c r="JF25" s="92"/>
      <c r="JG25" s="265"/>
      <c r="JH25" s="71"/>
      <c r="JI25" s="566">
        <f t="shared" si="30"/>
        <v>0</v>
      </c>
      <c r="JL25" s="94"/>
      <c r="JM25" s="15">
        <v>18</v>
      </c>
      <c r="JN25" s="92">
        <v>932.58</v>
      </c>
      <c r="JO25" s="324"/>
      <c r="JP25" s="92"/>
      <c r="JQ25" s="70"/>
      <c r="JR25" s="71"/>
      <c r="JS25" s="566">
        <f t="shared" si="31"/>
        <v>0</v>
      </c>
      <c r="JV25" s="94"/>
      <c r="JW25" s="15">
        <v>18</v>
      </c>
      <c r="JX25" s="69">
        <v>890.9</v>
      </c>
      <c r="JY25" s="336"/>
      <c r="JZ25" s="69"/>
      <c r="KA25" s="70"/>
      <c r="KB25" s="71"/>
      <c r="KC25" s="566">
        <f t="shared" si="32"/>
        <v>0</v>
      </c>
      <c r="KE25" s="242"/>
      <c r="KF25" s="457"/>
      <c r="KG25" s="15">
        <v>18</v>
      </c>
      <c r="KH25" s="69">
        <v>884.5</v>
      </c>
      <c r="KI25" s="336"/>
      <c r="KJ25" s="69"/>
      <c r="KK25" s="70"/>
      <c r="KL25" s="71"/>
      <c r="KM25" s="566">
        <f t="shared" si="33"/>
        <v>0</v>
      </c>
      <c r="KP25" s="94"/>
      <c r="KQ25" s="15">
        <v>18</v>
      </c>
      <c r="KR25" s="69">
        <v>864.09</v>
      </c>
      <c r="KS25" s="336"/>
      <c r="KT25" s="69"/>
      <c r="KU25" s="70"/>
      <c r="KV25" s="71"/>
      <c r="KW25" s="566">
        <f t="shared" si="34"/>
        <v>0</v>
      </c>
      <c r="KZ25" s="94"/>
      <c r="LA25" s="15">
        <v>18</v>
      </c>
      <c r="LB25" s="92">
        <v>915.3</v>
      </c>
      <c r="LC25" s="324"/>
      <c r="LD25" s="92"/>
      <c r="LE25" s="95"/>
      <c r="LF25" s="71"/>
      <c r="LG25" s="566">
        <f t="shared" si="35"/>
        <v>0</v>
      </c>
      <c r="LJ25" s="94"/>
      <c r="LK25" s="15">
        <v>18</v>
      </c>
      <c r="LL25" s="279">
        <v>952.54</v>
      </c>
      <c r="LM25" s="324"/>
      <c r="LN25" s="279"/>
      <c r="LO25" s="95"/>
      <c r="LP25" s="71"/>
      <c r="LQ25" s="566">
        <f t="shared" si="36"/>
        <v>0</v>
      </c>
      <c r="LT25" s="94"/>
      <c r="LU25" s="15">
        <v>18</v>
      </c>
      <c r="LV25" s="92"/>
      <c r="LW25" s="324"/>
      <c r="LX25" s="92"/>
      <c r="LY25" s="95"/>
      <c r="LZ25" s="71"/>
      <c r="MA25" s="566">
        <f t="shared" si="37"/>
        <v>0</v>
      </c>
      <c r="MB25" s="566"/>
      <c r="MD25" s="94"/>
      <c r="ME25" s="15">
        <v>18</v>
      </c>
      <c r="MF25" s="389"/>
      <c r="MG25" s="324"/>
      <c r="MH25" s="960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83698275</v>
      </c>
      <c r="E26" s="135">
        <f t="shared" si="64"/>
        <v>44734</v>
      </c>
      <c r="F26" s="86">
        <f t="shared" si="64"/>
        <v>18834.34</v>
      </c>
      <c r="G26" s="73">
        <f t="shared" si="64"/>
        <v>20</v>
      </c>
      <c r="H26" s="48">
        <f t="shared" si="64"/>
        <v>18929.25</v>
      </c>
      <c r="I26" s="105">
        <f t="shared" si="64"/>
        <v>-94.909999999999854</v>
      </c>
      <c r="K26" s="242"/>
      <c r="L26" s="94"/>
      <c r="M26" s="15">
        <v>19</v>
      </c>
      <c r="N26" s="69">
        <v>898.56</v>
      </c>
      <c r="O26" s="336">
        <v>44712</v>
      </c>
      <c r="P26" s="69">
        <v>898.56</v>
      </c>
      <c r="Q26" s="70" t="s">
        <v>490</v>
      </c>
      <c r="R26" s="71">
        <v>48</v>
      </c>
      <c r="S26" s="566">
        <f t="shared" si="7"/>
        <v>43130.879999999997</v>
      </c>
      <c r="T26" s="242"/>
      <c r="V26" s="94"/>
      <c r="W26" s="15">
        <v>19</v>
      </c>
      <c r="X26" s="69">
        <v>886.3</v>
      </c>
      <c r="Y26" s="336">
        <v>44715</v>
      </c>
      <c r="Z26" s="69">
        <v>886.3</v>
      </c>
      <c r="AA26" s="70" t="s">
        <v>521</v>
      </c>
      <c r="AB26" s="71">
        <v>51</v>
      </c>
      <c r="AC26" s="566">
        <f t="shared" si="8"/>
        <v>45201.299999999996</v>
      </c>
      <c r="AF26" s="106"/>
      <c r="AG26" s="15">
        <v>19</v>
      </c>
      <c r="AH26" s="92">
        <v>929.86</v>
      </c>
      <c r="AI26" s="324">
        <v>44713</v>
      </c>
      <c r="AJ26" s="92">
        <v>929.86</v>
      </c>
      <c r="AK26" s="95" t="s">
        <v>495</v>
      </c>
      <c r="AL26" s="71">
        <v>49</v>
      </c>
      <c r="AM26" s="566">
        <f t="shared" si="9"/>
        <v>45563.14</v>
      </c>
      <c r="AP26" s="106"/>
      <c r="AQ26" s="15">
        <v>19</v>
      </c>
      <c r="AR26" s="279">
        <v>940.7</v>
      </c>
      <c r="AS26" s="324">
        <v>44714</v>
      </c>
      <c r="AT26" s="279">
        <v>940.7</v>
      </c>
      <c r="AU26" s="95" t="s">
        <v>509</v>
      </c>
      <c r="AV26" s="71">
        <v>49</v>
      </c>
      <c r="AW26" s="566">
        <f t="shared" si="10"/>
        <v>46094.3</v>
      </c>
      <c r="AZ26" s="106"/>
      <c r="BA26" s="15">
        <v>19</v>
      </c>
      <c r="BB26" s="279">
        <v>912.6</v>
      </c>
      <c r="BC26" s="324">
        <v>44715</v>
      </c>
      <c r="BD26" s="279">
        <v>912.6</v>
      </c>
      <c r="BE26" s="95" t="s">
        <v>524</v>
      </c>
      <c r="BF26" s="71">
        <v>51</v>
      </c>
      <c r="BG26" s="566">
        <f t="shared" si="11"/>
        <v>46542.6</v>
      </c>
      <c r="BJ26" s="106"/>
      <c r="BK26" s="15">
        <v>19</v>
      </c>
      <c r="BL26" s="279">
        <v>918.1</v>
      </c>
      <c r="BM26" s="245">
        <v>44719</v>
      </c>
      <c r="BN26" s="279">
        <v>918.1</v>
      </c>
      <c r="BO26" s="319" t="s">
        <v>551</v>
      </c>
      <c r="BP26" s="801">
        <v>51</v>
      </c>
      <c r="BQ26" s="729">
        <f t="shared" si="12"/>
        <v>46823.1</v>
      </c>
      <c r="BT26" s="106"/>
      <c r="BU26" s="263">
        <v>19</v>
      </c>
      <c r="BV26" s="279">
        <v>915.3</v>
      </c>
      <c r="BW26" s="378"/>
      <c r="BX26" s="279"/>
      <c r="BY26" s="379"/>
      <c r="BZ26" s="380"/>
      <c r="CA26" s="566">
        <f t="shared" si="13"/>
        <v>0</v>
      </c>
      <c r="CD26" s="752"/>
      <c r="CE26" s="15">
        <v>19</v>
      </c>
      <c r="CF26" s="279">
        <v>879.1</v>
      </c>
      <c r="CG26" s="963"/>
      <c r="CH26" s="279"/>
      <c r="CI26" s="802"/>
      <c r="CJ26" s="684"/>
      <c r="CK26" s="566">
        <f t="shared" si="14"/>
        <v>0</v>
      </c>
      <c r="CN26" s="598"/>
      <c r="CO26" s="15">
        <v>19</v>
      </c>
      <c r="CP26" s="279">
        <v>884.5</v>
      </c>
      <c r="CQ26" s="378"/>
      <c r="CR26" s="279"/>
      <c r="CS26" s="381"/>
      <c r="CT26" s="380"/>
      <c r="CU26" s="572">
        <f t="shared" si="48"/>
        <v>0</v>
      </c>
      <c r="CX26" s="106"/>
      <c r="CY26" s="15">
        <v>19</v>
      </c>
      <c r="CZ26" s="92">
        <v>901.28</v>
      </c>
      <c r="DA26" s="324"/>
      <c r="DB26" s="92"/>
      <c r="DC26" s="95"/>
      <c r="DD26" s="71"/>
      <c r="DE26" s="566">
        <f t="shared" si="15"/>
        <v>0</v>
      </c>
      <c r="DH26" s="106"/>
      <c r="DI26" s="15">
        <v>19</v>
      </c>
      <c r="DJ26" s="92">
        <v>919.9</v>
      </c>
      <c r="DK26" s="378"/>
      <c r="DL26" s="92"/>
      <c r="DM26" s="381"/>
      <c r="DN26" s="380"/>
      <c r="DO26" s="572">
        <f t="shared" si="16"/>
        <v>0</v>
      </c>
      <c r="DR26" s="106"/>
      <c r="DS26" s="15">
        <v>19</v>
      </c>
      <c r="DT26" s="92">
        <v>975.22</v>
      </c>
      <c r="DU26" s="378"/>
      <c r="DV26" s="92"/>
      <c r="DW26" s="381"/>
      <c r="DX26" s="380"/>
      <c r="DY26" s="566">
        <f t="shared" si="17"/>
        <v>0</v>
      </c>
      <c r="EB26" s="106"/>
      <c r="EC26" s="15">
        <v>19</v>
      </c>
      <c r="ED26" s="69">
        <v>869.1</v>
      </c>
      <c r="EE26" s="336"/>
      <c r="EF26" s="69"/>
      <c r="EG26" s="70"/>
      <c r="EH26" s="71"/>
      <c r="EI26" s="566">
        <f t="shared" si="18"/>
        <v>0</v>
      </c>
      <c r="EL26" s="94"/>
      <c r="EM26" s="15">
        <v>19</v>
      </c>
      <c r="EN26" s="279">
        <v>932.6</v>
      </c>
      <c r="EO26" s="328"/>
      <c r="EP26" s="279"/>
      <c r="EQ26" s="265"/>
      <c r="ER26" s="266"/>
      <c r="ES26" s="566">
        <f t="shared" si="19"/>
        <v>0</v>
      </c>
      <c r="EV26" s="106"/>
      <c r="EW26" s="15">
        <v>19</v>
      </c>
      <c r="EX26" s="264">
        <v>936.2</v>
      </c>
      <c r="EY26" s="494"/>
      <c r="EZ26" s="264"/>
      <c r="FA26" s="265"/>
      <c r="FB26" s="266"/>
      <c r="FC26" s="322">
        <f t="shared" si="20"/>
        <v>0</v>
      </c>
      <c r="FF26" s="94"/>
      <c r="FG26" s="15">
        <v>19</v>
      </c>
      <c r="FH26" s="279">
        <v>916.71</v>
      </c>
      <c r="FI26" s="328"/>
      <c r="FJ26" s="279"/>
      <c r="FK26" s="265"/>
      <c r="FL26" s="266"/>
      <c r="FM26" s="566">
        <f t="shared" si="21"/>
        <v>0</v>
      </c>
      <c r="FP26" s="106"/>
      <c r="FQ26" s="15">
        <v>19</v>
      </c>
      <c r="FR26" s="92">
        <v>953.9</v>
      </c>
      <c r="FS26" s="324"/>
      <c r="FT26" s="92"/>
      <c r="FU26" s="70"/>
      <c r="FV26" s="71"/>
      <c r="FW26" s="566">
        <f t="shared" si="22"/>
        <v>0</v>
      </c>
      <c r="FX26" s="71"/>
      <c r="FZ26" s="106"/>
      <c r="GA26" s="15">
        <v>19</v>
      </c>
      <c r="GB26" s="69"/>
      <c r="GC26" s="494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2">
        <v>878.2</v>
      </c>
      <c r="GM26" s="324"/>
      <c r="GN26" s="472"/>
      <c r="GO26" s="95"/>
      <c r="GP26" s="71"/>
      <c r="GQ26" s="566">
        <f t="shared" si="24"/>
        <v>0</v>
      </c>
      <c r="GT26" s="106"/>
      <c r="GU26" s="15">
        <v>19</v>
      </c>
      <c r="GV26" s="279">
        <v>935.76</v>
      </c>
      <c r="GW26" s="328"/>
      <c r="GX26" s="279"/>
      <c r="GY26" s="319"/>
      <c r="GZ26" s="266"/>
      <c r="HA26" s="566">
        <f t="shared" si="25"/>
        <v>0</v>
      </c>
      <c r="HD26" s="106"/>
      <c r="HE26" s="15">
        <v>19</v>
      </c>
      <c r="HF26" s="279">
        <v>909</v>
      </c>
      <c r="HG26" s="328"/>
      <c r="HH26" s="279"/>
      <c r="HI26" s="319"/>
      <c r="HJ26" s="266"/>
      <c r="HK26" s="322">
        <f t="shared" si="26"/>
        <v>0</v>
      </c>
      <c r="HN26" s="228"/>
      <c r="HO26" s="15">
        <v>19</v>
      </c>
      <c r="HP26" s="279">
        <v>917.2</v>
      </c>
      <c r="HQ26" s="328"/>
      <c r="HR26" s="279"/>
      <c r="HS26" s="383"/>
      <c r="HT26" s="266"/>
      <c r="HU26" s="566">
        <f t="shared" si="27"/>
        <v>0</v>
      </c>
      <c r="HX26" s="106"/>
      <c r="HY26" s="15">
        <v>19</v>
      </c>
      <c r="HZ26" s="69">
        <v>907.63</v>
      </c>
      <c r="IA26" s="336"/>
      <c r="IB26" s="69"/>
      <c r="IC26" s="70"/>
      <c r="ID26" s="71"/>
      <c r="IE26" s="566">
        <f t="shared" si="5"/>
        <v>0</v>
      </c>
      <c r="IH26" s="106"/>
      <c r="II26" s="15">
        <v>19</v>
      </c>
      <c r="IJ26" s="69">
        <v>931.67</v>
      </c>
      <c r="IK26" s="336"/>
      <c r="IL26" s="69"/>
      <c r="IM26" s="70"/>
      <c r="IN26" s="71"/>
      <c r="IO26" s="566">
        <f t="shared" si="28"/>
        <v>0</v>
      </c>
      <c r="IR26" s="106"/>
      <c r="IS26" s="15">
        <v>19</v>
      </c>
      <c r="IT26" s="279">
        <v>895.4</v>
      </c>
      <c r="IU26" s="245"/>
      <c r="IV26" s="279"/>
      <c r="IW26" s="500"/>
      <c r="IX26" s="266"/>
      <c r="IY26" s="322">
        <f t="shared" si="29"/>
        <v>0</v>
      </c>
      <c r="JA26" s="69"/>
      <c r="JB26" s="106"/>
      <c r="JC26" s="15">
        <v>19</v>
      </c>
      <c r="JD26" s="92">
        <v>912.2</v>
      </c>
      <c r="JE26" s="336"/>
      <c r="JF26" s="92"/>
      <c r="JG26" s="265"/>
      <c r="JH26" s="71"/>
      <c r="JI26" s="566">
        <f t="shared" si="30"/>
        <v>0</v>
      </c>
      <c r="JL26" s="106"/>
      <c r="JM26" s="15">
        <v>19</v>
      </c>
      <c r="JN26" s="92">
        <v>970.23</v>
      </c>
      <c r="JO26" s="324"/>
      <c r="JP26" s="92"/>
      <c r="JQ26" s="70"/>
      <c r="JR26" s="71"/>
      <c r="JS26" s="566">
        <f t="shared" si="31"/>
        <v>0</v>
      </c>
      <c r="JV26" s="94"/>
      <c r="JW26" s="15">
        <v>19</v>
      </c>
      <c r="JX26" s="69">
        <v>907.2</v>
      </c>
      <c r="JY26" s="336"/>
      <c r="JZ26" s="69"/>
      <c r="KA26" s="70"/>
      <c r="KB26" s="71"/>
      <c r="KC26" s="566">
        <f t="shared" si="32"/>
        <v>0</v>
      </c>
      <c r="KE26" s="242"/>
      <c r="KF26" s="457"/>
      <c r="KG26" s="15">
        <v>19</v>
      </c>
      <c r="KH26" s="69">
        <v>871.8</v>
      </c>
      <c r="KI26" s="336"/>
      <c r="KJ26" s="69"/>
      <c r="KK26" s="70"/>
      <c r="KL26" s="71"/>
      <c r="KM26" s="566">
        <f t="shared" si="33"/>
        <v>0</v>
      </c>
      <c r="KP26" s="94"/>
      <c r="KQ26" s="15">
        <v>19</v>
      </c>
      <c r="KR26" s="69">
        <v>832.79</v>
      </c>
      <c r="KS26" s="336"/>
      <c r="KT26" s="69"/>
      <c r="KU26" s="70"/>
      <c r="KV26" s="71"/>
      <c r="KW26" s="566">
        <f t="shared" si="34"/>
        <v>0</v>
      </c>
      <c r="KZ26" s="106"/>
      <c r="LA26" s="15">
        <v>19</v>
      </c>
      <c r="LB26" s="92">
        <v>900.8</v>
      </c>
      <c r="LC26" s="324"/>
      <c r="LD26" s="92"/>
      <c r="LE26" s="95"/>
      <c r="LF26" s="71"/>
      <c r="LG26" s="566">
        <f t="shared" si="35"/>
        <v>0</v>
      </c>
      <c r="LJ26" s="106"/>
      <c r="LK26" s="15">
        <v>19</v>
      </c>
      <c r="LL26" s="279">
        <v>928.95</v>
      </c>
      <c r="LM26" s="324"/>
      <c r="LN26" s="279"/>
      <c r="LO26" s="95"/>
      <c r="LP26" s="71"/>
      <c r="LQ26" s="566">
        <f t="shared" si="36"/>
        <v>0</v>
      </c>
      <c r="LT26" s="106"/>
      <c r="LU26" s="15">
        <v>19</v>
      </c>
      <c r="LV26" s="92"/>
      <c r="LW26" s="324"/>
      <c r="LX26" s="92"/>
      <c r="LY26" s="95"/>
      <c r="LZ26" s="71"/>
      <c r="MA26" s="566">
        <f t="shared" si="37"/>
        <v>0</v>
      </c>
      <c r="MB26" s="566"/>
      <c r="MD26" s="106"/>
      <c r="ME26" s="15">
        <v>19</v>
      </c>
      <c r="MF26" s="389"/>
      <c r="MG26" s="324"/>
      <c r="MH26" s="960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83754489</v>
      </c>
      <c r="E27" s="135">
        <f t="shared" si="65"/>
        <v>44735</v>
      </c>
      <c r="F27" s="86">
        <f t="shared" si="65"/>
        <v>18628.689999999999</v>
      </c>
      <c r="G27" s="73">
        <f t="shared" si="65"/>
        <v>20</v>
      </c>
      <c r="H27" s="48">
        <f t="shared" si="65"/>
        <v>18688.36</v>
      </c>
      <c r="I27" s="105">
        <f t="shared" si="65"/>
        <v>-59.670000000001892</v>
      </c>
      <c r="K27" s="242"/>
      <c r="L27" s="94"/>
      <c r="M27" s="15">
        <v>20</v>
      </c>
      <c r="N27" s="69">
        <v>972.5</v>
      </c>
      <c r="O27" s="336">
        <v>44712</v>
      </c>
      <c r="P27" s="69">
        <v>972.5</v>
      </c>
      <c r="Q27" s="70" t="s">
        <v>490</v>
      </c>
      <c r="R27" s="71">
        <v>48</v>
      </c>
      <c r="S27" s="566">
        <f t="shared" si="7"/>
        <v>46680</v>
      </c>
      <c r="T27" s="242"/>
      <c r="V27" s="94"/>
      <c r="W27" s="15">
        <v>20</v>
      </c>
      <c r="X27" s="69">
        <v>893.6</v>
      </c>
      <c r="Y27" s="336">
        <v>44715</v>
      </c>
      <c r="Z27" s="69">
        <v>893.6</v>
      </c>
      <c r="AA27" s="70" t="s">
        <v>521</v>
      </c>
      <c r="AB27" s="71">
        <v>51</v>
      </c>
      <c r="AC27" s="566">
        <f t="shared" si="8"/>
        <v>45573.599999999999</v>
      </c>
      <c r="AF27" s="106"/>
      <c r="AG27" s="15">
        <v>20</v>
      </c>
      <c r="AH27" s="92">
        <v>923.51</v>
      </c>
      <c r="AI27" s="324">
        <v>44713</v>
      </c>
      <c r="AJ27" s="92">
        <v>923.51</v>
      </c>
      <c r="AK27" s="95" t="s">
        <v>503</v>
      </c>
      <c r="AL27" s="71">
        <v>49</v>
      </c>
      <c r="AM27" s="566">
        <f t="shared" si="9"/>
        <v>45251.99</v>
      </c>
      <c r="AP27" s="106"/>
      <c r="AQ27" s="15">
        <v>20</v>
      </c>
      <c r="AR27" s="279">
        <v>902.6</v>
      </c>
      <c r="AS27" s="324">
        <v>44714</v>
      </c>
      <c r="AT27" s="279">
        <v>902.6</v>
      </c>
      <c r="AU27" s="95" t="s">
        <v>512</v>
      </c>
      <c r="AV27" s="71">
        <v>49</v>
      </c>
      <c r="AW27" s="566">
        <f t="shared" si="10"/>
        <v>44227.4</v>
      </c>
      <c r="AZ27" s="106"/>
      <c r="BA27" s="15">
        <v>20</v>
      </c>
      <c r="BB27" s="279">
        <v>900.8</v>
      </c>
      <c r="BC27" s="324">
        <v>44715</v>
      </c>
      <c r="BD27" s="279">
        <v>900.8</v>
      </c>
      <c r="BE27" s="95" t="s">
        <v>524</v>
      </c>
      <c r="BF27" s="71">
        <v>51</v>
      </c>
      <c r="BG27" s="566">
        <f t="shared" si="11"/>
        <v>45940.799999999996</v>
      </c>
      <c r="BJ27" s="106"/>
      <c r="BK27" s="15">
        <v>20</v>
      </c>
      <c r="BL27" s="279">
        <v>891.8</v>
      </c>
      <c r="BM27" s="245">
        <v>44719</v>
      </c>
      <c r="BN27" s="279">
        <v>891.8</v>
      </c>
      <c r="BO27" s="319" t="s">
        <v>551</v>
      </c>
      <c r="BP27" s="801">
        <v>51</v>
      </c>
      <c r="BQ27" s="729">
        <f t="shared" si="12"/>
        <v>45481.799999999996</v>
      </c>
      <c r="BT27" s="106"/>
      <c r="BU27" s="263">
        <v>20</v>
      </c>
      <c r="BV27" s="279">
        <v>931.7</v>
      </c>
      <c r="BW27" s="378"/>
      <c r="BX27" s="279"/>
      <c r="BY27" s="379"/>
      <c r="BZ27" s="380"/>
      <c r="CA27" s="566">
        <f t="shared" si="13"/>
        <v>0</v>
      </c>
      <c r="CD27" s="752"/>
      <c r="CE27" s="15">
        <v>20</v>
      </c>
      <c r="CF27" s="279">
        <v>919</v>
      </c>
      <c r="CG27" s="963"/>
      <c r="CH27" s="279"/>
      <c r="CI27" s="802"/>
      <c r="CJ27" s="684"/>
      <c r="CK27" s="566">
        <f t="shared" si="14"/>
        <v>0</v>
      </c>
      <c r="CN27" s="598"/>
      <c r="CO27" s="15">
        <v>20</v>
      </c>
      <c r="CP27" s="279">
        <v>890.9</v>
      </c>
      <c r="CQ27" s="378"/>
      <c r="CR27" s="279"/>
      <c r="CS27" s="381"/>
      <c r="CT27" s="380"/>
      <c r="CU27" s="572">
        <f t="shared" si="48"/>
        <v>0</v>
      </c>
      <c r="CX27" s="106"/>
      <c r="CY27" s="15">
        <v>20</v>
      </c>
      <c r="CZ27" s="92">
        <v>928.95</v>
      </c>
      <c r="DA27" s="324"/>
      <c r="DB27" s="92"/>
      <c r="DC27" s="95"/>
      <c r="DD27" s="71"/>
      <c r="DE27" s="566">
        <f t="shared" si="15"/>
        <v>0</v>
      </c>
      <c r="DH27" s="106"/>
      <c r="DI27" s="15">
        <v>20</v>
      </c>
      <c r="DJ27" s="92">
        <v>914.4</v>
      </c>
      <c r="DK27" s="378"/>
      <c r="DL27" s="92"/>
      <c r="DM27" s="381"/>
      <c r="DN27" s="380"/>
      <c r="DO27" s="572">
        <f t="shared" si="16"/>
        <v>0</v>
      </c>
      <c r="DR27" s="106"/>
      <c r="DS27" s="15">
        <v>20</v>
      </c>
      <c r="DT27" s="92">
        <v>957.53</v>
      </c>
      <c r="DU27" s="378"/>
      <c r="DV27" s="92"/>
      <c r="DW27" s="381"/>
      <c r="DX27" s="380"/>
      <c r="DY27" s="566">
        <f t="shared" si="17"/>
        <v>0</v>
      </c>
      <c r="EB27" s="106"/>
      <c r="EC27" s="15">
        <v>20</v>
      </c>
      <c r="ED27" s="69">
        <v>929</v>
      </c>
      <c r="EE27" s="336"/>
      <c r="EF27" s="69"/>
      <c r="EG27" s="70"/>
      <c r="EH27" s="71"/>
      <c r="EI27" s="566">
        <f t="shared" si="18"/>
        <v>0</v>
      </c>
      <c r="EL27" s="94"/>
      <c r="EM27" s="15">
        <v>20</v>
      </c>
      <c r="EN27" s="279">
        <v>916.3</v>
      </c>
      <c r="EO27" s="328"/>
      <c r="EP27" s="279"/>
      <c r="EQ27" s="265"/>
      <c r="ER27" s="266"/>
      <c r="ES27" s="566">
        <f t="shared" si="19"/>
        <v>0</v>
      </c>
      <c r="EV27" s="106"/>
      <c r="EW27" s="15">
        <v>20</v>
      </c>
      <c r="EX27" s="264">
        <v>906.3</v>
      </c>
      <c r="EY27" s="494"/>
      <c r="EZ27" s="264"/>
      <c r="FA27" s="265"/>
      <c r="FB27" s="266"/>
      <c r="FC27" s="322">
        <f t="shared" si="20"/>
        <v>0</v>
      </c>
      <c r="FF27" s="94"/>
      <c r="FG27" s="15">
        <v>20</v>
      </c>
      <c r="FH27" s="279">
        <v>929.4</v>
      </c>
      <c r="FI27" s="328"/>
      <c r="FJ27" s="279"/>
      <c r="FK27" s="265"/>
      <c r="FL27" s="266"/>
      <c r="FM27" s="566">
        <f t="shared" si="21"/>
        <v>0</v>
      </c>
      <c r="FP27" s="106"/>
      <c r="FQ27" s="15">
        <v>20</v>
      </c>
      <c r="FR27" s="92">
        <v>923.51</v>
      </c>
      <c r="FS27" s="324"/>
      <c r="FT27" s="92"/>
      <c r="FU27" s="70"/>
      <c r="FV27" s="71"/>
      <c r="FW27" s="566">
        <f t="shared" si="22"/>
        <v>0</v>
      </c>
      <c r="FX27" s="71"/>
      <c r="FZ27" s="106"/>
      <c r="GA27" s="15">
        <v>20</v>
      </c>
      <c r="GB27" s="69"/>
      <c r="GC27" s="494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2">
        <v>893.6</v>
      </c>
      <c r="GM27" s="324"/>
      <c r="GN27" s="472"/>
      <c r="GO27" s="95"/>
      <c r="GP27" s="71"/>
      <c r="GQ27" s="566">
        <f t="shared" si="24"/>
        <v>0</v>
      </c>
      <c r="GT27" s="106"/>
      <c r="GU27" s="15">
        <v>20</v>
      </c>
      <c r="GV27" s="279">
        <v>947.55</v>
      </c>
      <c r="GW27" s="328"/>
      <c r="GX27" s="279"/>
      <c r="GY27" s="319"/>
      <c r="GZ27" s="266"/>
      <c r="HA27" s="566">
        <f t="shared" si="25"/>
        <v>0</v>
      </c>
      <c r="HD27" s="106"/>
      <c r="HE27" s="15">
        <v>20</v>
      </c>
      <c r="HF27" s="279">
        <v>870</v>
      </c>
      <c r="HG27" s="328"/>
      <c r="HH27" s="279"/>
      <c r="HI27" s="319"/>
      <c r="HJ27" s="266"/>
      <c r="HK27" s="322">
        <f t="shared" si="26"/>
        <v>0</v>
      </c>
      <c r="HN27" s="228"/>
      <c r="HO27" s="15">
        <v>20</v>
      </c>
      <c r="HP27" s="279">
        <v>920.8</v>
      </c>
      <c r="HQ27" s="328"/>
      <c r="HR27" s="279"/>
      <c r="HS27" s="383"/>
      <c r="HT27" s="266"/>
      <c r="HU27" s="566">
        <f t="shared" si="27"/>
        <v>0</v>
      </c>
      <c r="HX27" s="106"/>
      <c r="HY27" s="15">
        <v>20</v>
      </c>
      <c r="HZ27" s="69">
        <v>952.09</v>
      </c>
      <c r="IA27" s="336"/>
      <c r="IB27" s="69"/>
      <c r="IC27" s="70"/>
      <c r="ID27" s="71"/>
      <c r="IE27" s="566">
        <f t="shared" si="5"/>
        <v>0</v>
      </c>
      <c r="IH27" s="106"/>
      <c r="II27" s="15">
        <v>20</v>
      </c>
      <c r="IJ27" s="69">
        <v>962.52</v>
      </c>
      <c r="IK27" s="336"/>
      <c r="IL27" s="69"/>
      <c r="IM27" s="70"/>
      <c r="IN27" s="71"/>
      <c r="IO27" s="566">
        <f t="shared" si="28"/>
        <v>0</v>
      </c>
      <c r="IR27" s="106"/>
      <c r="IS27" s="15">
        <v>20</v>
      </c>
      <c r="IT27" s="279">
        <v>919.9</v>
      </c>
      <c r="IU27" s="245"/>
      <c r="IV27" s="279"/>
      <c r="IW27" s="500"/>
      <c r="IX27" s="266"/>
      <c r="IY27" s="322">
        <f t="shared" si="29"/>
        <v>0</v>
      </c>
      <c r="JA27" s="69"/>
      <c r="JB27" s="106"/>
      <c r="JC27" s="15">
        <v>20</v>
      </c>
      <c r="JD27" s="92">
        <v>893.6</v>
      </c>
      <c r="JE27" s="336"/>
      <c r="JF27" s="92"/>
      <c r="JG27" s="265"/>
      <c r="JH27" s="71"/>
      <c r="JI27" s="566">
        <f t="shared" si="30"/>
        <v>0</v>
      </c>
      <c r="JL27" s="106"/>
      <c r="JM27" s="15">
        <v>20</v>
      </c>
      <c r="JN27" s="92">
        <v>948</v>
      </c>
      <c r="JO27" s="324"/>
      <c r="JP27" s="92"/>
      <c r="JQ27" s="70"/>
      <c r="JR27" s="71"/>
      <c r="JS27" s="566">
        <f t="shared" si="31"/>
        <v>0</v>
      </c>
      <c r="JV27" s="94"/>
      <c r="JW27" s="15">
        <v>20</v>
      </c>
      <c r="JX27" s="69">
        <v>912.6</v>
      </c>
      <c r="JY27" s="336"/>
      <c r="JZ27" s="69"/>
      <c r="KA27" s="70"/>
      <c r="KB27" s="71"/>
      <c r="KC27" s="566">
        <f t="shared" si="32"/>
        <v>0</v>
      </c>
      <c r="KE27" s="242"/>
      <c r="KF27" s="457"/>
      <c r="KG27" s="15">
        <v>20</v>
      </c>
      <c r="KH27" s="69">
        <v>866.4</v>
      </c>
      <c r="KI27" s="336"/>
      <c r="KJ27" s="69"/>
      <c r="KK27" s="70"/>
      <c r="KL27" s="71"/>
      <c r="KM27" s="566">
        <f t="shared" si="33"/>
        <v>0</v>
      </c>
      <c r="KP27" s="94"/>
      <c r="KQ27" s="15">
        <v>20</v>
      </c>
      <c r="KR27" s="69">
        <v>867.26</v>
      </c>
      <c r="KS27" s="336"/>
      <c r="KT27" s="69"/>
      <c r="KU27" s="70"/>
      <c r="KV27" s="71"/>
      <c r="KW27" s="566">
        <f t="shared" si="34"/>
        <v>0</v>
      </c>
      <c r="KZ27" s="106"/>
      <c r="LA27" s="15">
        <v>20</v>
      </c>
      <c r="LB27" s="92">
        <v>935.3</v>
      </c>
      <c r="LC27" s="324"/>
      <c r="LD27" s="92"/>
      <c r="LE27" s="95"/>
      <c r="LF27" s="71"/>
      <c r="LG27" s="566">
        <f t="shared" si="35"/>
        <v>0</v>
      </c>
      <c r="LJ27" s="106"/>
      <c r="LK27" s="15">
        <v>20</v>
      </c>
      <c r="LL27" s="279">
        <v>975.22</v>
      </c>
      <c r="LM27" s="324"/>
      <c r="LN27" s="279"/>
      <c r="LO27" s="95"/>
      <c r="LP27" s="71"/>
      <c r="LQ27" s="566">
        <f t="shared" si="36"/>
        <v>0</v>
      </c>
      <c r="LT27" s="106"/>
      <c r="LU27" s="15">
        <v>20</v>
      </c>
      <c r="LV27" s="92"/>
      <c r="LW27" s="324"/>
      <c r="LX27" s="92"/>
      <c r="LY27" s="95"/>
      <c r="LZ27" s="71"/>
      <c r="MA27" s="566">
        <f t="shared" si="37"/>
        <v>0</v>
      </c>
      <c r="MB27" s="566"/>
      <c r="MD27" s="106"/>
      <c r="ME27" s="15">
        <v>20</v>
      </c>
      <c r="MF27" s="389"/>
      <c r="MG27" s="324"/>
      <c r="MH27" s="960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83754490</v>
      </c>
      <c r="E28" s="135">
        <f t="shared" si="66"/>
        <v>44735</v>
      </c>
      <c r="F28" s="86">
        <f t="shared" si="66"/>
        <v>19129.330000000002</v>
      </c>
      <c r="G28" s="73">
        <f t="shared" si="66"/>
        <v>21</v>
      </c>
      <c r="H28" s="48">
        <f t="shared" si="66"/>
        <v>19200.400000000001</v>
      </c>
      <c r="I28" s="105">
        <f t="shared" si="66"/>
        <v>-71.069999999999709</v>
      </c>
      <c r="J28" s="242"/>
      <c r="L28" s="94"/>
      <c r="M28" s="15">
        <v>21</v>
      </c>
      <c r="N28" s="69"/>
      <c r="O28" s="336"/>
      <c r="P28" s="69"/>
      <c r="Q28" s="70"/>
      <c r="R28" s="71"/>
      <c r="S28" s="566">
        <f t="shared" si="7"/>
        <v>0</v>
      </c>
      <c r="T28" s="242"/>
      <c r="V28" s="94"/>
      <c r="W28" s="15">
        <v>21</v>
      </c>
      <c r="X28" s="69">
        <v>919.9</v>
      </c>
      <c r="Y28" s="336">
        <v>44715</v>
      </c>
      <c r="Z28" s="69">
        <v>919.9</v>
      </c>
      <c r="AA28" s="70" t="s">
        <v>521</v>
      </c>
      <c r="AB28" s="71">
        <v>51</v>
      </c>
      <c r="AC28" s="566">
        <f t="shared" si="8"/>
        <v>46914.9</v>
      </c>
      <c r="AF28" s="106"/>
      <c r="AG28" s="15">
        <v>21</v>
      </c>
      <c r="AH28" s="92"/>
      <c r="AI28" s="324"/>
      <c r="AJ28" s="92"/>
      <c r="AK28" s="95"/>
      <c r="AL28" s="71"/>
      <c r="AM28" s="566">
        <f t="shared" si="9"/>
        <v>0</v>
      </c>
      <c r="AP28" s="106"/>
      <c r="AQ28" s="15">
        <v>21</v>
      </c>
      <c r="AR28" s="92">
        <v>915.3</v>
      </c>
      <c r="AS28" s="324">
        <v>44714</v>
      </c>
      <c r="AT28" s="92">
        <v>915.3</v>
      </c>
      <c r="AU28" s="95" t="s">
        <v>509</v>
      </c>
      <c r="AV28" s="71">
        <v>49</v>
      </c>
      <c r="AW28" s="566">
        <f t="shared" si="10"/>
        <v>44849.7</v>
      </c>
      <c r="AZ28" s="106"/>
      <c r="BA28" s="15">
        <v>21</v>
      </c>
      <c r="BB28" s="92">
        <v>899.9</v>
      </c>
      <c r="BC28" s="324">
        <v>44715</v>
      </c>
      <c r="BD28" s="92">
        <v>899.9</v>
      </c>
      <c r="BE28" s="95" t="s">
        <v>528</v>
      </c>
      <c r="BF28" s="71">
        <v>51</v>
      </c>
      <c r="BG28" s="566">
        <f t="shared" si="11"/>
        <v>45894.9</v>
      </c>
      <c r="BJ28" s="106"/>
      <c r="BK28" s="15">
        <v>21</v>
      </c>
      <c r="BL28" s="279">
        <v>933.5</v>
      </c>
      <c r="BM28" s="245">
        <v>44719</v>
      </c>
      <c r="BN28" s="279">
        <v>933.5</v>
      </c>
      <c r="BO28" s="319" t="s">
        <v>551</v>
      </c>
      <c r="BP28" s="801">
        <v>51</v>
      </c>
      <c r="BQ28" s="579">
        <f t="shared" si="12"/>
        <v>47608.5</v>
      </c>
      <c r="BT28" s="106"/>
      <c r="BU28" s="263">
        <v>21</v>
      </c>
      <c r="BV28" s="279">
        <v>912.6</v>
      </c>
      <c r="BW28" s="378"/>
      <c r="BX28" s="279"/>
      <c r="BY28" s="379"/>
      <c r="BZ28" s="380"/>
      <c r="CA28" s="566">
        <f t="shared" si="13"/>
        <v>0</v>
      </c>
      <c r="CD28" s="753"/>
      <c r="CE28" s="15">
        <v>21</v>
      </c>
      <c r="CF28" s="279">
        <v>889</v>
      </c>
      <c r="CG28" s="963"/>
      <c r="CH28" s="279"/>
      <c r="CI28" s="802"/>
      <c r="CJ28" s="684"/>
      <c r="CK28" s="566">
        <f t="shared" si="14"/>
        <v>0</v>
      </c>
      <c r="CN28" s="598"/>
      <c r="CO28" s="15">
        <v>21</v>
      </c>
      <c r="CP28" s="279">
        <v>906.3</v>
      </c>
      <c r="CQ28" s="378"/>
      <c r="CR28" s="279"/>
      <c r="CS28" s="381"/>
      <c r="CT28" s="380"/>
      <c r="CU28" s="572">
        <f t="shared" si="48"/>
        <v>0</v>
      </c>
      <c r="CX28" s="106"/>
      <c r="CY28" s="15">
        <v>21</v>
      </c>
      <c r="CZ28" s="92"/>
      <c r="DA28" s="324"/>
      <c r="DB28" s="92"/>
      <c r="DC28" s="95"/>
      <c r="DD28" s="71"/>
      <c r="DE28" s="566">
        <f t="shared" si="15"/>
        <v>0</v>
      </c>
      <c r="DH28" s="106"/>
      <c r="DI28" s="15">
        <v>21</v>
      </c>
      <c r="DJ28" s="92">
        <v>931.7</v>
      </c>
      <c r="DK28" s="378"/>
      <c r="DL28" s="92"/>
      <c r="DM28" s="381"/>
      <c r="DN28" s="380"/>
      <c r="DO28" s="572">
        <f t="shared" si="16"/>
        <v>0</v>
      </c>
      <c r="DR28" s="106"/>
      <c r="DS28" s="15">
        <v>21</v>
      </c>
      <c r="DT28" s="92"/>
      <c r="DU28" s="378"/>
      <c r="DV28" s="92"/>
      <c r="DW28" s="381"/>
      <c r="DX28" s="380"/>
      <c r="DY28" s="566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6">
        <f t="shared" si="18"/>
        <v>0</v>
      </c>
      <c r="EL28" s="94"/>
      <c r="EM28" s="15">
        <v>21</v>
      </c>
      <c r="EN28" s="279">
        <v>921.7</v>
      </c>
      <c r="EO28" s="328"/>
      <c r="EP28" s="279"/>
      <c r="EQ28" s="265"/>
      <c r="ER28" s="266"/>
      <c r="ES28" s="566">
        <f t="shared" si="19"/>
        <v>0</v>
      </c>
      <c r="EV28" s="106"/>
      <c r="EW28" s="15">
        <v>21</v>
      </c>
      <c r="EX28" s="264">
        <v>891.3</v>
      </c>
      <c r="EY28" s="494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6">
        <f t="shared" si="21"/>
        <v>0</v>
      </c>
      <c r="FP28" s="106"/>
      <c r="FQ28" s="15">
        <v>21</v>
      </c>
      <c r="FR28" s="92"/>
      <c r="FS28" s="324"/>
      <c r="FT28" s="92"/>
      <c r="FU28" s="70"/>
      <c r="FV28" s="71"/>
      <c r="FW28" s="566">
        <f t="shared" si="22"/>
        <v>0</v>
      </c>
      <c r="FX28" s="71"/>
      <c r="FZ28" s="106"/>
      <c r="GA28" s="15">
        <v>21</v>
      </c>
      <c r="GB28" s="69"/>
      <c r="GC28" s="494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2">
        <v>886.3</v>
      </c>
      <c r="GM28" s="324"/>
      <c r="GN28" s="472"/>
      <c r="GO28" s="95"/>
      <c r="GP28" s="71"/>
      <c r="GQ28" s="566">
        <f t="shared" si="24"/>
        <v>0</v>
      </c>
      <c r="GT28" s="106"/>
      <c r="GU28" s="15">
        <v>21</v>
      </c>
      <c r="GV28" s="92"/>
      <c r="GW28" s="328"/>
      <c r="GX28" s="92"/>
      <c r="GY28" s="319"/>
      <c r="GZ28" s="266"/>
      <c r="HA28" s="566">
        <f t="shared" si="25"/>
        <v>0</v>
      </c>
      <c r="HD28" s="106"/>
      <c r="HE28" s="15">
        <v>21</v>
      </c>
      <c r="HF28" s="279">
        <v>906.3</v>
      </c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>
        <v>913.5</v>
      </c>
      <c r="HQ28" s="328"/>
      <c r="HR28" s="279"/>
      <c r="HS28" s="383"/>
      <c r="HT28" s="266"/>
      <c r="HU28" s="566">
        <f t="shared" si="27"/>
        <v>0</v>
      </c>
      <c r="HX28" s="106"/>
      <c r="HY28" s="15">
        <v>21</v>
      </c>
      <c r="HZ28" s="69"/>
      <c r="IA28" s="336"/>
      <c r="IB28" s="69"/>
      <c r="IC28" s="70"/>
      <c r="ID28" s="71"/>
      <c r="IE28" s="566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6">
        <f t="shared" si="28"/>
        <v>0</v>
      </c>
      <c r="IR28" s="106"/>
      <c r="IS28" s="15">
        <v>21</v>
      </c>
      <c r="IT28" s="279">
        <v>924.4</v>
      </c>
      <c r="IU28" s="245"/>
      <c r="IV28" s="279"/>
      <c r="IW28" s="500"/>
      <c r="IX28" s="266"/>
      <c r="IY28" s="322">
        <f t="shared" si="29"/>
        <v>0</v>
      </c>
      <c r="JA28" s="69"/>
      <c r="JB28" s="106"/>
      <c r="JC28" s="15">
        <v>21</v>
      </c>
      <c r="JD28" s="69">
        <v>861.8</v>
      </c>
      <c r="JE28" s="336"/>
      <c r="JF28" s="69"/>
      <c r="JG28" s="265"/>
      <c r="JH28" s="71"/>
      <c r="JI28" s="566">
        <f t="shared" si="30"/>
        <v>0</v>
      </c>
      <c r="JL28" s="106"/>
      <c r="JM28" s="15">
        <v>21</v>
      </c>
      <c r="JN28" s="92"/>
      <c r="JO28" s="324"/>
      <c r="JP28" s="92"/>
      <c r="JQ28" s="70"/>
      <c r="JR28" s="71"/>
      <c r="JS28" s="566">
        <f>JR28*JP28</f>
        <v>0</v>
      </c>
      <c r="JV28" s="94"/>
      <c r="JW28" s="15">
        <v>21</v>
      </c>
      <c r="JX28" s="69">
        <v>912.6</v>
      </c>
      <c r="JY28" s="336"/>
      <c r="JZ28" s="69"/>
      <c r="KA28" s="70"/>
      <c r="KB28" s="71"/>
      <c r="KC28" s="566">
        <f t="shared" si="32"/>
        <v>0</v>
      </c>
      <c r="KF28" s="94"/>
      <c r="KG28" s="15">
        <v>21</v>
      </c>
      <c r="KH28" s="69">
        <v>889</v>
      </c>
      <c r="KI28" s="336"/>
      <c r="KJ28" s="69"/>
      <c r="KK28" s="70"/>
      <c r="KL28" s="71"/>
      <c r="KM28" s="566">
        <f t="shared" si="33"/>
        <v>0</v>
      </c>
      <c r="KP28" s="94"/>
      <c r="KQ28" s="15">
        <v>21</v>
      </c>
      <c r="KR28" s="69"/>
      <c r="KS28" s="336"/>
      <c r="KT28" s="69"/>
      <c r="KU28" s="70"/>
      <c r="KV28" s="71"/>
      <c r="KW28" s="566">
        <f t="shared" si="34"/>
        <v>0</v>
      </c>
      <c r="KZ28" s="106"/>
      <c r="LA28" s="15">
        <v>21</v>
      </c>
      <c r="LB28" s="92">
        <v>923.5</v>
      </c>
      <c r="LC28" s="324"/>
      <c r="LD28" s="92"/>
      <c r="LE28" s="95"/>
      <c r="LF28" s="71"/>
      <c r="LG28" s="566">
        <f t="shared" si="35"/>
        <v>0</v>
      </c>
      <c r="LJ28" s="106"/>
      <c r="LK28" s="15">
        <v>21</v>
      </c>
      <c r="LL28" s="92"/>
      <c r="LM28" s="324"/>
      <c r="LN28" s="92"/>
      <c r="LO28" s="95"/>
      <c r="LP28" s="71"/>
      <c r="LQ28" s="566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6">
        <f t="shared" si="37"/>
        <v>0</v>
      </c>
      <c r="MB28" s="566"/>
      <c r="MD28" s="106"/>
      <c r="ME28" s="15">
        <v>21</v>
      </c>
      <c r="MF28" s="389"/>
      <c r="MG28" s="324"/>
      <c r="MH28" s="960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SEABAORD FOODS</v>
      </c>
      <c r="C29" s="75" t="str">
        <f t="shared" si="67"/>
        <v>Seaboard</v>
      </c>
      <c r="D29" s="102" t="str">
        <f t="shared" si="67"/>
        <v>PED. 83813279</v>
      </c>
      <c r="E29" s="135">
        <f t="shared" si="67"/>
        <v>44736</v>
      </c>
      <c r="F29" s="86">
        <f t="shared" si="67"/>
        <v>18774.45</v>
      </c>
      <c r="G29" s="73">
        <f t="shared" si="67"/>
        <v>21</v>
      </c>
      <c r="H29" s="48">
        <f t="shared" si="67"/>
        <v>18764.099999999999</v>
      </c>
      <c r="I29" s="105">
        <f t="shared" si="67"/>
        <v>10.350000000002183</v>
      </c>
      <c r="J29" s="242"/>
      <c r="L29" s="106"/>
      <c r="M29" s="15"/>
      <c r="N29" s="69"/>
      <c r="O29" s="336"/>
      <c r="P29" s="69"/>
      <c r="Q29" s="70"/>
      <c r="R29" s="71"/>
      <c r="S29" s="566">
        <f>SUM(S8:S28)</f>
        <v>897718.08000000007</v>
      </c>
      <c r="V29" s="106"/>
      <c r="W29" s="15"/>
      <c r="X29" s="69"/>
      <c r="Y29" s="336"/>
      <c r="Z29" s="69"/>
      <c r="AA29" s="70"/>
      <c r="AB29" s="71"/>
      <c r="AC29" s="566">
        <f>SUM(AC8:AC28)</f>
        <v>970086.29999999993</v>
      </c>
      <c r="AF29" s="106"/>
      <c r="AG29" s="15"/>
      <c r="AH29" s="92"/>
      <c r="AI29" s="324"/>
      <c r="AJ29" s="92"/>
      <c r="AK29" s="95"/>
      <c r="AL29" s="71"/>
      <c r="AM29" s="566">
        <f>AL29*AJ29</f>
        <v>0</v>
      </c>
      <c r="AP29" s="106"/>
      <c r="AQ29" s="15"/>
      <c r="AR29" s="92"/>
      <c r="AS29" s="324"/>
      <c r="AT29" s="279"/>
      <c r="AU29" s="95"/>
      <c r="AV29" s="71"/>
      <c r="AW29" s="566">
        <f t="shared" si="10"/>
        <v>0</v>
      </c>
      <c r="AZ29" s="106"/>
      <c r="BA29" s="15"/>
      <c r="BB29" s="92"/>
      <c r="BC29" s="324"/>
      <c r="BD29" s="279"/>
      <c r="BE29" s="95"/>
      <c r="BF29" s="71"/>
      <c r="BG29" s="566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01"/>
      <c r="BQ29" s="579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6">
        <v>0</v>
      </c>
      <c r="CD29" s="106"/>
      <c r="CE29" s="15">
        <v>22</v>
      </c>
      <c r="CF29" s="279"/>
      <c r="CG29" s="963"/>
      <c r="CH29" s="279"/>
      <c r="CI29" s="964"/>
      <c r="CJ29" s="684"/>
      <c r="CK29" s="566">
        <f t="shared" si="14"/>
        <v>0</v>
      </c>
      <c r="CN29" s="598"/>
      <c r="CO29" s="15">
        <v>22</v>
      </c>
      <c r="CP29" s="92"/>
      <c r="CQ29" s="378"/>
      <c r="CR29" s="92"/>
      <c r="CS29" s="381"/>
      <c r="CT29" s="380"/>
      <c r="CU29" s="572">
        <f t="shared" si="48"/>
        <v>0</v>
      </c>
      <c r="CX29" s="106"/>
      <c r="CY29" s="15"/>
      <c r="CZ29" s="92"/>
      <c r="DA29" s="324"/>
      <c r="DB29" s="92"/>
      <c r="DC29" s="95"/>
      <c r="DD29" s="71"/>
      <c r="DE29" s="566">
        <f t="shared" si="15"/>
        <v>0</v>
      </c>
      <c r="DH29" s="106"/>
      <c r="DI29" s="15"/>
      <c r="DJ29" s="92"/>
      <c r="DK29" s="324"/>
      <c r="DL29" s="92"/>
      <c r="DM29" s="95"/>
      <c r="DN29" s="71"/>
      <c r="DO29" s="572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6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6">
        <f>SUM(EI8:EI28)</f>
        <v>0</v>
      </c>
      <c r="EL29" s="94"/>
      <c r="EM29" s="15">
        <v>22</v>
      </c>
      <c r="EN29" s="92"/>
      <c r="EO29" s="324"/>
      <c r="EP29" s="92"/>
      <c r="EQ29" s="70"/>
      <c r="ER29" s="71"/>
      <c r="ES29" s="566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6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6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2"/>
      <c r="GM29" s="324"/>
      <c r="GN29" s="92"/>
      <c r="GO29" s="95"/>
      <c r="GP29" s="71"/>
      <c r="GQ29" s="566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6">
        <f>SUM(HA8:HA28)</f>
        <v>0</v>
      </c>
      <c r="HD29" s="106"/>
      <c r="HE29" s="15"/>
      <c r="HF29" s="92"/>
      <c r="HG29" s="324"/>
      <c r="HH29" s="92"/>
      <c r="HI29" s="95"/>
      <c r="HJ29" s="71"/>
      <c r="HK29" s="566">
        <f>SUM(HK8:HK28)</f>
        <v>0</v>
      </c>
      <c r="HN29" s="106"/>
      <c r="HO29" s="15">
        <v>22</v>
      </c>
      <c r="HP29" s="92"/>
      <c r="HQ29" s="324"/>
      <c r="HR29" s="92"/>
      <c r="HS29" s="70"/>
      <c r="HT29" s="71"/>
      <c r="HU29" s="566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6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6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6">
        <f t="shared" si="30"/>
        <v>0</v>
      </c>
      <c r="JL29" s="106"/>
      <c r="JM29" s="15"/>
      <c r="JN29" s="92"/>
      <c r="JO29" s="324"/>
      <c r="JP29" s="92"/>
      <c r="JQ29" s="70"/>
      <c r="JR29" s="71"/>
      <c r="JS29" s="566">
        <f>SUM(JS8:JS28)</f>
        <v>0</v>
      </c>
      <c r="JV29" s="106"/>
      <c r="JW29" s="15"/>
      <c r="JX29" s="69"/>
      <c r="JY29" s="336"/>
      <c r="JZ29" s="69"/>
      <c r="KA29" s="70"/>
      <c r="KB29" s="71"/>
      <c r="KC29" s="566">
        <f>SUM(KC8:KC28)</f>
        <v>0</v>
      </c>
      <c r="KF29" s="106"/>
      <c r="KG29" s="15"/>
      <c r="KH29" s="69"/>
      <c r="KI29" s="336"/>
      <c r="KJ29" s="69"/>
      <c r="KK29" s="70"/>
      <c r="KL29" s="71"/>
      <c r="KM29" s="566">
        <f>SUM(KM8:KM28)</f>
        <v>0</v>
      </c>
      <c r="KP29" s="106"/>
      <c r="KQ29" s="15"/>
      <c r="KR29" s="69"/>
      <c r="KS29" s="336"/>
      <c r="KT29" s="69"/>
      <c r="KU29" s="70"/>
      <c r="KV29" s="71"/>
      <c r="KW29" s="566">
        <f>SUM(KW8:KW28)</f>
        <v>0</v>
      </c>
      <c r="KZ29" s="106"/>
      <c r="LA29" s="15"/>
      <c r="LB29" s="92"/>
      <c r="LC29" s="324"/>
      <c r="LD29" s="92"/>
      <c r="LE29" s="95"/>
      <c r="LF29" s="71"/>
      <c r="LG29" s="566">
        <f>LF29*LD29</f>
        <v>0</v>
      </c>
      <c r="LJ29" s="106"/>
      <c r="LK29" s="15"/>
      <c r="LL29" s="92"/>
      <c r="LM29" s="324"/>
      <c r="LN29" s="279"/>
      <c r="LO29" s="95"/>
      <c r="LP29" s="71"/>
      <c r="LQ29" s="566">
        <f t="shared" si="36"/>
        <v>0</v>
      </c>
      <c r="LT29" s="106"/>
      <c r="LU29" s="15"/>
      <c r="LV29" s="92"/>
      <c r="LW29" s="324"/>
      <c r="LX29" s="92"/>
      <c r="LY29" s="95"/>
      <c r="LZ29" s="71"/>
      <c r="MA29" s="566">
        <f t="shared" si="37"/>
        <v>0</v>
      </c>
      <c r="MB29" s="566"/>
      <c r="MD29" s="106"/>
      <c r="ME29" s="15">
        <v>22</v>
      </c>
      <c r="MF29" s="389"/>
      <c r="MG29" s="324"/>
      <c r="MH29" s="960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6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 xml:space="preserve">I B P </v>
      </c>
      <c r="D30" s="102" t="str">
        <f t="shared" si="68"/>
        <v>PED. 83810349</v>
      </c>
      <c r="E30" s="135">
        <f t="shared" si="68"/>
        <v>44736</v>
      </c>
      <c r="F30" s="86">
        <f t="shared" si="68"/>
        <v>18648.240000000002</v>
      </c>
      <c r="G30" s="73">
        <f t="shared" si="68"/>
        <v>20</v>
      </c>
      <c r="H30" s="48">
        <f t="shared" si="68"/>
        <v>18678.71</v>
      </c>
      <c r="I30" s="105">
        <f>F30-H30</f>
        <v>-30.469999999997526</v>
      </c>
      <c r="J30" s="242"/>
      <c r="L30" s="106"/>
      <c r="M30" s="15"/>
      <c r="N30" s="69"/>
      <c r="O30" s="336"/>
      <c r="P30" s="105"/>
      <c r="Q30" s="70"/>
      <c r="R30" s="71"/>
      <c r="S30" s="566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6">
        <f>SUM(AM8:AM29)</f>
        <v>911285.33999999985</v>
      </c>
      <c r="AP30" s="106"/>
      <c r="AQ30" s="15"/>
      <c r="AR30" s="92"/>
      <c r="AS30" s="324"/>
      <c r="AT30" s="92"/>
      <c r="AU30" s="95"/>
      <c r="AV30" s="71"/>
      <c r="AW30" s="566">
        <f>SUM(AW8:AW29)</f>
        <v>936448.8</v>
      </c>
      <c r="AZ30" s="106"/>
      <c r="BA30" s="15"/>
      <c r="BB30" s="92"/>
      <c r="BC30" s="324"/>
      <c r="BD30" s="92"/>
      <c r="BE30" s="95"/>
      <c r="BF30" s="71"/>
      <c r="BG30" s="566">
        <f>SUM(BG8:BG29)</f>
        <v>977231.4</v>
      </c>
      <c r="BJ30" s="106"/>
      <c r="BK30" s="15"/>
      <c r="BL30" s="69"/>
      <c r="BM30" s="135"/>
      <c r="BN30" s="69"/>
      <c r="BO30" s="95"/>
      <c r="BP30" s="71"/>
      <c r="BQ30" s="566">
        <f>SUM(BQ8:BQ29)</f>
        <v>965802.29999999993</v>
      </c>
      <c r="BT30" s="106"/>
      <c r="BU30" s="263"/>
      <c r="BV30" s="264"/>
      <c r="BW30" s="79"/>
      <c r="BX30" s="69"/>
      <c r="BY30" s="95"/>
      <c r="BZ30" s="71"/>
      <c r="CA30" s="566">
        <f>SUM(CA8:CA29)</f>
        <v>0</v>
      </c>
      <c r="CD30" s="106"/>
      <c r="CE30" s="15">
        <v>23</v>
      </c>
      <c r="CF30" s="69"/>
      <c r="CG30" s="378"/>
      <c r="CH30" s="69"/>
      <c r="CI30" s="391"/>
      <c r="CJ30" s="380"/>
      <c r="CK30" s="566">
        <f>SUM(CK8:CK29)</f>
        <v>0</v>
      </c>
      <c r="CN30" s="106"/>
      <c r="CO30" s="15"/>
      <c r="CP30" s="69"/>
      <c r="CQ30" s="324"/>
      <c r="CR30" s="69"/>
      <c r="CS30" s="95"/>
      <c r="CT30" s="71"/>
      <c r="CU30" s="572">
        <f t="shared" si="48"/>
        <v>0</v>
      </c>
      <c r="CX30" s="106"/>
      <c r="CY30" s="15"/>
      <c r="CZ30" s="69"/>
      <c r="DA30" s="324"/>
      <c r="DB30" s="69"/>
      <c r="DC30" s="95"/>
      <c r="DD30" s="71"/>
      <c r="DE30" s="566">
        <f>SUM(DE8:DE29)</f>
        <v>0</v>
      </c>
      <c r="DH30" s="106"/>
      <c r="DI30" s="15"/>
      <c r="DJ30" s="69"/>
      <c r="DK30" s="324"/>
      <c r="DL30" s="69"/>
      <c r="DM30" s="95"/>
      <c r="DN30" s="71"/>
      <c r="DO30" s="566">
        <f>SUM(DO8:DO29)</f>
        <v>0</v>
      </c>
      <c r="DR30" s="106"/>
      <c r="DS30" s="15"/>
      <c r="DT30" s="69"/>
      <c r="DU30" s="324"/>
      <c r="DV30" s="69"/>
      <c r="DW30" s="95"/>
      <c r="DX30" s="71"/>
      <c r="DY30" s="566">
        <f>SUM(DY8:DY29)</f>
        <v>0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6">
        <f>SUM(ES8:ES29)</f>
        <v>0</v>
      </c>
      <c r="EV30" s="94"/>
      <c r="EW30" s="15"/>
      <c r="EX30" s="92"/>
      <c r="EY30" s="324"/>
      <c r="EZ30" s="105"/>
      <c r="FA30" s="70"/>
      <c r="FB30" s="71"/>
      <c r="FC30" s="566">
        <f>SUM(FC8:FC29)</f>
        <v>0</v>
      </c>
      <c r="FF30" s="94"/>
      <c r="FG30" s="15"/>
      <c r="FH30" s="92"/>
      <c r="FI30" s="324"/>
      <c r="FJ30" s="105"/>
      <c r="FK30" s="70"/>
      <c r="FL30" s="71"/>
      <c r="FM30" s="566">
        <f>SUM(FM8:FM29)</f>
        <v>0</v>
      </c>
      <c r="FP30" s="106"/>
      <c r="FQ30" s="15"/>
      <c r="FR30" s="92"/>
      <c r="FS30" s="324"/>
      <c r="FT30" s="92"/>
      <c r="FU30" s="70"/>
      <c r="FV30" s="71"/>
      <c r="FW30" s="566">
        <f>SUM(FW8:FW29)</f>
        <v>0</v>
      </c>
      <c r="FZ30" s="106"/>
      <c r="GA30" s="15"/>
      <c r="GB30" s="69"/>
      <c r="GC30" s="336"/>
      <c r="GD30" s="105"/>
      <c r="GE30" s="70"/>
      <c r="GF30" s="71"/>
      <c r="GG30" s="566">
        <f>SUM(GG8:GG29)</f>
        <v>0</v>
      </c>
      <c r="GJ30" s="106"/>
      <c r="GK30" s="15"/>
      <c r="GL30" s="472"/>
      <c r="GM30" s="324"/>
      <c r="GN30" s="69"/>
      <c r="GO30" s="95"/>
      <c r="GP30" s="71"/>
      <c r="GQ30" s="566">
        <f>SUM(GQ8:GQ29)</f>
        <v>0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2"/>
      <c r="HN30" s="106"/>
      <c r="HO30" s="15"/>
      <c r="HP30" s="92"/>
      <c r="HQ30" s="324"/>
      <c r="HR30" s="105"/>
      <c r="HS30" s="70"/>
      <c r="HT30" s="71"/>
      <c r="HU30" s="566">
        <f>SUM(HU8:HU29)</f>
        <v>0</v>
      </c>
      <c r="HX30" s="106"/>
      <c r="HY30" s="15"/>
      <c r="HZ30" s="69"/>
      <c r="IA30" s="336"/>
      <c r="IB30" s="105"/>
      <c r="IC30" s="70"/>
      <c r="ID30" s="71"/>
      <c r="IE30" s="566">
        <f>SUM(IE8:IE29)</f>
        <v>0</v>
      </c>
      <c r="IH30" s="106"/>
      <c r="II30" s="15">
        <v>23</v>
      </c>
      <c r="IJ30" s="69"/>
      <c r="IK30" s="336"/>
      <c r="IL30" s="105"/>
      <c r="IM30" s="70"/>
      <c r="IN30" s="71"/>
      <c r="IO30" s="566">
        <f>SUM(IO8:IO29)</f>
        <v>0</v>
      </c>
      <c r="IR30" s="106"/>
      <c r="IS30" s="15"/>
      <c r="IT30" s="69"/>
      <c r="IU30" s="79"/>
      <c r="IV30" s="69"/>
      <c r="IW30" s="95"/>
      <c r="IX30" s="71"/>
      <c r="IY30" s="566">
        <f>SUM(IY8:IY29)</f>
        <v>0</v>
      </c>
      <c r="JB30" s="106"/>
      <c r="JC30" s="15"/>
      <c r="JD30" s="69"/>
      <c r="JE30" s="336"/>
      <c r="JF30" s="105"/>
      <c r="JG30" s="70"/>
      <c r="JH30" s="71"/>
      <c r="JI30" s="566">
        <f>SUM(JI8:JI29)</f>
        <v>0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6">
        <f>SUM(LG8:LG29)</f>
        <v>0</v>
      </c>
      <c r="LJ30" s="106"/>
      <c r="LK30" s="15"/>
      <c r="LL30" s="92"/>
      <c r="LM30" s="324"/>
      <c r="LN30" s="92"/>
      <c r="LO30" s="95"/>
      <c r="LP30" s="71"/>
      <c r="LQ30" s="566">
        <f>SUM(LQ8:LQ29)</f>
        <v>0</v>
      </c>
      <c r="LT30" s="106"/>
      <c r="LU30" s="15"/>
      <c r="LV30" s="69"/>
      <c r="LW30" s="324"/>
      <c r="LX30" s="69"/>
      <c r="LY30" s="95"/>
      <c r="LZ30" s="71"/>
      <c r="MA30" s="566">
        <f>SUM(MA8:MA29)</f>
        <v>0</v>
      </c>
      <c r="MB30" s="566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83947904</v>
      </c>
      <c r="E31" s="135">
        <f t="shared" si="69"/>
        <v>44740</v>
      </c>
      <c r="F31" s="86">
        <f t="shared" si="69"/>
        <v>18867.12</v>
      </c>
      <c r="G31" s="73">
        <f t="shared" si="69"/>
        <v>21</v>
      </c>
      <c r="H31" s="48">
        <f t="shared" si="69"/>
        <v>18952</v>
      </c>
      <c r="I31" s="105">
        <f t="shared" ref="I31:I92" si="70">F31-H31</f>
        <v>-84.880000000001019</v>
      </c>
      <c r="J31" s="242"/>
      <c r="L31" s="196"/>
      <c r="M31" s="37"/>
      <c r="N31" s="393"/>
      <c r="O31" s="394"/>
      <c r="P31" s="218"/>
      <c r="Q31" s="139"/>
      <c r="R31" s="211"/>
      <c r="S31" s="571"/>
      <c r="V31" s="196"/>
      <c r="W31" s="37"/>
      <c r="X31" s="393"/>
      <c r="Y31" s="394"/>
      <c r="Z31" s="218"/>
      <c r="AA31" s="139"/>
      <c r="AB31" s="211"/>
      <c r="AC31" s="571"/>
      <c r="AF31" s="196"/>
      <c r="AG31" s="398"/>
      <c r="AH31" s="393"/>
      <c r="AI31" s="217"/>
      <c r="AJ31" s="393"/>
      <c r="AK31" s="409"/>
      <c r="AL31" s="211"/>
      <c r="AM31" s="571"/>
      <c r="AP31" s="196"/>
      <c r="AQ31" s="37"/>
      <c r="AR31" s="402"/>
      <c r="AS31" s="394"/>
      <c r="AT31" s="402"/>
      <c r="AU31" s="409"/>
      <c r="AV31" s="211"/>
      <c r="AW31" s="571"/>
      <c r="AZ31" s="196"/>
      <c r="BA31" s="37"/>
      <c r="BB31" s="402"/>
      <c r="BC31" s="394"/>
      <c r="BD31" s="402"/>
      <c r="BE31" s="409"/>
      <c r="BF31" s="211"/>
      <c r="BG31" s="571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5"/>
      <c r="CH31" s="393"/>
      <c r="CI31" s="496"/>
      <c r="CJ31" s="497"/>
      <c r="CN31" s="196"/>
      <c r="CO31" s="37"/>
      <c r="CP31" s="393"/>
      <c r="CQ31" s="401"/>
      <c r="CR31" s="393"/>
      <c r="CS31" s="373"/>
      <c r="CT31" s="71"/>
      <c r="CU31" s="572">
        <f>SUM(CU8:CU30)</f>
        <v>0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1"/>
      <c r="EL31" s="196"/>
      <c r="EM31" s="37"/>
      <c r="EN31" s="393"/>
      <c r="EO31" s="394"/>
      <c r="EP31" s="218"/>
      <c r="EQ31" s="139"/>
      <c r="ER31" s="211"/>
      <c r="ES31" s="571"/>
      <c r="EV31" s="94"/>
      <c r="EW31" s="37"/>
      <c r="EX31" s="402"/>
      <c r="EY31" s="427"/>
      <c r="EZ31" s="218"/>
      <c r="FA31" s="139"/>
      <c r="FB31" s="211"/>
      <c r="FC31" s="571"/>
      <c r="FF31" s="403"/>
      <c r="FG31" s="37"/>
      <c r="FH31" s="393"/>
      <c r="FI31" s="217"/>
      <c r="FJ31" s="393"/>
      <c r="FK31" s="139"/>
      <c r="FL31" s="211"/>
      <c r="FM31" s="571"/>
      <c r="FP31" s="196"/>
      <c r="FQ31" s="37"/>
      <c r="FR31" s="402"/>
      <c r="FS31" s="394"/>
      <c r="FT31" s="402"/>
      <c r="FU31" s="139"/>
      <c r="FV31" s="211"/>
      <c r="FW31" s="571"/>
      <c r="FZ31" s="196"/>
      <c r="GA31" s="37"/>
      <c r="GB31" s="393"/>
      <c r="GC31" s="394"/>
      <c r="GD31" s="218"/>
      <c r="GE31" s="139"/>
      <c r="GF31" s="211"/>
      <c r="GG31" s="571"/>
      <c r="GJ31" s="196"/>
      <c r="GK31" s="398"/>
      <c r="GL31" s="473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4"/>
      <c r="HD31" s="349"/>
      <c r="HE31" s="52"/>
      <c r="HF31" s="404"/>
      <c r="HG31" s="405"/>
      <c r="HH31" s="406"/>
      <c r="HI31" s="407"/>
      <c r="HJ31" s="408"/>
      <c r="HK31" s="574"/>
      <c r="HN31" s="196"/>
      <c r="HO31" s="37"/>
      <c r="HP31" s="402"/>
      <c r="HQ31" s="394"/>
      <c r="HR31" s="218"/>
      <c r="HS31" s="139"/>
      <c r="HT31" s="211"/>
      <c r="HU31" s="571"/>
      <c r="HX31" s="196"/>
      <c r="HY31" s="37"/>
      <c r="HZ31" s="393"/>
      <c r="IA31" s="394"/>
      <c r="IB31" s="218"/>
      <c r="IC31" s="139"/>
      <c r="ID31" s="211"/>
      <c r="IE31" s="571"/>
      <c r="IH31" s="196"/>
      <c r="II31" s="37"/>
      <c r="IJ31" s="393"/>
      <c r="IK31" s="394"/>
      <c r="IL31" s="218"/>
      <c r="IM31" s="139"/>
      <c r="IN31" s="211"/>
      <c r="IO31" s="571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1"/>
      <c r="JL31" s="196"/>
      <c r="JM31" s="37"/>
      <c r="JN31" s="402"/>
      <c r="JO31" s="394"/>
      <c r="JP31" s="218"/>
      <c r="JQ31" s="139"/>
      <c r="JR31" s="211"/>
      <c r="JS31" s="571"/>
      <c r="JV31" s="196"/>
      <c r="JW31" s="37"/>
      <c r="JX31" s="393"/>
      <c r="JY31" s="394"/>
      <c r="JZ31" s="218"/>
      <c r="KA31" s="139"/>
      <c r="KB31" s="211"/>
      <c r="KC31" s="571"/>
      <c r="KF31" s="196"/>
      <c r="KG31" s="37"/>
      <c r="KH31" s="393"/>
      <c r="KI31" s="394"/>
      <c r="KJ31" s="218"/>
      <c r="KK31" s="139"/>
      <c r="KL31" s="211"/>
      <c r="KM31" s="571"/>
      <c r="KP31" s="196"/>
      <c r="KQ31" s="37"/>
      <c r="KR31" s="393"/>
      <c r="KS31" s="394"/>
      <c r="KT31" s="218"/>
      <c r="KU31" s="139"/>
      <c r="KV31" s="211"/>
      <c r="KW31" s="571"/>
      <c r="KZ31" s="196"/>
      <c r="LA31" s="398"/>
      <c r="LB31" s="393"/>
      <c r="LC31" s="217"/>
      <c r="LD31" s="393"/>
      <c r="LE31" s="409"/>
      <c r="LF31" s="211"/>
      <c r="LG31" s="571"/>
      <c r="LJ31" s="196"/>
      <c r="LK31" s="37"/>
      <c r="LL31" s="402"/>
      <c r="LM31" s="394"/>
      <c r="LN31" s="402"/>
      <c r="LO31" s="409"/>
      <c r="LP31" s="211"/>
      <c r="LQ31" s="571"/>
      <c r="LT31" s="196"/>
      <c r="LU31" s="37"/>
      <c r="LV31" s="218"/>
      <c r="LW31" s="217"/>
      <c r="LX31" s="393"/>
      <c r="LY31" s="409"/>
      <c r="LZ31" s="410"/>
      <c r="MA31" s="571"/>
      <c r="MB31" s="571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88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88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88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 FOODS</v>
      </c>
      <c r="C32" s="75" t="str">
        <f t="shared" si="71"/>
        <v>Seaboard</v>
      </c>
      <c r="D32" s="102" t="str">
        <f t="shared" si="71"/>
        <v>PED. 83946736</v>
      </c>
      <c r="E32" s="135">
        <f t="shared" si="71"/>
        <v>44740</v>
      </c>
      <c r="F32" s="86">
        <f t="shared" si="71"/>
        <v>18933.990000000002</v>
      </c>
      <c r="G32" s="73">
        <f t="shared" si="71"/>
        <v>21</v>
      </c>
      <c r="H32" s="48">
        <f t="shared" si="71"/>
        <v>18959.099999999999</v>
      </c>
      <c r="I32" s="105">
        <f t="shared" si="70"/>
        <v>-25.109999999996944</v>
      </c>
      <c r="J32" s="242"/>
      <c r="N32" s="105">
        <f>SUM(N8:N31)</f>
        <v>18702.420000000002</v>
      </c>
      <c r="P32" s="105">
        <f>SUM(P8:P31)</f>
        <v>18702.460000000003</v>
      </c>
      <c r="S32" s="566"/>
      <c r="X32" s="105">
        <f>SUM(X8:X31)</f>
        <v>19021.3</v>
      </c>
      <c r="Z32" s="105">
        <f>SUM(Z8:Z31)</f>
        <v>19021.3</v>
      </c>
      <c r="AH32" s="105">
        <f>SUM(AH8:AH31)</f>
        <v>18597.660000000003</v>
      </c>
      <c r="AJ32" s="105">
        <f>SUM(AJ8:AJ31)</f>
        <v>18597.660000000003</v>
      </c>
      <c r="AM32" s="566"/>
      <c r="AR32" s="86">
        <f>SUM(AR8:AR31)</f>
        <v>19111.2</v>
      </c>
      <c r="AT32" s="105">
        <f>SUM(AT8:AT31)</f>
        <v>19111.2</v>
      </c>
      <c r="AZ32" s="75"/>
      <c r="BB32" s="86">
        <f>SUM(BB8:BB31)</f>
        <v>19161.400000000001</v>
      </c>
      <c r="BD32" s="105">
        <f>SUM(BD8:BD31)</f>
        <v>19161.400000000001</v>
      </c>
      <c r="BL32" s="105">
        <f>SUM(BL8:BL31)</f>
        <v>18937.3</v>
      </c>
      <c r="BN32" s="105">
        <f>SUM(BN8:BN31)</f>
        <v>18937.3</v>
      </c>
      <c r="BV32" s="105">
        <f>SUM(BV8:BV31)</f>
        <v>19192.199999999997</v>
      </c>
      <c r="BX32" s="105">
        <f>SUM(BX8:BX31)</f>
        <v>0</v>
      </c>
      <c r="CE32" s="15"/>
      <c r="CF32" s="105">
        <f>SUM(CF8:CF31)</f>
        <v>18998.3</v>
      </c>
      <c r="CH32" s="105">
        <f>SUM(CH8:CH31)</f>
        <v>0</v>
      </c>
      <c r="CP32" s="105">
        <f>SUM(CP8:CP31)</f>
        <v>18948.499999999996</v>
      </c>
      <c r="CR32" s="105">
        <f>SUM(CR8:CR31)</f>
        <v>0</v>
      </c>
      <c r="CZ32" s="105">
        <f>SUM(CZ8:CZ31)</f>
        <v>18761.829999999998</v>
      </c>
      <c r="DB32" s="105">
        <f>SUM(DB8:DB31)</f>
        <v>0</v>
      </c>
      <c r="DJ32" s="105">
        <f>SUM(DJ8:DJ31)</f>
        <v>19047.2</v>
      </c>
      <c r="DL32" s="105">
        <f>SUM(DL8:DL31)</f>
        <v>0</v>
      </c>
      <c r="DT32" s="105">
        <f>SUM(DT8:DT31)</f>
        <v>19049.419999999998</v>
      </c>
      <c r="DV32" s="105">
        <f>SUM(DV8:DV31)</f>
        <v>0</v>
      </c>
      <c r="ED32" s="105">
        <f>SUM(ED8:ED31)</f>
        <v>17911.2</v>
      </c>
      <c r="EF32" s="105">
        <f>SUM(EF8:EF31)</f>
        <v>0</v>
      </c>
      <c r="EN32" s="105">
        <f>SUM(EN8:EN31)</f>
        <v>19086.28</v>
      </c>
      <c r="EP32" s="105">
        <f>SUM(EP8:EP31)</f>
        <v>0</v>
      </c>
      <c r="EX32" s="105">
        <f>SUM(EX8:EX31)</f>
        <v>18832.099999999999</v>
      </c>
      <c r="EZ32" s="105">
        <f>SUM(EZ8:EZ31)</f>
        <v>0</v>
      </c>
      <c r="FH32" s="132">
        <f>SUM(FH8:FH31)</f>
        <v>18631.66</v>
      </c>
      <c r="FJ32" s="105">
        <f>SUM(FJ8:FJ31)</f>
        <v>0</v>
      </c>
      <c r="FR32" s="105">
        <f>SUM(FR8:FR31)</f>
        <v>18285.47</v>
      </c>
      <c r="FS32" s="105"/>
      <c r="FT32" s="105">
        <f>SUM(FT8:FT31)</f>
        <v>0</v>
      </c>
      <c r="FU32" s="75" t="s">
        <v>36</v>
      </c>
      <c r="GB32" s="105">
        <f>SUM(GB8:GB31)</f>
        <v>16348.099999999999</v>
      </c>
      <c r="GD32" s="105">
        <f>SUM(GD8:GD31)</f>
        <v>0</v>
      </c>
      <c r="GL32" s="105">
        <f>SUM(GL8:GL31)</f>
        <v>18903.199999999993</v>
      </c>
      <c r="GN32" s="105">
        <f>SUM(GN8:GN31)</f>
        <v>0</v>
      </c>
      <c r="GV32" s="105">
        <f>SUM(GV8:GV31)</f>
        <v>18953.689999999999</v>
      </c>
      <c r="GX32" s="105">
        <f>SUM(GX8:GX31)</f>
        <v>0</v>
      </c>
      <c r="HF32" s="105">
        <f>SUM(HF8:HF31)</f>
        <v>18731.8</v>
      </c>
      <c r="HH32" s="105">
        <f>SUM(HH8:HH31)</f>
        <v>0</v>
      </c>
      <c r="HP32" s="105">
        <f>SUM(HP8:HP31)</f>
        <v>19093.8</v>
      </c>
      <c r="HR32" s="105">
        <f>SUM(HR8:HR31)</f>
        <v>0</v>
      </c>
      <c r="HZ32" s="105">
        <f>SUM(HZ8:HZ31)</f>
        <v>18929.250000000004</v>
      </c>
      <c r="IB32" s="105">
        <f>SUM(IB8:IB31)</f>
        <v>0</v>
      </c>
      <c r="IJ32" s="105">
        <f>SUM(IJ8:IJ31)</f>
        <v>18688.36</v>
      </c>
      <c r="IL32" s="105">
        <f>SUM(IL8:IL31)</f>
        <v>0</v>
      </c>
      <c r="IT32" s="105">
        <f>SUM(IT8:IT31)</f>
        <v>19200.400000000001</v>
      </c>
      <c r="IV32" s="105">
        <f>SUM(IV8:IV31)</f>
        <v>0</v>
      </c>
      <c r="JD32" s="105">
        <f>SUM(JD8:JD31)</f>
        <v>18764.100000000002</v>
      </c>
      <c r="JF32" s="105">
        <f>SUM(JF8:JF31)</f>
        <v>0</v>
      </c>
      <c r="JN32" s="105">
        <f>SUM(JN8:JN31)</f>
        <v>18678.710000000003</v>
      </c>
      <c r="JP32" s="105">
        <f>SUM(JP8:JP31)</f>
        <v>0</v>
      </c>
      <c r="JX32" s="105">
        <f>SUM(JX8:JX31)</f>
        <v>18951.999999999996</v>
      </c>
      <c r="JZ32" s="105">
        <f>SUM(JZ8:JZ31)</f>
        <v>0</v>
      </c>
      <c r="KH32" s="105">
        <f>SUM(KH8:KH31)</f>
        <v>18959.100000000002</v>
      </c>
      <c r="KJ32" s="105">
        <f>SUM(KJ8:KJ31)</f>
        <v>0</v>
      </c>
      <c r="KR32" s="105">
        <f>SUM(KR8:KR31)</f>
        <v>16930.699999999997</v>
      </c>
      <c r="KT32" s="105">
        <f>SUM(KT8:KT31)</f>
        <v>0</v>
      </c>
      <c r="LB32" s="105">
        <f>SUM(LB8:LB31)</f>
        <v>19157.899999999998</v>
      </c>
      <c r="LD32" s="105">
        <f>SUM(LD8:LD31)</f>
        <v>0</v>
      </c>
      <c r="LL32" s="86">
        <f>SUM(LL8:LL31)</f>
        <v>18836.23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66"/>
      <c r="MB32" s="56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84000205</v>
      </c>
      <c r="E33" s="135">
        <f t="shared" si="72"/>
        <v>44741</v>
      </c>
      <c r="F33" s="86">
        <f t="shared" si="72"/>
        <v>18079.759999999998</v>
      </c>
      <c r="G33" s="73">
        <f t="shared" si="72"/>
        <v>20</v>
      </c>
      <c r="H33" s="48">
        <f t="shared" si="72"/>
        <v>16930.7</v>
      </c>
      <c r="I33" s="105">
        <f t="shared" si="70"/>
        <v>1149.0599999999977</v>
      </c>
      <c r="J33" s="242"/>
      <c r="N33" s="915" t="s">
        <v>21</v>
      </c>
      <c r="O33" s="916"/>
      <c r="P33" s="304">
        <f>Q5-P32</f>
        <v>-4.0000000004511094E-2</v>
      </c>
      <c r="Q33" s="242"/>
      <c r="S33" s="566"/>
      <c r="X33" s="915" t="s">
        <v>21</v>
      </c>
      <c r="Y33" s="916"/>
      <c r="Z33" s="304">
        <f>AA5-Z32</f>
        <v>0</v>
      </c>
      <c r="AA33" s="242"/>
      <c r="AH33" s="915" t="s">
        <v>21</v>
      </c>
      <c r="AI33" s="916"/>
      <c r="AJ33" s="232">
        <f>AK5-AJ32</f>
        <v>0</v>
      </c>
      <c r="AM33" s="566"/>
      <c r="AR33" s="915" t="s">
        <v>21</v>
      </c>
      <c r="AS33" s="916"/>
      <c r="AT33" s="141">
        <f>AU5-AT32</f>
        <v>0</v>
      </c>
      <c r="AZ33" s="75"/>
      <c r="BB33" s="1030" t="s">
        <v>21</v>
      </c>
      <c r="BC33" s="1031"/>
      <c r="BD33" s="141">
        <f>BE5-BD32</f>
        <v>0</v>
      </c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19192.199999999997</v>
      </c>
      <c r="CE33" s="15"/>
      <c r="CF33" s="347" t="s">
        <v>21</v>
      </c>
      <c r="CG33" s="348"/>
      <c r="CH33" s="141">
        <f>CF32-CH32</f>
        <v>18998.3</v>
      </c>
      <c r="CP33" s="347" t="s">
        <v>21</v>
      </c>
      <c r="CQ33" s="348"/>
      <c r="CR33" s="141">
        <f>CP32-CR32</f>
        <v>18948.499999999996</v>
      </c>
      <c r="CZ33" s="347" t="s">
        <v>21</v>
      </c>
      <c r="DA33" s="348"/>
      <c r="DB33" s="141">
        <f>CZ32-DB32</f>
        <v>18761.829999999998</v>
      </c>
      <c r="DJ33" s="347" t="s">
        <v>21</v>
      </c>
      <c r="DK33" s="348"/>
      <c r="DL33" s="141">
        <f>DJ32-DL32</f>
        <v>19047.2</v>
      </c>
      <c r="DT33" s="347" t="s">
        <v>21</v>
      </c>
      <c r="DU33" s="348"/>
      <c r="DV33" s="141">
        <f>DT32-DV32</f>
        <v>19049.419999999998</v>
      </c>
      <c r="ED33" s="347" t="s">
        <v>21</v>
      </c>
      <c r="EE33" s="348"/>
      <c r="EF33" s="141">
        <f>ED32-EF32</f>
        <v>17911.2</v>
      </c>
      <c r="EN33" s="347" t="s">
        <v>21</v>
      </c>
      <c r="EO33" s="348"/>
      <c r="EP33" s="141">
        <f>EN32-EP32</f>
        <v>19086.28</v>
      </c>
      <c r="EX33" s="347" t="s">
        <v>21</v>
      </c>
      <c r="EY33" s="348"/>
      <c r="EZ33" s="304">
        <f>EX32-EZ32</f>
        <v>18832.099999999999</v>
      </c>
      <c r="FH33" s="347" t="s">
        <v>21</v>
      </c>
      <c r="FI33" s="348"/>
      <c r="FJ33" s="141">
        <f>FH32-FJ32</f>
        <v>18631.66</v>
      </c>
      <c r="FR33" s="347" t="s">
        <v>21</v>
      </c>
      <c r="FS33" s="348"/>
      <c r="FT33" s="304">
        <f>FR32-FT32</f>
        <v>18285.47</v>
      </c>
      <c r="GB33" s="347" t="s">
        <v>21</v>
      </c>
      <c r="GC33" s="348"/>
      <c r="GD33" s="141">
        <f>GE5-GD32</f>
        <v>16348.1</v>
      </c>
      <c r="GL33" s="347" t="s">
        <v>21</v>
      </c>
      <c r="GM33" s="348"/>
      <c r="GN33" s="141">
        <f>GL32-GN32</f>
        <v>18903.199999999993</v>
      </c>
      <c r="GV33" s="347" t="s">
        <v>21</v>
      </c>
      <c r="GW33" s="348"/>
      <c r="GX33" s="141">
        <f>GV32-GX32</f>
        <v>18953.689999999999</v>
      </c>
      <c r="HF33" s="347" t="s">
        <v>21</v>
      </c>
      <c r="HG33" s="348"/>
      <c r="HH33" s="141">
        <f>HF32-HH32</f>
        <v>18731.8</v>
      </c>
      <c r="HP33" s="347" t="s">
        <v>21</v>
      </c>
      <c r="HQ33" s="348"/>
      <c r="HR33" s="141">
        <f>HP32-HR32</f>
        <v>19093.8</v>
      </c>
      <c r="HZ33" s="695" t="s">
        <v>21</v>
      </c>
      <c r="IA33" s="696"/>
      <c r="IB33" s="304">
        <f>IC5-IB32</f>
        <v>18929.25</v>
      </c>
      <c r="IC33" s="242"/>
      <c r="IJ33" s="695" t="s">
        <v>21</v>
      </c>
      <c r="IK33" s="696"/>
      <c r="IL33" s="141">
        <f>IJ32-IL32</f>
        <v>18688.36</v>
      </c>
      <c r="IT33" s="695" t="s">
        <v>21</v>
      </c>
      <c r="IU33" s="696"/>
      <c r="IV33" s="141">
        <f>IT32-IV32</f>
        <v>19200.400000000001</v>
      </c>
      <c r="JD33" s="695" t="s">
        <v>21</v>
      </c>
      <c r="JE33" s="696"/>
      <c r="JF33" s="141">
        <f>JD32-JF32</f>
        <v>18764.100000000002</v>
      </c>
      <c r="JN33" s="695" t="s">
        <v>21</v>
      </c>
      <c r="JO33" s="696"/>
      <c r="JP33" s="141">
        <f>JN32-JP32</f>
        <v>18678.710000000003</v>
      </c>
      <c r="JX33" s="695" t="s">
        <v>21</v>
      </c>
      <c r="JY33" s="696"/>
      <c r="JZ33" s="304">
        <f>KA5-JZ32</f>
        <v>18952</v>
      </c>
      <c r="KA33" s="242"/>
      <c r="KH33" s="695" t="s">
        <v>21</v>
      </c>
      <c r="KI33" s="696"/>
      <c r="KJ33" s="304">
        <f>KK5-KJ32</f>
        <v>18959.099999999999</v>
      </c>
      <c r="KK33" s="242"/>
      <c r="KR33" s="695" t="s">
        <v>21</v>
      </c>
      <c r="KS33" s="696"/>
      <c r="KT33" s="304">
        <f>KU5-KT32</f>
        <v>16930.7</v>
      </c>
      <c r="KU33" s="242"/>
      <c r="LB33" s="581" t="s">
        <v>21</v>
      </c>
      <c r="LC33" s="582"/>
      <c r="LD33" s="232">
        <f>LE5-LD32</f>
        <v>19157.900000000001</v>
      </c>
      <c r="LL33" s="581" t="s">
        <v>21</v>
      </c>
      <c r="LM33" s="582"/>
      <c r="LN33" s="141">
        <f>LO5-LN32</f>
        <v>18836.23</v>
      </c>
      <c r="MA33" s="566"/>
      <c r="MB33" s="566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796" t="s">
        <v>21</v>
      </c>
      <c r="NA33" s="797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241" t="s">
        <v>21</v>
      </c>
      <c r="RU33" s="1242"/>
      <c r="RV33" s="141">
        <f>SUM(RW5-RV32)</f>
        <v>0</v>
      </c>
      <c r="SC33" s="1241" t="s">
        <v>21</v>
      </c>
      <c r="SD33" s="1242"/>
      <c r="SE33" s="141">
        <f>SUM(SF5-SE32)</f>
        <v>0</v>
      </c>
      <c r="SL33" s="1241" t="s">
        <v>21</v>
      </c>
      <c r="SM33" s="1242"/>
      <c r="SN33" s="232">
        <f>SUM(SO5-SN32)</f>
        <v>0</v>
      </c>
      <c r="SU33" s="1241" t="s">
        <v>21</v>
      </c>
      <c r="SV33" s="1242"/>
      <c r="SW33" s="141">
        <f>SUM(SX5-SW32)</f>
        <v>0</v>
      </c>
      <c r="TD33" s="1241" t="s">
        <v>21</v>
      </c>
      <c r="TE33" s="1242"/>
      <c r="TF33" s="141">
        <f>SUM(TG5-TF32)</f>
        <v>0</v>
      </c>
      <c r="TM33" s="1241" t="s">
        <v>21</v>
      </c>
      <c r="TN33" s="1242"/>
      <c r="TO33" s="141">
        <f>SUM(TP5-TO32)</f>
        <v>0</v>
      </c>
      <c r="TV33" s="1241" t="s">
        <v>21</v>
      </c>
      <c r="TW33" s="1242"/>
      <c r="TX33" s="141">
        <f>SUM(TY5-TX32)</f>
        <v>0</v>
      </c>
      <c r="UE33" s="1241" t="s">
        <v>21</v>
      </c>
      <c r="UF33" s="1242"/>
      <c r="UG33" s="141">
        <f>SUM(UH5-UG32)</f>
        <v>0</v>
      </c>
      <c r="UN33" s="1241" t="s">
        <v>21</v>
      </c>
      <c r="UO33" s="1242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241" t="s">
        <v>21</v>
      </c>
      <c r="VP33" s="1242"/>
      <c r="VQ33" s="141">
        <f>VR5-VQ32</f>
        <v>-22</v>
      </c>
      <c r="VX33" s="1241" t="s">
        <v>21</v>
      </c>
      <c r="VY33" s="1242"/>
      <c r="VZ33" s="141">
        <f>WA5-VZ32</f>
        <v>-22</v>
      </c>
      <c r="WG33" s="1241" t="s">
        <v>21</v>
      </c>
      <c r="WH33" s="1242"/>
      <c r="WI33" s="141">
        <f>WJ5-WI32</f>
        <v>-22</v>
      </c>
      <c r="WP33" s="1241" t="s">
        <v>21</v>
      </c>
      <c r="WQ33" s="1242"/>
      <c r="WR33" s="141">
        <f>WS5-WR32</f>
        <v>-22</v>
      </c>
      <c r="WY33" s="1241" t="s">
        <v>21</v>
      </c>
      <c r="WZ33" s="1242"/>
      <c r="XA33" s="141">
        <f>XB5-XA32</f>
        <v>-22</v>
      </c>
      <c r="XH33" s="1241" t="s">
        <v>21</v>
      </c>
      <c r="XI33" s="1242"/>
      <c r="XJ33" s="141">
        <f>XK5-XJ32</f>
        <v>-22</v>
      </c>
      <c r="XQ33" s="1241" t="s">
        <v>21</v>
      </c>
      <c r="XR33" s="1242"/>
      <c r="XS33" s="141">
        <f>XT5-XS32</f>
        <v>-22</v>
      </c>
      <c r="XZ33" s="1241" t="s">
        <v>21</v>
      </c>
      <c r="YA33" s="1242"/>
      <c r="YB33" s="141">
        <f>YC5-YB32</f>
        <v>-22</v>
      </c>
      <c r="YI33" s="1241" t="s">
        <v>21</v>
      </c>
      <c r="YJ33" s="1242"/>
      <c r="YK33" s="141">
        <f>YL5-YK32</f>
        <v>-22</v>
      </c>
      <c r="YR33" s="1241" t="s">
        <v>21</v>
      </c>
      <c r="YS33" s="1242"/>
      <c r="YT33" s="141">
        <f>YU5-YT32</f>
        <v>-22</v>
      </c>
      <c r="ZA33" s="1241" t="s">
        <v>21</v>
      </c>
      <c r="ZB33" s="1242"/>
      <c r="ZC33" s="141">
        <f>ZD5-ZC32</f>
        <v>-22</v>
      </c>
      <c r="ZJ33" s="1241" t="s">
        <v>21</v>
      </c>
      <c r="ZK33" s="1242"/>
      <c r="ZL33" s="141">
        <f>ZM5-ZL32</f>
        <v>-22</v>
      </c>
      <c r="ZS33" s="1241" t="s">
        <v>21</v>
      </c>
      <c r="ZT33" s="1242"/>
      <c r="ZU33" s="141">
        <f>ZV5-ZU32</f>
        <v>-22</v>
      </c>
      <c r="AAB33" s="1241" t="s">
        <v>21</v>
      </c>
      <c r="AAC33" s="1242"/>
      <c r="AAD33" s="141">
        <f>AAE5-AAD32</f>
        <v>-22</v>
      </c>
      <c r="AAK33" s="1241" t="s">
        <v>21</v>
      </c>
      <c r="AAL33" s="1242"/>
      <c r="AAM33" s="141">
        <f>AAN5-AAM32</f>
        <v>-22</v>
      </c>
      <c r="AAT33" s="1241" t="s">
        <v>21</v>
      </c>
      <c r="AAU33" s="1242"/>
      <c r="AAV33" s="141">
        <f>AAV32-AAT32</f>
        <v>22</v>
      </c>
      <c r="ABC33" s="1241" t="s">
        <v>21</v>
      </c>
      <c r="ABD33" s="1242"/>
      <c r="ABE33" s="141">
        <f>ABF5-ABE32</f>
        <v>-22</v>
      </c>
      <c r="ABL33" s="1241" t="s">
        <v>21</v>
      </c>
      <c r="ABM33" s="1242"/>
      <c r="ABN33" s="141">
        <f>ABO5-ABN32</f>
        <v>-22</v>
      </c>
      <c r="ABU33" s="1241" t="s">
        <v>21</v>
      </c>
      <c r="ABV33" s="1242"/>
      <c r="ABW33" s="141">
        <f>ABX5-ABW32</f>
        <v>-22</v>
      </c>
      <c r="ACD33" s="1241" t="s">
        <v>21</v>
      </c>
      <c r="ACE33" s="1242"/>
      <c r="ACF33" s="141">
        <f>ACG5-ACF32</f>
        <v>-22</v>
      </c>
      <c r="ACM33" s="1241" t="s">
        <v>21</v>
      </c>
      <c r="ACN33" s="1242"/>
      <c r="ACO33" s="141">
        <f>ACP5-ACO32</f>
        <v>-22</v>
      </c>
      <c r="ACV33" s="1241" t="s">
        <v>21</v>
      </c>
      <c r="ACW33" s="1242"/>
      <c r="ACX33" s="141">
        <f>ACY5-ACX32</f>
        <v>-22</v>
      </c>
      <c r="ADE33" s="1241" t="s">
        <v>21</v>
      </c>
      <c r="ADF33" s="1242"/>
      <c r="ADG33" s="141">
        <f>ADH5-ADG32</f>
        <v>-22</v>
      </c>
      <c r="ADN33" s="1241" t="s">
        <v>21</v>
      </c>
      <c r="ADO33" s="1242"/>
      <c r="ADP33" s="141">
        <f>ADQ5-ADP32</f>
        <v>-22</v>
      </c>
      <c r="ADW33" s="1241" t="s">
        <v>21</v>
      </c>
      <c r="ADX33" s="1242"/>
      <c r="ADY33" s="141">
        <f>ADZ5-ADY32</f>
        <v>-22</v>
      </c>
      <c r="AEF33" s="1241" t="s">
        <v>21</v>
      </c>
      <c r="AEG33" s="1242"/>
      <c r="AEH33" s="141">
        <f>AEI5-AEH32</f>
        <v>-22</v>
      </c>
      <c r="AEO33" s="1241" t="s">
        <v>21</v>
      </c>
      <c r="AEP33" s="1242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84071696</v>
      </c>
      <c r="E34" s="135">
        <f t="shared" si="73"/>
        <v>44742</v>
      </c>
      <c r="F34" s="86">
        <f t="shared" si="73"/>
        <v>19097.330000000002</v>
      </c>
      <c r="G34" s="73">
        <f t="shared" si="73"/>
        <v>21</v>
      </c>
      <c r="H34" s="48">
        <f t="shared" si="73"/>
        <v>19157.900000000001</v>
      </c>
      <c r="I34" s="105">
        <f t="shared" si="70"/>
        <v>-60.569999999999709</v>
      </c>
      <c r="J34" s="242"/>
      <c r="N34" s="917" t="s">
        <v>4</v>
      </c>
      <c r="O34" s="918"/>
      <c r="P34" s="49"/>
      <c r="S34" s="566"/>
      <c r="X34" s="917" t="s">
        <v>4</v>
      </c>
      <c r="Y34" s="918"/>
      <c r="Z34" s="49"/>
      <c r="AH34" s="917" t="s">
        <v>4</v>
      </c>
      <c r="AI34" s="918"/>
      <c r="AJ34" s="49"/>
      <c r="AM34" s="566"/>
      <c r="AR34" s="917" t="s">
        <v>4</v>
      </c>
      <c r="AS34" s="918"/>
      <c r="AT34" s="49"/>
      <c r="AZ34" s="75"/>
      <c r="BB34" s="1032" t="s">
        <v>4</v>
      </c>
      <c r="BC34" s="1033"/>
      <c r="BD34" s="49"/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697" t="s">
        <v>4</v>
      </c>
      <c r="IA34" s="698"/>
      <c r="IB34" s="49"/>
      <c r="IJ34" s="697" t="s">
        <v>4</v>
      </c>
      <c r="IK34" s="698"/>
      <c r="IL34" s="49"/>
      <c r="IT34" s="697" t="s">
        <v>4</v>
      </c>
      <c r="IU34" s="698"/>
      <c r="IV34" s="49"/>
      <c r="JD34" s="697" t="s">
        <v>4</v>
      </c>
      <c r="JE34" s="698"/>
      <c r="JF34" s="49"/>
      <c r="JN34" s="697" t="s">
        <v>4</v>
      </c>
      <c r="JO34" s="698"/>
      <c r="JP34" s="49">
        <v>0</v>
      </c>
      <c r="JX34" s="697" t="s">
        <v>4</v>
      </c>
      <c r="JY34" s="698"/>
      <c r="JZ34" s="49"/>
      <c r="KH34" s="697" t="s">
        <v>4</v>
      </c>
      <c r="KI34" s="698"/>
      <c r="KJ34" s="49"/>
      <c r="KR34" s="697" t="s">
        <v>4</v>
      </c>
      <c r="KS34" s="698"/>
      <c r="KT34" s="49"/>
      <c r="LB34" s="583" t="s">
        <v>4</v>
      </c>
      <c r="LC34" s="584"/>
      <c r="LD34" s="49"/>
      <c r="LL34" s="583" t="s">
        <v>4</v>
      </c>
      <c r="LM34" s="584"/>
      <c r="LN34" s="49"/>
      <c r="LV34" s="581" t="s">
        <v>21</v>
      </c>
      <c r="LW34" s="582"/>
      <c r="LX34" s="141">
        <f>LY5-LX32</f>
        <v>0</v>
      </c>
      <c r="MA34" s="566"/>
      <c r="MB34" s="566"/>
      <c r="MF34" s="349" t="s">
        <v>4</v>
      </c>
      <c r="MG34" s="350"/>
      <c r="MH34" s="49"/>
      <c r="MP34" s="349" t="s">
        <v>4</v>
      </c>
      <c r="MQ34" s="350"/>
      <c r="MR34" s="49"/>
      <c r="MZ34" s="798" t="s">
        <v>4</v>
      </c>
      <c r="NA34" s="799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243" t="s">
        <v>4</v>
      </c>
      <c r="RU34" s="1244"/>
      <c r="RV34" s="49"/>
      <c r="SC34" s="1243" t="s">
        <v>4</v>
      </c>
      <c r="SD34" s="1244"/>
      <c r="SE34" s="49"/>
      <c r="SL34" s="1243" t="s">
        <v>4</v>
      </c>
      <c r="SM34" s="1244"/>
      <c r="SN34" s="49"/>
      <c r="SU34" s="1243" t="s">
        <v>4</v>
      </c>
      <c r="SV34" s="1244"/>
      <c r="SW34" s="49"/>
      <c r="TD34" s="1243" t="s">
        <v>4</v>
      </c>
      <c r="TE34" s="1244"/>
      <c r="TF34" s="49"/>
      <c r="TM34" s="1243" t="s">
        <v>4</v>
      </c>
      <c r="TN34" s="1244"/>
      <c r="TO34" s="49"/>
      <c r="TV34" s="1243" t="s">
        <v>4</v>
      </c>
      <c r="TW34" s="1244"/>
      <c r="TX34" s="49"/>
      <c r="UE34" s="1243" t="s">
        <v>4</v>
      </c>
      <c r="UF34" s="1244"/>
      <c r="UG34" s="49"/>
      <c r="UN34" s="1243" t="s">
        <v>4</v>
      </c>
      <c r="UO34" s="1244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243" t="s">
        <v>4</v>
      </c>
      <c r="VP34" s="1244"/>
      <c r="VQ34" s="49"/>
      <c r="VX34" s="1243" t="s">
        <v>4</v>
      </c>
      <c r="VY34" s="1244"/>
      <c r="VZ34" s="49"/>
      <c r="WG34" s="1243" t="s">
        <v>4</v>
      </c>
      <c r="WH34" s="1244"/>
      <c r="WI34" s="49"/>
      <c r="WP34" s="1243" t="s">
        <v>4</v>
      </c>
      <c r="WQ34" s="1244"/>
      <c r="WR34" s="49"/>
      <c r="WY34" s="1243" t="s">
        <v>4</v>
      </c>
      <c r="WZ34" s="1244"/>
      <c r="XA34" s="49"/>
      <c r="XH34" s="1243" t="s">
        <v>4</v>
      </c>
      <c r="XI34" s="1244"/>
      <c r="XJ34" s="49"/>
      <c r="XQ34" s="1243" t="s">
        <v>4</v>
      </c>
      <c r="XR34" s="1244"/>
      <c r="XS34" s="49"/>
      <c r="XZ34" s="1243" t="s">
        <v>4</v>
      </c>
      <c r="YA34" s="1244"/>
      <c r="YB34" s="49"/>
      <c r="YI34" s="1243" t="s">
        <v>4</v>
      </c>
      <c r="YJ34" s="1244"/>
      <c r="YK34" s="49"/>
      <c r="YR34" s="1243" t="s">
        <v>4</v>
      </c>
      <c r="YS34" s="1244"/>
      <c r="YT34" s="49"/>
      <c r="ZA34" s="1243" t="s">
        <v>4</v>
      </c>
      <c r="ZB34" s="1244"/>
      <c r="ZC34" s="49"/>
      <c r="ZJ34" s="1243" t="s">
        <v>4</v>
      </c>
      <c r="ZK34" s="1244"/>
      <c r="ZL34" s="49"/>
      <c r="ZS34" s="1243" t="s">
        <v>4</v>
      </c>
      <c r="ZT34" s="1244"/>
      <c r="ZU34" s="49"/>
      <c r="AAB34" s="1243" t="s">
        <v>4</v>
      </c>
      <c r="AAC34" s="1244"/>
      <c r="AAD34" s="49"/>
      <c r="AAK34" s="1243" t="s">
        <v>4</v>
      </c>
      <c r="AAL34" s="1244"/>
      <c r="AAM34" s="49"/>
      <c r="AAT34" s="1243" t="s">
        <v>4</v>
      </c>
      <c r="AAU34" s="1244"/>
      <c r="AAV34" s="49"/>
      <c r="ABC34" s="1243" t="s">
        <v>4</v>
      </c>
      <c r="ABD34" s="1244"/>
      <c r="ABE34" s="49"/>
      <c r="ABL34" s="1243" t="s">
        <v>4</v>
      </c>
      <c r="ABM34" s="1244"/>
      <c r="ABN34" s="49"/>
      <c r="ABU34" s="1243" t="s">
        <v>4</v>
      </c>
      <c r="ABV34" s="1244"/>
      <c r="ABW34" s="49"/>
      <c r="ACD34" s="1243" t="s">
        <v>4</v>
      </c>
      <c r="ACE34" s="1244"/>
      <c r="ACF34" s="49"/>
      <c r="ACM34" s="1243" t="s">
        <v>4</v>
      </c>
      <c r="ACN34" s="1244"/>
      <c r="ACO34" s="49"/>
      <c r="ACV34" s="1243" t="s">
        <v>4</v>
      </c>
      <c r="ACW34" s="1244"/>
      <c r="ACX34" s="49"/>
      <c r="ADE34" s="1243" t="s">
        <v>4</v>
      </c>
      <c r="ADF34" s="1244"/>
      <c r="ADG34" s="49"/>
      <c r="ADN34" s="1243" t="s">
        <v>4</v>
      </c>
      <c r="ADO34" s="1244"/>
      <c r="ADP34" s="49"/>
      <c r="ADW34" s="1243" t="s">
        <v>4</v>
      </c>
      <c r="ADX34" s="1244"/>
      <c r="ADY34" s="49"/>
      <c r="AEF34" s="1243" t="s">
        <v>4</v>
      </c>
      <c r="AEG34" s="1244"/>
      <c r="AEH34" s="49"/>
      <c r="AEO34" s="1243" t="s">
        <v>4</v>
      </c>
      <c r="AEP34" s="1244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I B P </v>
      </c>
      <c r="D35" s="102" t="str">
        <f t="shared" si="74"/>
        <v>PED. 84072562</v>
      </c>
      <c r="E35" s="135">
        <f t="shared" si="74"/>
        <v>44742</v>
      </c>
      <c r="F35" s="86">
        <f t="shared" si="74"/>
        <v>18744.37</v>
      </c>
      <c r="G35" s="73">
        <f t="shared" si="74"/>
        <v>20</v>
      </c>
      <c r="H35" s="48">
        <f t="shared" si="74"/>
        <v>18836.23</v>
      </c>
      <c r="I35" s="105">
        <f t="shared" si="70"/>
        <v>-91.860000000000582</v>
      </c>
      <c r="J35" s="242"/>
      <c r="S35" s="566"/>
      <c r="AM35" s="566"/>
      <c r="AZ35" s="75"/>
      <c r="CP35" s="75" t="s">
        <v>41</v>
      </c>
      <c r="LV35" s="583" t="s">
        <v>4</v>
      </c>
      <c r="LW35" s="584"/>
      <c r="LX35" s="49"/>
      <c r="MA35" s="566"/>
      <c r="MB35" s="566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66"/>
      <c r="AM36" s="566"/>
      <c r="AZ36" s="75"/>
      <c r="MA36" s="566"/>
      <c r="MB36" s="566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6"/>
      <c r="AM37" s="566"/>
      <c r="AZ37" s="75"/>
      <c r="MA37" s="566"/>
      <c r="MB37" s="566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6"/>
      <c r="AM38" s="566"/>
      <c r="AZ38" s="75"/>
      <c r="MA38" s="566"/>
      <c r="MB38" s="566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6"/>
      <c r="MB39" s="566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6"/>
      <c r="MB40" s="566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6"/>
      <c r="MB41" s="566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6"/>
      <c r="MB42" s="566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6"/>
      <c r="MB43" s="566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6"/>
      <c r="MB44" s="566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1" sqref="C1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5" t="s">
        <v>281</v>
      </c>
      <c r="B1" s="1245"/>
      <c r="C1" s="1245"/>
      <c r="D1" s="1245"/>
      <c r="E1" s="1245"/>
      <c r="F1" s="1245"/>
      <c r="G1" s="1245"/>
      <c r="H1" s="356">
        <v>1</v>
      </c>
      <c r="I1" s="56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6"/>
    </row>
    <row r="3" spans="1:10" ht="16.5" thickTop="1" thickBot="1" x14ac:dyDescent="0.3">
      <c r="A3" s="72"/>
      <c r="B3" s="792" t="s">
        <v>1</v>
      </c>
      <c r="C3" s="72"/>
      <c r="D3" s="72"/>
      <c r="E3" s="72"/>
      <c r="F3" s="72"/>
      <c r="G3" s="366" t="s">
        <v>20</v>
      </c>
      <c r="H3" s="365" t="s">
        <v>6</v>
      </c>
      <c r="I3" s="569"/>
    </row>
    <row r="4" spans="1:10" ht="15.75" customHeight="1" thickTop="1" x14ac:dyDescent="0.25">
      <c r="A4" s="75"/>
      <c r="B4" s="1082"/>
      <c r="C4" s="322"/>
      <c r="D4" s="248"/>
      <c r="E4" s="528"/>
      <c r="F4" s="243"/>
      <c r="G4" s="1035"/>
      <c r="H4" s="153"/>
      <c r="I4" s="573"/>
    </row>
    <row r="5" spans="1:10" ht="14.25" customHeight="1" x14ac:dyDescent="0.25">
      <c r="A5" s="1246" t="s">
        <v>282</v>
      </c>
      <c r="B5" s="1272" t="s">
        <v>283</v>
      </c>
      <c r="C5" s="563">
        <v>24</v>
      </c>
      <c r="D5" s="248">
        <v>44711</v>
      </c>
      <c r="E5" s="246">
        <v>1040.1600000000001</v>
      </c>
      <c r="F5" s="243">
        <v>40</v>
      </c>
      <c r="G5" s="241">
        <f>F30</f>
        <v>1040.1599999999999</v>
      </c>
      <c r="H5" s="138">
        <f>E5-G5+E4+E6+E7</f>
        <v>2.2737367544323206E-13</v>
      </c>
      <c r="I5" s="570"/>
    </row>
    <row r="6" spans="1:10" x14ac:dyDescent="0.25">
      <c r="A6" s="1246"/>
      <c r="B6" s="1272"/>
      <c r="C6" s="566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9"/>
      <c r="C7" s="566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1"/>
    </row>
    <row r="9" spans="1:10" ht="15.75" thickTop="1" x14ac:dyDescent="0.25">
      <c r="A9" s="61"/>
      <c r="B9" s="195">
        <f>F4+F5+F6-C9+F7</f>
        <v>36</v>
      </c>
      <c r="C9" s="15">
        <v>4</v>
      </c>
      <c r="D9" s="69">
        <v>109.24</v>
      </c>
      <c r="E9" s="494">
        <v>44713</v>
      </c>
      <c r="F9" s="279">
        <f>D9</f>
        <v>109.24</v>
      </c>
      <c r="G9" s="265" t="s">
        <v>499</v>
      </c>
      <c r="H9" s="266">
        <v>26</v>
      </c>
      <c r="I9" s="322">
        <f>E4+E5+E6-F9+E7</f>
        <v>930.92000000000007</v>
      </c>
      <c r="J9" s="301">
        <f>H9*F9</f>
        <v>2840.24</v>
      </c>
    </row>
    <row r="10" spans="1:10" x14ac:dyDescent="0.25">
      <c r="A10" s="75"/>
      <c r="B10" s="195">
        <f>B9-C10</f>
        <v>0</v>
      </c>
      <c r="C10" s="15">
        <v>36</v>
      </c>
      <c r="D10" s="69">
        <v>930.92</v>
      </c>
      <c r="E10" s="494">
        <v>44718</v>
      </c>
      <c r="F10" s="279">
        <f t="shared" ref="F10:F29" si="0">D10</f>
        <v>930.92</v>
      </c>
      <c r="G10" s="265" t="s">
        <v>526</v>
      </c>
      <c r="H10" s="266">
        <v>26</v>
      </c>
      <c r="I10" s="322">
        <f>I9-F10</f>
        <v>0</v>
      </c>
      <c r="J10" s="301">
        <f t="shared" ref="J10:J28" si="1">H10*F10</f>
        <v>24203.919999999998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4"/>
      <c r="F11" s="279">
        <f t="shared" si="0"/>
        <v>0</v>
      </c>
      <c r="G11" s="1179"/>
      <c r="H11" s="1007"/>
      <c r="I11" s="1180">
        <f t="shared" ref="I11:I28" si="3">I10-F11</f>
        <v>0</v>
      </c>
      <c r="J11" s="1185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4"/>
      <c r="F12" s="279">
        <f t="shared" si="0"/>
        <v>0</v>
      </c>
      <c r="G12" s="1179"/>
      <c r="H12" s="1007"/>
      <c r="I12" s="1180">
        <f t="shared" si="3"/>
        <v>0</v>
      </c>
      <c r="J12" s="1185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4"/>
      <c r="F13" s="279">
        <f t="shared" si="0"/>
        <v>0</v>
      </c>
      <c r="G13" s="1179"/>
      <c r="H13" s="1007"/>
      <c r="I13" s="1180">
        <f t="shared" si="3"/>
        <v>0</v>
      </c>
      <c r="J13" s="1185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4"/>
      <c r="F14" s="279">
        <f t="shared" si="0"/>
        <v>0</v>
      </c>
      <c r="G14" s="1179"/>
      <c r="H14" s="1007"/>
      <c r="I14" s="1180">
        <f t="shared" si="3"/>
        <v>0</v>
      </c>
      <c r="J14" s="1185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1179"/>
      <c r="H15" s="1007"/>
      <c r="I15" s="1180">
        <f t="shared" si="3"/>
        <v>0</v>
      </c>
      <c r="J15" s="1185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93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93"/>
      <c r="F25" s="279">
        <f t="shared" si="0"/>
        <v>0</v>
      </c>
      <c r="G25" s="990"/>
      <c r="H25" s="991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93"/>
      <c r="F26" s="279">
        <f t="shared" si="0"/>
        <v>0</v>
      </c>
      <c r="G26" s="990"/>
      <c r="H26" s="991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93"/>
      <c r="F27" s="279">
        <f t="shared" si="0"/>
        <v>0</v>
      </c>
      <c r="G27" s="990"/>
      <c r="H27" s="991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27044.159999999996</v>
      </c>
    </row>
    <row r="30" spans="1:10" ht="15.75" thickTop="1" x14ac:dyDescent="0.25">
      <c r="A30" s="47">
        <f>SUM(A29:A29)</f>
        <v>0</v>
      </c>
      <c r="C30" s="73"/>
      <c r="D30" s="105">
        <f>SUM(D9:D29)</f>
        <v>1040.1599999999999</v>
      </c>
      <c r="E30" s="134"/>
      <c r="F30" s="105">
        <f>SUM(F9:F29)</f>
        <v>1040.1599999999999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41" t="s">
        <v>21</v>
      </c>
      <c r="E32" s="1242"/>
      <c r="F32" s="141">
        <f>G5-F30</f>
        <v>0</v>
      </c>
    </row>
    <row r="33" spans="1:6" ht="15.75" thickBot="1" x14ac:dyDescent="0.3">
      <c r="A33" s="125"/>
      <c r="D33" s="1032" t="s">
        <v>4</v>
      </c>
      <c r="E33" s="1033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topLeftCell="A7" zoomScaleNormal="100" workbookViewId="0">
      <selection activeCell="G24" sqref="G2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56" t="s">
        <v>274</v>
      </c>
      <c r="B1" s="1256"/>
      <c r="C1" s="1256"/>
      <c r="D1" s="1256"/>
      <c r="E1" s="1256"/>
      <c r="F1" s="1256"/>
      <c r="G1" s="125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3"/>
      <c r="B4" s="483"/>
      <c r="C4" s="483"/>
      <c r="D4" s="483"/>
      <c r="E4" s="919">
        <v>36.32</v>
      </c>
      <c r="F4" s="483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897"/>
    </row>
    <row r="6" spans="1:9" ht="15.75" x14ac:dyDescent="0.25">
      <c r="A6" s="75" t="s">
        <v>66</v>
      </c>
      <c r="B6" s="769" t="s">
        <v>78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299.63999999999993</v>
      </c>
      <c r="H6" s="7">
        <f>E6-G6+E5+E7+E4</f>
        <v>9.080000000000048</v>
      </c>
    </row>
    <row r="7" spans="1:9" ht="15.75" thickBot="1" x14ac:dyDescent="0.3">
      <c r="B7" s="754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05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0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95</v>
      </c>
      <c r="H9" s="266">
        <v>265</v>
      </c>
      <c r="I9" s="47">
        <f>E5+E6+E7-F9+E4</f>
        <v>263.32</v>
      </c>
    </row>
    <row r="10" spans="1:9" x14ac:dyDescent="0.25">
      <c r="B10" s="610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97</v>
      </c>
      <c r="H10" s="266">
        <v>265</v>
      </c>
      <c r="I10" s="262">
        <f>I9-F10</f>
        <v>258.77999999999997</v>
      </c>
    </row>
    <row r="11" spans="1:9" x14ac:dyDescent="0.25">
      <c r="B11" s="610">
        <f>B10-C11</f>
        <v>52</v>
      </c>
      <c r="C11" s="243">
        <v>5</v>
      </c>
      <c r="D11" s="825">
        <v>22.7</v>
      </c>
      <c r="E11" s="826">
        <v>44652</v>
      </c>
      <c r="F11" s="827">
        <f t="shared" si="0"/>
        <v>22.7</v>
      </c>
      <c r="G11" s="468" t="s">
        <v>103</v>
      </c>
      <c r="H11" s="534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0">
        <f t="shared" ref="B12:B14" si="2">B11-C12</f>
        <v>32</v>
      </c>
      <c r="C12" s="243">
        <v>20</v>
      </c>
      <c r="D12" s="825">
        <v>90.8</v>
      </c>
      <c r="E12" s="826">
        <v>44657</v>
      </c>
      <c r="F12" s="827">
        <f t="shared" si="0"/>
        <v>90.8</v>
      </c>
      <c r="G12" s="468" t="s">
        <v>104</v>
      </c>
      <c r="H12" s="534">
        <v>265</v>
      </c>
      <c r="I12" s="262">
        <f t="shared" si="1"/>
        <v>145.27999999999997</v>
      </c>
    </row>
    <row r="13" spans="1:9" x14ac:dyDescent="0.25">
      <c r="B13" s="610">
        <f t="shared" si="2"/>
        <v>31</v>
      </c>
      <c r="C13" s="243">
        <v>1</v>
      </c>
      <c r="D13" s="825">
        <v>4.54</v>
      </c>
      <c r="E13" s="826">
        <v>44658</v>
      </c>
      <c r="F13" s="827">
        <f t="shared" si="0"/>
        <v>4.54</v>
      </c>
      <c r="G13" s="468" t="s">
        <v>105</v>
      </c>
      <c r="H13" s="534">
        <v>265</v>
      </c>
      <c r="I13" s="262">
        <f t="shared" si="1"/>
        <v>140.73999999999998</v>
      </c>
    </row>
    <row r="14" spans="1:9" x14ac:dyDescent="0.25">
      <c r="A14" s="19"/>
      <c r="B14" s="610">
        <f t="shared" si="2"/>
        <v>26</v>
      </c>
      <c r="C14" s="243">
        <v>5</v>
      </c>
      <c r="D14" s="825">
        <v>22.7</v>
      </c>
      <c r="E14" s="826">
        <v>44665</v>
      </c>
      <c r="F14" s="827">
        <f t="shared" si="0"/>
        <v>22.7</v>
      </c>
      <c r="G14" s="468" t="s">
        <v>110</v>
      </c>
      <c r="H14" s="534">
        <v>265</v>
      </c>
      <c r="I14" s="262">
        <f t="shared" si="1"/>
        <v>118.03999999999998</v>
      </c>
    </row>
    <row r="15" spans="1:9" x14ac:dyDescent="0.25">
      <c r="B15" s="610">
        <f>B14-C15</f>
        <v>25</v>
      </c>
      <c r="C15" s="243">
        <v>1</v>
      </c>
      <c r="D15" s="994">
        <v>4.54</v>
      </c>
      <c r="E15" s="1005">
        <v>44686</v>
      </c>
      <c r="F15" s="1006">
        <f t="shared" si="0"/>
        <v>4.54</v>
      </c>
      <c r="G15" s="990" t="s">
        <v>138</v>
      </c>
      <c r="H15" s="991">
        <v>265</v>
      </c>
      <c r="I15" s="262">
        <f t="shared" si="1"/>
        <v>113.49999999999997</v>
      </c>
    </row>
    <row r="16" spans="1:9" x14ac:dyDescent="0.25">
      <c r="B16" s="610">
        <f t="shared" ref="B16:B26" si="3">B15-C16</f>
        <v>24</v>
      </c>
      <c r="C16" s="243">
        <v>1</v>
      </c>
      <c r="D16" s="994">
        <v>4.54</v>
      </c>
      <c r="E16" s="1005">
        <v>44690</v>
      </c>
      <c r="F16" s="1006">
        <f t="shared" si="0"/>
        <v>4.54</v>
      </c>
      <c r="G16" s="990" t="s">
        <v>151</v>
      </c>
      <c r="H16" s="991">
        <v>265</v>
      </c>
      <c r="I16" s="262">
        <f t="shared" si="1"/>
        <v>108.95999999999997</v>
      </c>
    </row>
    <row r="17" spans="1:9" x14ac:dyDescent="0.25">
      <c r="B17" s="610">
        <f t="shared" si="3"/>
        <v>23</v>
      </c>
      <c r="C17" s="243">
        <v>1</v>
      </c>
      <c r="D17" s="994">
        <v>4.54</v>
      </c>
      <c r="E17" s="1005">
        <v>44692</v>
      </c>
      <c r="F17" s="1006">
        <f t="shared" si="0"/>
        <v>4.54</v>
      </c>
      <c r="G17" s="990" t="s">
        <v>163</v>
      </c>
      <c r="H17" s="991">
        <v>265</v>
      </c>
      <c r="I17" s="262">
        <f t="shared" si="1"/>
        <v>104.41999999999996</v>
      </c>
    </row>
    <row r="18" spans="1:9" x14ac:dyDescent="0.25">
      <c r="B18" s="610">
        <f t="shared" si="3"/>
        <v>18</v>
      </c>
      <c r="C18" s="243">
        <v>5</v>
      </c>
      <c r="D18" s="994">
        <v>22.7</v>
      </c>
      <c r="E18" s="1005">
        <v>44698</v>
      </c>
      <c r="F18" s="1006">
        <f t="shared" si="0"/>
        <v>22.7</v>
      </c>
      <c r="G18" s="990" t="s">
        <v>182</v>
      </c>
      <c r="H18" s="991">
        <v>265</v>
      </c>
      <c r="I18" s="262">
        <f t="shared" si="1"/>
        <v>81.719999999999956</v>
      </c>
    </row>
    <row r="19" spans="1:9" x14ac:dyDescent="0.25">
      <c r="B19" s="610">
        <f t="shared" si="3"/>
        <v>17</v>
      </c>
      <c r="C19" s="243">
        <v>1</v>
      </c>
      <c r="D19" s="994">
        <v>4.54</v>
      </c>
      <c r="E19" s="1005">
        <v>44701</v>
      </c>
      <c r="F19" s="1006">
        <f t="shared" si="0"/>
        <v>4.54</v>
      </c>
      <c r="G19" s="990" t="s">
        <v>198</v>
      </c>
      <c r="H19" s="991">
        <v>265</v>
      </c>
      <c r="I19" s="262">
        <f t="shared" si="1"/>
        <v>77.17999999999995</v>
      </c>
    </row>
    <row r="20" spans="1:9" x14ac:dyDescent="0.25">
      <c r="B20" s="610">
        <f t="shared" si="3"/>
        <v>13</v>
      </c>
      <c r="C20" s="243">
        <v>4</v>
      </c>
      <c r="D20" s="994">
        <v>18.16</v>
      </c>
      <c r="E20" s="1005">
        <v>44706</v>
      </c>
      <c r="F20" s="1006">
        <f t="shared" si="0"/>
        <v>18.16</v>
      </c>
      <c r="G20" s="990" t="s">
        <v>242</v>
      </c>
      <c r="H20" s="991">
        <v>265</v>
      </c>
      <c r="I20" s="47">
        <f t="shared" si="1"/>
        <v>59.019999999999953</v>
      </c>
    </row>
    <row r="21" spans="1:9" x14ac:dyDescent="0.25">
      <c r="B21" s="610">
        <f t="shared" si="3"/>
        <v>12</v>
      </c>
      <c r="C21" s="243">
        <v>1</v>
      </c>
      <c r="D21" s="858">
        <v>4.54</v>
      </c>
      <c r="E21" s="1061">
        <v>44714</v>
      </c>
      <c r="F21" s="1060">
        <f t="shared" si="0"/>
        <v>4.54</v>
      </c>
      <c r="G21" s="422" t="s">
        <v>505</v>
      </c>
      <c r="H21" s="423">
        <v>265</v>
      </c>
      <c r="I21" s="47">
        <f t="shared" si="1"/>
        <v>54.479999999999954</v>
      </c>
    </row>
    <row r="22" spans="1:9" x14ac:dyDescent="0.25">
      <c r="B22" s="610">
        <f t="shared" si="3"/>
        <v>7</v>
      </c>
      <c r="C22" s="243">
        <v>5</v>
      </c>
      <c r="D22" s="858">
        <v>22.7</v>
      </c>
      <c r="E22" s="1061">
        <v>44714</v>
      </c>
      <c r="F22" s="1060">
        <f t="shared" si="0"/>
        <v>22.7</v>
      </c>
      <c r="G22" s="422" t="s">
        <v>505</v>
      </c>
      <c r="H22" s="423">
        <v>265</v>
      </c>
      <c r="I22" s="47">
        <f t="shared" si="1"/>
        <v>31.779999999999955</v>
      </c>
    </row>
    <row r="23" spans="1:9" x14ac:dyDescent="0.25">
      <c r="B23" s="610">
        <f t="shared" si="3"/>
        <v>2</v>
      </c>
      <c r="C23" s="263">
        <v>5</v>
      </c>
      <c r="D23" s="858">
        <v>22.7</v>
      </c>
      <c r="E23" s="1061">
        <v>44718</v>
      </c>
      <c r="F23" s="1060">
        <f t="shared" si="0"/>
        <v>22.7</v>
      </c>
      <c r="G23" s="422" t="s">
        <v>539</v>
      </c>
      <c r="H23" s="423">
        <v>265</v>
      </c>
      <c r="I23" s="47">
        <f t="shared" si="1"/>
        <v>9.0799999999999557</v>
      </c>
    </row>
    <row r="24" spans="1:9" x14ac:dyDescent="0.25">
      <c r="B24" s="610">
        <f t="shared" si="3"/>
        <v>2</v>
      </c>
      <c r="C24" s="15"/>
      <c r="D24" s="858">
        <v>0</v>
      </c>
      <c r="E24" s="1061"/>
      <c r="F24" s="1060">
        <f t="shared" si="0"/>
        <v>0</v>
      </c>
      <c r="G24" s="422"/>
      <c r="H24" s="423"/>
      <c r="I24" s="262">
        <f t="shared" si="1"/>
        <v>9.0799999999999557</v>
      </c>
    </row>
    <row r="25" spans="1:9" x14ac:dyDescent="0.25">
      <c r="B25" s="610">
        <f t="shared" si="3"/>
        <v>2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9.0799999999999557</v>
      </c>
    </row>
    <row r="26" spans="1:9" ht="15.75" thickBot="1" x14ac:dyDescent="0.3">
      <c r="A26" s="121"/>
      <c r="B26" s="610">
        <f t="shared" si="3"/>
        <v>2</v>
      </c>
      <c r="C26" s="37"/>
      <c r="D26" s="264">
        <v>0</v>
      </c>
      <c r="E26" s="217"/>
      <c r="F26" s="275">
        <f t="shared" si="0"/>
        <v>0</v>
      </c>
      <c r="G26" s="646"/>
      <c r="H26" s="647"/>
      <c r="I26" s="262">
        <f t="shared" si="1"/>
        <v>9.0799999999999557</v>
      </c>
    </row>
    <row r="27" spans="1:9" ht="15.75" thickTop="1" x14ac:dyDescent="0.25">
      <c r="A27" s="47">
        <f>SUM(A26:A26)</f>
        <v>0</v>
      </c>
      <c r="C27" s="73">
        <f>SUM(C9:C26)</f>
        <v>66</v>
      </c>
      <c r="D27" s="105">
        <f>SUM(D9:D26)</f>
        <v>299.63999999999993</v>
      </c>
      <c r="E27" s="75"/>
      <c r="F27" s="105">
        <f>SUM(F9:F26)</f>
        <v>299.63999999999993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41" t="s">
        <v>21</v>
      </c>
      <c r="E29" s="1242"/>
      <c r="F29" s="141">
        <f>E5+E6-F27+E7+E4</f>
        <v>9.080000000000048</v>
      </c>
    </row>
    <row r="30" spans="1:9" ht="15.75" thickBot="1" x14ac:dyDescent="0.3">
      <c r="A30" s="125"/>
      <c r="D30" s="895" t="s">
        <v>4</v>
      </c>
      <c r="E30" s="896"/>
      <c r="F30" s="49">
        <f>F5+F6-C27+F7+F4</f>
        <v>2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52"/>
      <c r="B1" s="1252"/>
      <c r="C1" s="1252"/>
      <c r="D1" s="1252"/>
      <c r="E1" s="1252"/>
      <c r="F1" s="1252"/>
      <c r="G1" s="125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6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4" t="s">
        <v>7</v>
      </c>
      <c r="C8" s="615" t="s">
        <v>8</v>
      </c>
      <c r="D8" s="616" t="s">
        <v>17</v>
      </c>
      <c r="E8" s="617" t="s">
        <v>2</v>
      </c>
      <c r="F8" s="618" t="s">
        <v>18</v>
      </c>
      <c r="G8" s="613" t="s">
        <v>57</v>
      </c>
      <c r="H8" s="470"/>
      <c r="I8" s="242"/>
    </row>
    <row r="9" spans="1:10" ht="15.75" thickTop="1" x14ac:dyDescent="0.25">
      <c r="A9" s="55" t="s">
        <v>32</v>
      </c>
      <c r="B9" s="89"/>
      <c r="C9" s="619"/>
      <c r="D9" s="620"/>
      <c r="E9" s="621"/>
      <c r="F9" s="622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67"/>
      <c r="E10" s="724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67"/>
      <c r="E11" s="724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67">
        <v>0</v>
      </c>
      <c r="E12" s="724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67">
        <v>0</v>
      </c>
      <c r="E13" s="724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67">
        <v>0</v>
      </c>
      <c r="E14" s="724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67">
        <v>0</v>
      </c>
      <c r="E15" s="724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67">
        <v>0</v>
      </c>
      <c r="E16" s="724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67">
        <v>0</v>
      </c>
      <c r="E17" s="724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67">
        <v>0</v>
      </c>
      <c r="E18" s="724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67">
        <v>0</v>
      </c>
      <c r="E19" s="724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67">
        <v>0</v>
      </c>
      <c r="E20" s="460"/>
      <c r="F20" s="567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67">
        <v>0</v>
      </c>
      <c r="E21" s="460"/>
      <c r="F21" s="567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67">
        <v>0</v>
      </c>
      <c r="E22" s="460"/>
      <c r="F22" s="567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67">
        <v>0</v>
      </c>
      <c r="E23" s="460"/>
      <c r="F23" s="567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67">
        <v>0</v>
      </c>
      <c r="E24" s="460"/>
      <c r="F24" s="567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67">
        <v>0</v>
      </c>
      <c r="E25" s="460"/>
      <c r="F25" s="567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67">
        <v>0</v>
      </c>
      <c r="E26" s="460"/>
      <c r="F26" s="567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67">
        <f t="shared" ref="D27:D28" si="3">C27*B27</f>
        <v>0</v>
      </c>
      <c r="E27" s="460"/>
      <c r="F27" s="567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67">
        <f t="shared" si="3"/>
        <v>0</v>
      </c>
      <c r="E28" s="460"/>
      <c r="F28" s="567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3"/>
      <c r="D29" s="624">
        <f>B29*C29</f>
        <v>0</v>
      </c>
      <c r="E29" s="625"/>
      <c r="F29" s="567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41" t="s">
        <v>21</v>
      </c>
      <c r="E32" s="1242"/>
      <c r="F32" s="141">
        <f>E5-F30+E6+E7</f>
        <v>0</v>
      </c>
    </row>
    <row r="33" spans="1:6" ht="15.75" thickBot="1" x14ac:dyDescent="0.3">
      <c r="A33" s="125"/>
      <c r="D33" s="722" t="s">
        <v>4</v>
      </c>
      <c r="E33" s="723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52" t="s">
        <v>281</v>
      </c>
      <c r="B1" s="1252"/>
      <c r="C1" s="1252"/>
      <c r="D1" s="1252"/>
      <c r="E1" s="1252"/>
      <c r="F1" s="1252"/>
      <c r="G1" s="125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3"/>
      <c r="B4" s="483"/>
      <c r="C4" s="483"/>
      <c r="D4" s="483"/>
      <c r="E4" s="919"/>
      <c r="F4" s="483"/>
      <c r="G4" s="316"/>
      <c r="H4" s="316"/>
    </row>
    <row r="5" spans="1:9" x14ac:dyDescent="0.25">
      <c r="A5" s="1273" t="s">
        <v>284</v>
      </c>
      <c r="B5" s="1262" t="s">
        <v>285</v>
      </c>
      <c r="C5" s="66">
        <v>55</v>
      </c>
      <c r="D5" s="248">
        <v>44711</v>
      </c>
      <c r="E5" s="246">
        <v>2007.81</v>
      </c>
      <c r="F5" s="243">
        <v>71</v>
      </c>
      <c r="G5" s="1035"/>
    </row>
    <row r="6" spans="1:9" ht="15.75" customHeight="1" x14ac:dyDescent="0.25">
      <c r="A6" s="1273"/>
      <c r="B6" s="1262"/>
      <c r="C6" s="310"/>
      <c r="D6" s="248"/>
      <c r="E6" s="275"/>
      <c r="F6" s="243"/>
      <c r="G6" s="276">
        <f>F27</f>
        <v>233.08999999999997</v>
      </c>
      <c r="H6" s="7">
        <f>E6-G6+E5+E7+E4</f>
        <v>1774.72</v>
      </c>
    </row>
    <row r="7" spans="1:9" ht="15.75" thickBot="1" x14ac:dyDescent="0.3">
      <c r="B7" s="754"/>
      <c r="C7" s="310"/>
      <c r="D7" s="134"/>
      <c r="E7" s="86"/>
      <c r="F7" s="73"/>
    </row>
    <row r="8" spans="1:9" ht="16.5" thickTop="1" thickBot="1" x14ac:dyDescent="0.3">
      <c r="B8" s="375" t="s">
        <v>7</v>
      </c>
      <c r="C8" s="369" t="s">
        <v>8</v>
      </c>
      <c r="D8" s="905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0">
        <f>F5+F6+F7-C9+F4</f>
        <v>67</v>
      </c>
      <c r="C9" s="243">
        <v>4</v>
      </c>
      <c r="D9" s="264">
        <v>120.04</v>
      </c>
      <c r="E9" s="328">
        <v>44711</v>
      </c>
      <c r="F9" s="105">
        <f t="shared" ref="F9:F26" si="0">D9</f>
        <v>120.04</v>
      </c>
      <c r="G9" s="265" t="s">
        <v>480</v>
      </c>
      <c r="H9" s="266">
        <v>58</v>
      </c>
      <c r="I9" s="47">
        <f>E5+E6+E7-F9+E4</f>
        <v>1887.77</v>
      </c>
    </row>
    <row r="10" spans="1:9" x14ac:dyDescent="0.25">
      <c r="B10" s="610">
        <f>B9-C10</f>
        <v>65</v>
      </c>
      <c r="C10" s="243">
        <v>2</v>
      </c>
      <c r="D10" s="264">
        <v>59.78</v>
      </c>
      <c r="E10" s="328">
        <v>44712</v>
      </c>
      <c r="F10" s="275">
        <f t="shared" si="0"/>
        <v>59.78</v>
      </c>
      <c r="G10" s="265" t="s">
        <v>485</v>
      </c>
      <c r="H10" s="266">
        <v>58</v>
      </c>
      <c r="I10" s="262">
        <f>I9-F10</f>
        <v>1827.99</v>
      </c>
    </row>
    <row r="11" spans="1:9" x14ac:dyDescent="0.25">
      <c r="B11" s="610">
        <f>B10-C11</f>
        <v>64</v>
      </c>
      <c r="C11" s="243">
        <v>1</v>
      </c>
      <c r="D11" s="264">
        <v>28.23</v>
      </c>
      <c r="E11" s="328">
        <v>44712</v>
      </c>
      <c r="F11" s="275">
        <f t="shared" si="0"/>
        <v>28.23</v>
      </c>
      <c r="G11" s="265" t="s">
        <v>489</v>
      </c>
      <c r="H11" s="266">
        <v>58</v>
      </c>
      <c r="I11" s="262">
        <f t="shared" ref="I11:I26" si="1">I10-F11</f>
        <v>1799.76</v>
      </c>
    </row>
    <row r="12" spans="1:9" x14ac:dyDescent="0.25">
      <c r="A12" s="55" t="s">
        <v>33</v>
      </c>
      <c r="B12" s="610">
        <f t="shared" ref="B12:B14" si="2">B11-C12</f>
        <v>63</v>
      </c>
      <c r="C12" s="243">
        <v>1</v>
      </c>
      <c r="D12" s="264">
        <v>25.04</v>
      </c>
      <c r="E12" s="328">
        <v>44713</v>
      </c>
      <c r="F12" s="275">
        <f t="shared" si="0"/>
        <v>25.04</v>
      </c>
      <c r="G12" s="265" t="s">
        <v>500</v>
      </c>
      <c r="H12" s="266">
        <v>58</v>
      </c>
      <c r="I12" s="262">
        <f t="shared" si="1"/>
        <v>1774.72</v>
      </c>
    </row>
    <row r="13" spans="1:9" x14ac:dyDescent="0.25">
      <c r="B13" s="610">
        <f t="shared" si="2"/>
        <v>63</v>
      </c>
      <c r="C13" s="243"/>
      <c r="D13" s="264">
        <v>0</v>
      </c>
      <c r="E13" s="328"/>
      <c r="F13" s="275">
        <f t="shared" si="0"/>
        <v>0</v>
      </c>
      <c r="G13" s="265"/>
      <c r="H13" s="266"/>
      <c r="I13" s="262">
        <f t="shared" si="1"/>
        <v>1774.72</v>
      </c>
    </row>
    <row r="14" spans="1:9" x14ac:dyDescent="0.25">
      <c r="A14" s="19"/>
      <c r="B14" s="610">
        <f t="shared" si="2"/>
        <v>63</v>
      </c>
      <c r="C14" s="243"/>
      <c r="D14" s="264">
        <v>0</v>
      </c>
      <c r="E14" s="328"/>
      <c r="F14" s="275">
        <f t="shared" si="0"/>
        <v>0</v>
      </c>
      <c r="G14" s="265"/>
      <c r="H14" s="266"/>
      <c r="I14" s="262">
        <f t="shared" si="1"/>
        <v>1774.72</v>
      </c>
    </row>
    <row r="15" spans="1:9" x14ac:dyDescent="0.25">
      <c r="B15" s="610">
        <f>B14-C15</f>
        <v>63</v>
      </c>
      <c r="C15" s="243"/>
      <c r="D15" s="264">
        <v>0</v>
      </c>
      <c r="E15" s="328"/>
      <c r="F15" s="275">
        <f t="shared" si="0"/>
        <v>0</v>
      </c>
      <c r="G15" s="265"/>
      <c r="H15" s="266"/>
      <c r="I15" s="262">
        <f t="shared" si="1"/>
        <v>1774.72</v>
      </c>
    </row>
    <row r="16" spans="1:9" x14ac:dyDescent="0.25">
      <c r="B16" s="610">
        <f t="shared" ref="B16:B26" si="3">B15-C16</f>
        <v>63</v>
      </c>
      <c r="C16" s="243"/>
      <c r="D16" s="264">
        <v>0</v>
      </c>
      <c r="E16" s="328"/>
      <c r="F16" s="275">
        <f t="shared" si="0"/>
        <v>0</v>
      </c>
      <c r="G16" s="265"/>
      <c r="H16" s="266"/>
      <c r="I16" s="262">
        <f t="shared" si="1"/>
        <v>1774.72</v>
      </c>
    </row>
    <row r="17" spans="1:9" x14ac:dyDescent="0.25">
      <c r="B17" s="610">
        <f t="shared" si="3"/>
        <v>63</v>
      </c>
      <c r="C17" s="243"/>
      <c r="D17" s="264">
        <v>0</v>
      </c>
      <c r="E17" s="328"/>
      <c r="F17" s="275">
        <f t="shared" si="0"/>
        <v>0</v>
      </c>
      <c r="G17" s="265"/>
      <c r="H17" s="266"/>
      <c r="I17" s="262">
        <f t="shared" si="1"/>
        <v>1774.72</v>
      </c>
    </row>
    <row r="18" spans="1:9" x14ac:dyDescent="0.25">
      <c r="B18" s="610">
        <f t="shared" si="3"/>
        <v>63</v>
      </c>
      <c r="C18" s="243"/>
      <c r="D18" s="264">
        <v>0</v>
      </c>
      <c r="E18" s="328"/>
      <c r="F18" s="275">
        <f t="shared" si="0"/>
        <v>0</v>
      </c>
      <c r="G18" s="265"/>
      <c r="H18" s="266"/>
      <c r="I18" s="262">
        <f t="shared" si="1"/>
        <v>1774.72</v>
      </c>
    </row>
    <row r="19" spans="1:9" x14ac:dyDescent="0.25">
      <c r="B19" s="610">
        <f t="shared" si="3"/>
        <v>63</v>
      </c>
      <c r="C19" s="243"/>
      <c r="D19" s="264">
        <v>0</v>
      </c>
      <c r="E19" s="328"/>
      <c r="F19" s="275">
        <f t="shared" si="0"/>
        <v>0</v>
      </c>
      <c r="G19" s="265"/>
      <c r="H19" s="266"/>
      <c r="I19" s="262">
        <f t="shared" si="1"/>
        <v>1774.72</v>
      </c>
    </row>
    <row r="20" spans="1:9" x14ac:dyDescent="0.25">
      <c r="B20" s="610">
        <f t="shared" si="3"/>
        <v>63</v>
      </c>
      <c r="C20" s="243"/>
      <c r="D20" s="264">
        <v>0</v>
      </c>
      <c r="E20" s="328"/>
      <c r="F20" s="275">
        <f t="shared" si="0"/>
        <v>0</v>
      </c>
      <c r="G20" s="265"/>
      <c r="H20" s="266"/>
      <c r="I20" s="47">
        <f t="shared" si="1"/>
        <v>1774.72</v>
      </c>
    </row>
    <row r="21" spans="1:9" x14ac:dyDescent="0.25">
      <c r="B21" s="610">
        <f t="shared" si="3"/>
        <v>63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1774.72</v>
      </c>
    </row>
    <row r="22" spans="1:9" x14ac:dyDescent="0.25">
      <c r="B22" s="610">
        <f t="shared" si="3"/>
        <v>63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1774.72</v>
      </c>
    </row>
    <row r="23" spans="1:9" x14ac:dyDescent="0.25">
      <c r="B23" s="610">
        <f t="shared" si="3"/>
        <v>63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1774.72</v>
      </c>
    </row>
    <row r="24" spans="1:9" x14ac:dyDescent="0.25">
      <c r="B24" s="610">
        <f t="shared" si="3"/>
        <v>63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1774.72</v>
      </c>
    </row>
    <row r="25" spans="1:9" x14ac:dyDescent="0.25">
      <c r="B25" s="610">
        <f t="shared" si="3"/>
        <v>63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1774.72</v>
      </c>
    </row>
    <row r="26" spans="1:9" ht="15.75" thickBot="1" x14ac:dyDescent="0.3">
      <c r="A26" s="121"/>
      <c r="B26" s="610">
        <f t="shared" si="3"/>
        <v>63</v>
      </c>
      <c r="C26" s="37"/>
      <c r="D26" s="264">
        <v>0</v>
      </c>
      <c r="E26" s="217"/>
      <c r="F26" s="275">
        <f t="shared" si="0"/>
        <v>0</v>
      </c>
      <c r="G26" s="646"/>
      <c r="H26" s="647"/>
      <c r="I26" s="262">
        <f t="shared" si="1"/>
        <v>1774.72</v>
      </c>
    </row>
    <row r="27" spans="1:9" ht="15.75" thickTop="1" x14ac:dyDescent="0.25">
      <c r="A27" s="47">
        <f>SUM(A26:A26)</f>
        <v>0</v>
      </c>
      <c r="C27" s="73">
        <f>SUM(C9:C26)</f>
        <v>8</v>
      </c>
      <c r="D27" s="105">
        <f>SUM(D9:D26)</f>
        <v>233.08999999999997</v>
      </c>
      <c r="E27" s="75"/>
      <c r="F27" s="105">
        <f>SUM(F9:F26)</f>
        <v>233.08999999999997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41" t="s">
        <v>21</v>
      </c>
      <c r="E29" s="1242"/>
      <c r="F29" s="141">
        <f>E5+E6-F27+E7+E4</f>
        <v>1774.72</v>
      </c>
    </row>
    <row r="30" spans="1:9" ht="15.75" thickBot="1" x14ac:dyDescent="0.3">
      <c r="A30" s="125"/>
      <c r="D30" s="1032" t="s">
        <v>4</v>
      </c>
      <c r="E30" s="1033"/>
      <c r="F30" s="49">
        <f>F5+F6-C27+F7+F4</f>
        <v>63</v>
      </c>
    </row>
    <row r="31" spans="1:9" x14ac:dyDescent="0.25">
      <c r="B31" s="5"/>
    </row>
  </sheetData>
  <mergeCells count="4">
    <mergeCell ref="A1:G1"/>
    <mergeCell ref="D29:E29"/>
    <mergeCell ref="A5:A6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56" t="s">
        <v>275</v>
      </c>
      <c r="B1" s="1256"/>
      <c r="C1" s="1256"/>
      <c r="D1" s="1256"/>
      <c r="E1" s="1256"/>
      <c r="F1" s="1256"/>
      <c r="G1" s="125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3"/>
      <c r="B4" s="483"/>
      <c r="C4" s="484"/>
      <c r="D4" s="311"/>
      <c r="E4" s="487"/>
      <c r="F4" s="483"/>
      <c r="G4" s="316"/>
      <c r="H4" s="316"/>
    </row>
    <row r="5" spans="1:8" ht="15" hidden="1" customHeight="1" x14ac:dyDescent="0.25">
      <c r="A5" s="73"/>
      <c r="C5" s="503"/>
      <c r="D5" s="311"/>
      <c r="E5" s="485"/>
      <c r="F5" s="294"/>
      <c r="G5" s="719"/>
    </row>
    <row r="6" spans="1:8" ht="15.75" customHeight="1" thickTop="1" x14ac:dyDescent="0.25">
      <c r="A6" s="1250" t="s">
        <v>66</v>
      </c>
      <c r="B6" s="732" t="s">
        <v>72</v>
      </c>
      <c r="C6" s="503"/>
      <c r="D6" s="311"/>
      <c r="E6" s="485"/>
      <c r="F6" s="294"/>
      <c r="G6" s="88"/>
      <c r="H6" s="260"/>
    </row>
    <row r="7" spans="1:8" ht="16.5" customHeight="1" thickBot="1" x14ac:dyDescent="0.3">
      <c r="A7" s="1250"/>
      <c r="B7" s="733"/>
      <c r="C7" s="504">
        <v>192</v>
      </c>
      <c r="D7" s="311">
        <v>44642</v>
      </c>
      <c r="E7" s="486">
        <v>160</v>
      </c>
      <c r="F7" s="243">
        <v>8</v>
      </c>
      <c r="G7" s="5">
        <f>D28</f>
        <v>60</v>
      </c>
      <c r="H7" s="807">
        <f>E7-G7</f>
        <v>100</v>
      </c>
    </row>
    <row r="8" spans="1:8" ht="16.5" customHeight="1" thickBot="1" x14ac:dyDescent="0.3">
      <c r="A8" s="908"/>
      <c r="B8" s="452"/>
      <c r="C8" s="504"/>
      <c r="D8" s="311"/>
      <c r="E8" s="48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89">
        <f>F4+F5+F6+F7+F8-C10</f>
        <v>7</v>
      </c>
      <c r="C10" s="15">
        <v>1</v>
      </c>
      <c r="D10" s="308">
        <v>20</v>
      </c>
      <c r="E10" s="681">
        <v>44658</v>
      </c>
      <c r="F10" s="682">
        <f>D10</f>
        <v>20</v>
      </c>
      <c r="G10" s="683" t="s">
        <v>105</v>
      </c>
      <c r="H10" s="684">
        <v>195</v>
      </c>
    </row>
    <row r="11" spans="1:8" x14ac:dyDescent="0.25">
      <c r="B11" s="489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106</v>
      </c>
      <c r="H11" s="266">
        <v>195</v>
      </c>
    </row>
    <row r="12" spans="1:8" x14ac:dyDescent="0.25">
      <c r="B12" s="489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107</v>
      </c>
      <c r="H12" s="266">
        <v>195</v>
      </c>
    </row>
    <row r="13" spans="1:8" x14ac:dyDescent="0.25">
      <c r="A13" s="55" t="s">
        <v>33</v>
      </c>
      <c r="B13" s="489">
        <f t="shared" si="0"/>
        <v>5</v>
      </c>
      <c r="C13" s="15"/>
      <c r="D13" s="308">
        <v>0</v>
      </c>
      <c r="E13" s="862"/>
      <c r="F13" s="275">
        <f>D13</f>
        <v>0</v>
      </c>
      <c r="G13" s="265"/>
      <c r="H13" s="266"/>
    </row>
    <row r="14" spans="1:8" x14ac:dyDescent="0.25">
      <c r="B14" s="489">
        <f t="shared" si="0"/>
        <v>5</v>
      </c>
      <c r="C14" s="15"/>
      <c r="D14" s="308">
        <v>0</v>
      </c>
      <c r="E14" s="899"/>
      <c r="F14" s="275">
        <f t="shared" ref="F14:F27" si="1">D14</f>
        <v>0</v>
      </c>
      <c r="G14" s="265"/>
      <c r="H14" s="266"/>
    </row>
    <row r="15" spans="1:8" x14ac:dyDescent="0.25">
      <c r="A15" s="19"/>
      <c r="B15" s="489">
        <f t="shared" si="0"/>
        <v>5</v>
      </c>
      <c r="C15" s="15"/>
      <c r="D15" s="308">
        <v>0</v>
      </c>
      <c r="E15" s="899"/>
      <c r="F15" s="275">
        <f t="shared" si="1"/>
        <v>0</v>
      </c>
      <c r="G15" s="265"/>
      <c r="H15" s="266"/>
    </row>
    <row r="16" spans="1:8" x14ac:dyDescent="0.25">
      <c r="B16" s="489">
        <f t="shared" si="0"/>
        <v>5</v>
      </c>
      <c r="C16" s="15"/>
      <c r="D16" s="308">
        <v>0</v>
      </c>
      <c r="E16" s="899"/>
      <c r="F16" s="275">
        <f t="shared" si="1"/>
        <v>0</v>
      </c>
      <c r="G16" s="265"/>
      <c r="H16" s="266"/>
    </row>
    <row r="17" spans="1:8" x14ac:dyDescent="0.25">
      <c r="B17" s="489">
        <f t="shared" si="0"/>
        <v>5</v>
      </c>
      <c r="C17" s="15"/>
      <c r="D17" s="308">
        <v>0</v>
      </c>
      <c r="E17" s="899"/>
      <c r="F17" s="275">
        <f t="shared" si="1"/>
        <v>0</v>
      </c>
      <c r="G17" s="265"/>
      <c r="H17" s="266"/>
    </row>
    <row r="18" spans="1:8" x14ac:dyDescent="0.25">
      <c r="B18" s="489">
        <f t="shared" si="0"/>
        <v>5</v>
      </c>
      <c r="C18" s="15"/>
      <c r="D18" s="308">
        <v>0</v>
      </c>
      <c r="E18" s="899"/>
      <c r="F18" s="275">
        <f t="shared" si="1"/>
        <v>0</v>
      </c>
      <c r="G18" s="265"/>
      <c r="H18" s="266"/>
    </row>
    <row r="19" spans="1:8" x14ac:dyDescent="0.25">
      <c r="B19" s="489">
        <f t="shared" si="0"/>
        <v>5</v>
      </c>
      <c r="C19" s="15"/>
      <c r="D19" s="308">
        <v>0</v>
      </c>
      <c r="E19" s="899"/>
      <c r="F19" s="275">
        <f t="shared" si="1"/>
        <v>0</v>
      </c>
      <c r="G19" s="265"/>
      <c r="H19" s="266"/>
    </row>
    <row r="20" spans="1:8" x14ac:dyDescent="0.25">
      <c r="B20" s="489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89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89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89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89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89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4"/>
    </row>
    <row r="26" spans="1:8" x14ac:dyDescent="0.25">
      <c r="B26" s="489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0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241" t="s">
        <v>21</v>
      </c>
      <c r="E30" s="1242"/>
      <c r="F30" s="141">
        <f>E5+E6-F28+E7+E4+E8</f>
        <v>100</v>
      </c>
    </row>
    <row r="31" spans="1:8" ht="15.75" thickBot="1" x14ac:dyDescent="0.3">
      <c r="A31" s="125"/>
      <c r="D31" s="906" t="s">
        <v>4</v>
      </c>
      <c r="E31" s="907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20"/>
  <sheetViews>
    <sheetView topLeftCell="J1" zoomScale="98" zoomScaleNormal="98" workbookViewId="0">
      <pane ySplit="8" topLeftCell="A15" activePane="bottomLeft" state="frozen"/>
      <selection pane="bottomLeft" activeCell="S19" sqref="S1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6" max="26" width="28" bestFit="1" customWidth="1"/>
    <col min="27" max="27" width="16.28515625" bestFit="1" customWidth="1"/>
    <col min="28" max="28" width="14.7109375" customWidth="1"/>
    <col min="29" max="29" width="14.85546875" customWidth="1"/>
    <col min="30" max="30" width="14.5703125" customWidth="1"/>
    <col min="31" max="31" width="8.85546875" bestFit="1" customWidth="1"/>
    <col min="32" max="32" width="12.85546875" bestFit="1" customWidth="1"/>
    <col min="34" max="34" width="16.28515625" customWidth="1"/>
    <col min="36" max="36" width="16.140625" customWidth="1"/>
  </cols>
  <sheetData>
    <row r="1" spans="1:36" ht="40.5" customHeight="1" x14ac:dyDescent="0.25">
      <c r="A1" s="1274" t="s">
        <v>276</v>
      </c>
      <c r="B1" s="1274"/>
      <c r="C1" s="1274"/>
      <c r="D1" s="1274"/>
      <c r="E1" s="1274"/>
      <c r="F1" s="1274"/>
      <c r="G1" s="1274"/>
      <c r="H1" s="1274"/>
      <c r="I1" s="1274"/>
      <c r="J1" s="1274"/>
      <c r="K1" s="725">
        <v>1</v>
      </c>
      <c r="M1" s="1274" t="s">
        <v>269</v>
      </c>
      <c r="N1" s="1274"/>
      <c r="O1" s="1274"/>
      <c r="P1" s="1274"/>
      <c r="Q1" s="1274"/>
      <c r="R1" s="1274"/>
      <c r="S1" s="1274"/>
      <c r="T1" s="1274"/>
      <c r="U1" s="1274"/>
      <c r="V1" s="1274"/>
      <c r="W1" s="725">
        <v>2</v>
      </c>
      <c r="Z1" s="1275" t="s">
        <v>279</v>
      </c>
      <c r="AA1" s="1275"/>
      <c r="AB1" s="1275"/>
      <c r="AC1" s="1275"/>
      <c r="AD1" s="1275"/>
      <c r="AE1" s="1275"/>
      <c r="AF1" s="1275"/>
      <c r="AG1" s="1275"/>
      <c r="AH1" s="1275"/>
      <c r="AI1" s="1275"/>
      <c r="AJ1" s="725">
        <v>3</v>
      </c>
    </row>
    <row r="2" spans="1:36" ht="15.75" thickBot="1" x14ac:dyDescent="0.3">
      <c r="C2" s="12"/>
      <c r="D2" s="12"/>
      <c r="F2" s="12"/>
      <c r="O2" s="12"/>
      <c r="P2" s="12"/>
      <c r="R2" s="12"/>
      <c r="AB2" s="12"/>
      <c r="AC2" s="12"/>
      <c r="AE2" s="12"/>
    </row>
    <row r="3" spans="1:36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Z3" s="63" t="s">
        <v>0</v>
      </c>
      <c r="AA3" s="8" t="s">
        <v>1</v>
      </c>
      <c r="AB3" s="9"/>
      <c r="AC3" s="9" t="s">
        <v>2</v>
      </c>
      <c r="AD3" s="9" t="s">
        <v>3</v>
      </c>
      <c r="AE3" s="9" t="s">
        <v>4</v>
      </c>
      <c r="AF3" s="26" t="s">
        <v>20</v>
      </c>
      <c r="AG3" s="35" t="s">
        <v>24</v>
      </c>
    </row>
    <row r="4" spans="1:36" ht="19.5" customHeight="1" thickTop="1" thickBot="1" x14ac:dyDescent="0.35">
      <c r="B4" s="320"/>
      <c r="C4" s="608"/>
      <c r="D4" s="245"/>
      <c r="E4" s="270"/>
      <c r="F4" s="243"/>
      <c r="G4" s="528"/>
      <c r="H4" s="240"/>
      <c r="I4" s="240"/>
      <c r="N4" s="320"/>
      <c r="O4" s="608"/>
      <c r="P4" s="245"/>
      <c r="Q4" s="270"/>
      <c r="R4" s="243"/>
      <c r="S4" s="528"/>
      <c r="T4" s="240"/>
      <c r="U4" s="240"/>
      <c r="AA4" s="320"/>
      <c r="AB4" s="608"/>
      <c r="AC4" s="245"/>
      <c r="AD4" s="270"/>
      <c r="AE4" s="243"/>
      <c r="AF4" s="528"/>
      <c r="AG4" s="240"/>
      <c r="AH4" s="240"/>
    </row>
    <row r="5" spans="1:36" ht="15.75" customHeight="1" thickTop="1" x14ac:dyDescent="0.25">
      <c r="A5" s="961"/>
      <c r="B5" s="73" t="s">
        <v>48</v>
      </c>
      <c r="C5" s="904"/>
      <c r="D5" s="135"/>
      <c r="E5" s="132"/>
      <c r="F5" s="73"/>
      <c r="G5" s="47">
        <f>F115</f>
        <v>18509.599999999995</v>
      </c>
      <c r="H5" s="159">
        <f>E5+E6-G5+E4</f>
        <v>-2.7199999999938882</v>
      </c>
      <c r="M5" s="961"/>
      <c r="N5" s="73" t="s">
        <v>48</v>
      </c>
      <c r="O5" s="904"/>
      <c r="P5" s="135">
        <v>44707</v>
      </c>
      <c r="Q5" s="132">
        <v>16111.6</v>
      </c>
      <c r="R5" s="73">
        <v>592</v>
      </c>
      <c r="S5" s="47">
        <f>R115</f>
        <v>4654.62</v>
      </c>
      <c r="T5" s="159">
        <f>Q5+Q6-S5+Q4</f>
        <v>12028.600000000002</v>
      </c>
      <c r="Z5" s="961"/>
      <c r="AA5" s="73" t="s">
        <v>48</v>
      </c>
      <c r="AB5" s="904">
        <v>62</v>
      </c>
      <c r="AC5" s="135">
        <v>44742</v>
      </c>
      <c r="AD5" s="132">
        <v>18506.88</v>
      </c>
      <c r="AE5" s="73">
        <v>680</v>
      </c>
      <c r="AF5" s="47">
        <f>AE115</f>
        <v>0</v>
      </c>
      <c r="AG5" s="159">
        <f>AD5+AD6-AF5+AD4</f>
        <v>18506.88</v>
      </c>
    </row>
    <row r="6" spans="1:36" ht="15.75" customHeight="1" x14ac:dyDescent="0.25">
      <c r="A6" s="962" t="s">
        <v>126</v>
      </c>
      <c r="B6" s="837" t="s">
        <v>89</v>
      </c>
      <c r="C6" s="161">
        <v>51.8</v>
      </c>
      <c r="D6" s="135">
        <v>44673</v>
      </c>
      <c r="E6" s="78">
        <v>18506.88</v>
      </c>
      <c r="F6" s="62">
        <v>680</v>
      </c>
      <c r="M6" s="962" t="s">
        <v>126</v>
      </c>
      <c r="N6" s="837" t="s">
        <v>89</v>
      </c>
      <c r="O6" s="161"/>
      <c r="P6" s="135"/>
      <c r="Q6" s="78">
        <v>571.62</v>
      </c>
      <c r="R6" s="62">
        <v>21</v>
      </c>
      <c r="Z6" s="962" t="s">
        <v>128</v>
      </c>
      <c r="AA6" s="837" t="s">
        <v>89</v>
      </c>
      <c r="AB6" s="161"/>
      <c r="AC6" s="135"/>
      <c r="AD6" s="78"/>
      <c r="AE6" s="62"/>
    </row>
    <row r="7" spans="1:36" ht="15.75" customHeight="1" thickBot="1" x14ac:dyDescent="0.3">
      <c r="A7" s="924"/>
      <c r="B7" s="163"/>
      <c r="C7" s="834"/>
      <c r="D7" s="835"/>
      <c r="E7" s="836"/>
      <c r="F7" s="728"/>
      <c r="M7" s="924"/>
      <c r="N7" s="163"/>
      <c r="O7" s="834"/>
      <c r="P7" s="835"/>
      <c r="Q7" s="836"/>
      <c r="R7" s="728"/>
      <c r="Z7" s="924"/>
      <c r="AA7" s="163"/>
      <c r="AB7" s="834"/>
      <c r="AC7" s="835"/>
      <c r="AD7" s="836"/>
      <c r="AE7" s="728"/>
    </row>
    <row r="8" spans="1:36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28" t="s">
        <v>60</v>
      </c>
      <c r="I8" s="629" t="s">
        <v>61</v>
      </c>
      <c r="J8" s="629" t="s">
        <v>62</v>
      </c>
      <c r="K8" s="630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28" t="s">
        <v>60</v>
      </c>
      <c r="U8" s="629" t="s">
        <v>61</v>
      </c>
      <c r="V8" s="629" t="s">
        <v>62</v>
      </c>
      <c r="W8" s="630" t="s">
        <v>63</v>
      </c>
      <c r="Z8" s="240"/>
      <c r="AA8" s="64" t="s">
        <v>7</v>
      </c>
      <c r="AB8" s="27" t="s">
        <v>8</v>
      </c>
      <c r="AC8" s="32" t="s">
        <v>3</v>
      </c>
      <c r="AD8" s="33" t="s">
        <v>2</v>
      </c>
      <c r="AE8" s="9" t="s">
        <v>9</v>
      </c>
      <c r="AF8" s="9" t="s">
        <v>15</v>
      </c>
      <c r="AG8" s="628" t="s">
        <v>60</v>
      </c>
      <c r="AH8" s="629" t="s">
        <v>61</v>
      </c>
      <c r="AI8" s="629" t="s">
        <v>62</v>
      </c>
      <c r="AJ8" s="630" t="s">
        <v>63</v>
      </c>
    </row>
    <row r="9" spans="1:36" ht="15.75" thickTop="1" x14ac:dyDescent="0.25">
      <c r="A9" s="925" t="s">
        <v>32</v>
      </c>
      <c r="B9" s="2">
        <v>27.22</v>
      </c>
      <c r="C9" s="15">
        <v>7</v>
      </c>
      <c r="D9" s="389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119</v>
      </c>
      <c r="H9" s="266">
        <v>57</v>
      </c>
      <c r="I9" s="631">
        <f>E5-F9+E4+E6+E7</f>
        <v>18316.34</v>
      </c>
      <c r="J9" s="632">
        <f>F5-C9+F4+F6+F7</f>
        <v>673</v>
      </c>
      <c r="K9" s="633">
        <f>F9*H9</f>
        <v>10860.779999999999</v>
      </c>
      <c r="M9" s="925" t="s">
        <v>32</v>
      </c>
      <c r="N9" s="2">
        <v>27.22</v>
      </c>
      <c r="O9" s="15">
        <v>36</v>
      </c>
      <c r="P9" s="389">
        <f t="shared" ref="P9:P72" si="2">O9*N9</f>
        <v>979.92</v>
      </c>
      <c r="Q9" s="326">
        <v>44714</v>
      </c>
      <c r="R9" s="69">
        <f t="shared" ref="R9:R72" si="3">P9</f>
        <v>979.92</v>
      </c>
      <c r="S9" s="265" t="s">
        <v>507</v>
      </c>
      <c r="T9" s="266">
        <v>65</v>
      </c>
      <c r="U9" s="631">
        <f>Q5-R9+Q4+Q6+Q7</f>
        <v>15703.300000000001</v>
      </c>
      <c r="V9" s="632">
        <f>R5-O9+R4+R6+R7</f>
        <v>577</v>
      </c>
      <c r="W9" s="633">
        <f>R9*T9</f>
        <v>63694.799999999996</v>
      </c>
      <c r="Z9" s="925" t="s">
        <v>32</v>
      </c>
      <c r="AA9" s="2">
        <v>27.22</v>
      </c>
      <c r="AB9" s="15"/>
      <c r="AC9" s="389">
        <f t="shared" ref="AC9:AC72" si="4">AB9*AA9</f>
        <v>0</v>
      </c>
      <c r="AD9" s="326"/>
      <c r="AE9" s="69">
        <f t="shared" ref="AE9:AE72" si="5">AC9</f>
        <v>0</v>
      </c>
      <c r="AF9" s="265"/>
      <c r="AG9" s="266"/>
      <c r="AH9" s="631">
        <f>AD5-AE9+AD4+AD6+AD7</f>
        <v>18506.88</v>
      </c>
      <c r="AI9" s="632">
        <f>AE5-AB9+AE4+AE6+AE7</f>
        <v>680</v>
      </c>
      <c r="AJ9" s="633">
        <f>AE9*AG9</f>
        <v>0</v>
      </c>
    </row>
    <row r="10" spans="1:36" x14ac:dyDescent="0.25">
      <c r="A10" s="926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120</v>
      </c>
      <c r="H10" s="71">
        <v>57</v>
      </c>
      <c r="I10" s="634">
        <f>I9-F10</f>
        <v>18261.900000000001</v>
      </c>
      <c r="J10" s="635">
        <f>J9-C10</f>
        <v>671</v>
      </c>
      <c r="K10" s="636">
        <f t="shared" ref="K10:K73" si="6">F10*H10</f>
        <v>3103.08</v>
      </c>
      <c r="M10" s="926"/>
      <c r="N10" s="2">
        <v>27.22</v>
      </c>
      <c r="O10" s="15">
        <v>5</v>
      </c>
      <c r="P10" s="389">
        <f t="shared" si="2"/>
        <v>136.1</v>
      </c>
      <c r="Q10" s="326">
        <v>44715</v>
      </c>
      <c r="R10" s="69">
        <f t="shared" si="3"/>
        <v>136.1</v>
      </c>
      <c r="S10" s="70" t="s">
        <v>516</v>
      </c>
      <c r="T10" s="71">
        <v>65</v>
      </c>
      <c r="U10" s="634">
        <f>U9-R10</f>
        <v>15567.2</v>
      </c>
      <c r="V10" s="635">
        <f>V9-O10</f>
        <v>572</v>
      </c>
      <c r="W10" s="636">
        <f t="shared" ref="W10:W73" si="7">R10*T10</f>
        <v>8846.5</v>
      </c>
      <c r="Z10" s="926"/>
      <c r="AA10" s="2">
        <v>27.22</v>
      </c>
      <c r="AB10" s="15"/>
      <c r="AC10" s="389">
        <f t="shared" si="4"/>
        <v>0</v>
      </c>
      <c r="AD10" s="326"/>
      <c r="AE10" s="69">
        <f t="shared" si="5"/>
        <v>0</v>
      </c>
      <c r="AF10" s="70"/>
      <c r="AG10" s="71"/>
      <c r="AH10" s="634">
        <f>AH9-AE10</f>
        <v>18506.88</v>
      </c>
      <c r="AI10" s="635">
        <f>AI9-AB10</f>
        <v>680</v>
      </c>
      <c r="AJ10" s="636">
        <f t="shared" ref="AJ10:AJ73" si="8">AE10*AG10</f>
        <v>0</v>
      </c>
    </row>
    <row r="11" spans="1:36" x14ac:dyDescent="0.25">
      <c r="A11" s="927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117</v>
      </c>
      <c r="H11" s="266">
        <v>57</v>
      </c>
      <c r="I11" s="634">
        <f t="shared" ref="I11:I74" si="9">I10-F11</f>
        <v>18234.68</v>
      </c>
      <c r="J11" s="635">
        <f t="shared" ref="J11" si="10">J10-C11</f>
        <v>670</v>
      </c>
      <c r="K11" s="636">
        <f t="shared" si="6"/>
        <v>1551.54</v>
      </c>
      <c r="M11" s="927"/>
      <c r="N11" s="2">
        <v>27.22</v>
      </c>
      <c r="O11" s="15">
        <v>5</v>
      </c>
      <c r="P11" s="389">
        <f t="shared" si="2"/>
        <v>136.1</v>
      </c>
      <c r="Q11" s="326">
        <v>44715</v>
      </c>
      <c r="R11" s="69">
        <f t="shared" si="3"/>
        <v>136.1</v>
      </c>
      <c r="S11" s="265" t="s">
        <v>523</v>
      </c>
      <c r="T11" s="266">
        <v>65</v>
      </c>
      <c r="U11" s="634">
        <f t="shared" ref="U11:U74" si="11">U10-R11</f>
        <v>15431.1</v>
      </c>
      <c r="V11" s="635">
        <f t="shared" ref="V11" si="12">V10-O11</f>
        <v>567</v>
      </c>
      <c r="W11" s="636">
        <f t="shared" si="7"/>
        <v>8846.5</v>
      </c>
      <c r="Z11" s="927"/>
      <c r="AA11" s="2">
        <v>27.22</v>
      </c>
      <c r="AB11" s="15"/>
      <c r="AC11" s="389">
        <f t="shared" si="4"/>
        <v>0</v>
      </c>
      <c r="AD11" s="326"/>
      <c r="AE11" s="69">
        <f t="shared" si="5"/>
        <v>0</v>
      </c>
      <c r="AF11" s="265"/>
      <c r="AG11" s="266"/>
      <c r="AH11" s="634">
        <f t="shared" ref="AH11:AH74" si="13">AH10-AE11</f>
        <v>18506.88</v>
      </c>
      <c r="AI11" s="635">
        <f t="shared" ref="AI11" si="14">AI10-AB11</f>
        <v>680</v>
      </c>
      <c r="AJ11" s="636">
        <f t="shared" si="8"/>
        <v>0</v>
      </c>
    </row>
    <row r="12" spans="1:36" x14ac:dyDescent="0.25">
      <c r="A12" s="925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121</v>
      </c>
      <c r="H12" s="266">
        <v>57</v>
      </c>
      <c r="I12" s="634">
        <f t="shared" si="9"/>
        <v>18071.36</v>
      </c>
      <c r="J12" s="635">
        <f>J11-C12</f>
        <v>664</v>
      </c>
      <c r="K12" s="636">
        <f t="shared" si="6"/>
        <v>9309.24</v>
      </c>
      <c r="M12" s="925" t="s">
        <v>33</v>
      </c>
      <c r="N12" s="2">
        <v>27.22</v>
      </c>
      <c r="O12" s="15">
        <v>2</v>
      </c>
      <c r="P12" s="389">
        <f t="shared" si="2"/>
        <v>54.44</v>
      </c>
      <c r="Q12" s="326">
        <v>44716</v>
      </c>
      <c r="R12" s="69">
        <f t="shared" si="3"/>
        <v>54.44</v>
      </c>
      <c r="S12" s="265" t="s">
        <v>511</v>
      </c>
      <c r="T12" s="266">
        <v>65</v>
      </c>
      <c r="U12" s="634">
        <f t="shared" si="11"/>
        <v>15376.66</v>
      </c>
      <c r="V12" s="635">
        <f>V11-O12</f>
        <v>565</v>
      </c>
      <c r="W12" s="636">
        <f t="shared" si="7"/>
        <v>3538.6</v>
      </c>
      <c r="Z12" s="925" t="s">
        <v>33</v>
      </c>
      <c r="AA12" s="2">
        <v>27.22</v>
      </c>
      <c r="AB12" s="15"/>
      <c r="AC12" s="389">
        <f t="shared" si="4"/>
        <v>0</v>
      </c>
      <c r="AD12" s="326"/>
      <c r="AE12" s="69">
        <f t="shared" si="5"/>
        <v>0</v>
      </c>
      <c r="AF12" s="265"/>
      <c r="AG12" s="266"/>
      <c r="AH12" s="634">
        <f t="shared" si="13"/>
        <v>18506.88</v>
      </c>
      <c r="AI12" s="635">
        <f>AI11-AB12</f>
        <v>680</v>
      </c>
      <c r="AJ12" s="636">
        <f t="shared" si="8"/>
        <v>0</v>
      </c>
    </row>
    <row r="13" spans="1:36" ht="15" customHeight="1" x14ac:dyDescent="0.25">
      <c r="A13" s="607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122</v>
      </c>
      <c r="H13" s="71">
        <v>57</v>
      </c>
      <c r="I13" s="634">
        <f t="shared" si="9"/>
        <v>17200.32</v>
      </c>
      <c r="J13" s="635">
        <f t="shared" ref="J13:J76" si="15">J12-C13</f>
        <v>632</v>
      </c>
      <c r="K13" s="636">
        <f t="shared" si="6"/>
        <v>49649.279999999999</v>
      </c>
      <c r="M13" s="607"/>
      <c r="N13" s="317">
        <v>27.22</v>
      </c>
      <c r="O13" s="15">
        <v>24</v>
      </c>
      <c r="P13" s="389">
        <f t="shared" si="2"/>
        <v>653.28</v>
      </c>
      <c r="Q13" s="326">
        <v>44716</v>
      </c>
      <c r="R13" s="69">
        <f t="shared" si="3"/>
        <v>653.28</v>
      </c>
      <c r="S13" s="70" t="s">
        <v>533</v>
      </c>
      <c r="T13" s="71">
        <v>65</v>
      </c>
      <c r="U13" s="634">
        <f t="shared" si="11"/>
        <v>14723.38</v>
      </c>
      <c r="V13" s="635">
        <f t="shared" ref="V13:V76" si="16">V12-O13</f>
        <v>541</v>
      </c>
      <c r="W13" s="636">
        <f t="shared" si="7"/>
        <v>42463.199999999997</v>
      </c>
      <c r="Z13" s="607"/>
      <c r="AA13" s="317">
        <v>27.22</v>
      </c>
      <c r="AB13" s="15"/>
      <c r="AC13" s="389">
        <f t="shared" si="4"/>
        <v>0</v>
      </c>
      <c r="AD13" s="326"/>
      <c r="AE13" s="69">
        <f t="shared" si="5"/>
        <v>0</v>
      </c>
      <c r="AF13" s="70"/>
      <c r="AG13" s="71"/>
      <c r="AH13" s="634">
        <f t="shared" si="13"/>
        <v>18506.88</v>
      </c>
      <c r="AI13" s="635">
        <f t="shared" ref="AI13:AI76" si="17">AI12-AB13</f>
        <v>680</v>
      </c>
      <c r="AJ13" s="636">
        <f t="shared" si="8"/>
        <v>0</v>
      </c>
    </row>
    <row r="14" spans="1:36" x14ac:dyDescent="0.25">
      <c r="A14" s="607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123</v>
      </c>
      <c r="H14" s="71">
        <v>57</v>
      </c>
      <c r="I14" s="634">
        <f t="shared" si="9"/>
        <v>17173.099999999999</v>
      </c>
      <c r="J14" s="635">
        <f t="shared" si="15"/>
        <v>631</v>
      </c>
      <c r="K14" s="636">
        <f t="shared" si="6"/>
        <v>1551.54</v>
      </c>
      <c r="M14" s="607"/>
      <c r="N14" s="317">
        <v>27.22</v>
      </c>
      <c r="O14" s="15">
        <v>24</v>
      </c>
      <c r="P14" s="389">
        <f t="shared" si="2"/>
        <v>653.28</v>
      </c>
      <c r="Q14" s="326">
        <v>44716</v>
      </c>
      <c r="R14" s="69">
        <f t="shared" si="3"/>
        <v>653.28</v>
      </c>
      <c r="S14" s="70" t="s">
        <v>538</v>
      </c>
      <c r="T14" s="71">
        <v>65</v>
      </c>
      <c r="U14" s="634">
        <f t="shared" si="11"/>
        <v>14070.099999999999</v>
      </c>
      <c r="V14" s="635">
        <f t="shared" si="16"/>
        <v>517</v>
      </c>
      <c r="W14" s="636">
        <f t="shared" si="7"/>
        <v>42463.199999999997</v>
      </c>
      <c r="Z14" s="607"/>
      <c r="AA14" s="317">
        <v>27.22</v>
      </c>
      <c r="AB14" s="15"/>
      <c r="AC14" s="389">
        <f t="shared" si="4"/>
        <v>0</v>
      </c>
      <c r="AD14" s="326"/>
      <c r="AE14" s="69">
        <f t="shared" si="5"/>
        <v>0</v>
      </c>
      <c r="AF14" s="70"/>
      <c r="AG14" s="71"/>
      <c r="AH14" s="634">
        <f t="shared" si="13"/>
        <v>18506.88</v>
      </c>
      <c r="AI14" s="635">
        <f t="shared" si="17"/>
        <v>680</v>
      </c>
      <c r="AJ14" s="636">
        <f t="shared" si="8"/>
        <v>0</v>
      </c>
    </row>
    <row r="15" spans="1:36" x14ac:dyDescent="0.25">
      <c r="A15" s="607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124</v>
      </c>
      <c r="H15" s="71">
        <v>57</v>
      </c>
      <c r="I15" s="634">
        <f t="shared" si="9"/>
        <v>17064.219999999998</v>
      </c>
      <c r="J15" s="635">
        <f t="shared" si="15"/>
        <v>627</v>
      </c>
      <c r="K15" s="636">
        <f t="shared" si="6"/>
        <v>6206.16</v>
      </c>
      <c r="M15" s="607"/>
      <c r="N15" s="317">
        <v>27.22</v>
      </c>
      <c r="O15" s="15">
        <v>10</v>
      </c>
      <c r="P15" s="389">
        <f t="shared" si="2"/>
        <v>272.2</v>
      </c>
      <c r="Q15" s="326">
        <v>44718</v>
      </c>
      <c r="R15" s="69">
        <f t="shared" si="3"/>
        <v>272.2</v>
      </c>
      <c r="S15" s="70" t="s">
        <v>542</v>
      </c>
      <c r="T15" s="71">
        <v>65</v>
      </c>
      <c r="U15" s="634">
        <f t="shared" si="11"/>
        <v>13797.899999999998</v>
      </c>
      <c r="V15" s="635">
        <f t="shared" si="16"/>
        <v>507</v>
      </c>
      <c r="W15" s="636">
        <f t="shared" si="7"/>
        <v>17693</v>
      </c>
      <c r="Z15" s="607"/>
      <c r="AA15" s="317">
        <v>27.22</v>
      </c>
      <c r="AB15" s="15"/>
      <c r="AC15" s="389">
        <f t="shared" si="4"/>
        <v>0</v>
      </c>
      <c r="AD15" s="326"/>
      <c r="AE15" s="69">
        <f t="shared" si="5"/>
        <v>0</v>
      </c>
      <c r="AF15" s="70"/>
      <c r="AG15" s="71"/>
      <c r="AH15" s="634">
        <f t="shared" si="13"/>
        <v>18506.88</v>
      </c>
      <c r="AI15" s="635">
        <f t="shared" si="17"/>
        <v>680</v>
      </c>
      <c r="AJ15" s="636">
        <f t="shared" si="8"/>
        <v>0</v>
      </c>
    </row>
    <row r="16" spans="1:36" x14ac:dyDescent="0.25">
      <c r="A16" s="607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125</v>
      </c>
      <c r="H16" s="266">
        <v>57</v>
      </c>
      <c r="I16" s="1027">
        <f t="shared" si="9"/>
        <v>17036.999999999996</v>
      </c>
      <c r="J16" s="635">
        <f t="shared" si="15"/>
        <v>626</v>
      </c>
      <c r="K16" s="636">
        <f t="shared" si="6"/>
        <v>1551.54</v>
      </c>
      <c r="M16" s="607"/>
      <c r="N16" s="317">
        <v>27.22</v>
      </c>
      <c r="O16" s="15">
        <v>5</v>
      </c>
      <c r="P16" s="389">
        <f t="shared" si="2"/>
        <v>136.1</v>
      </c>
      <c r="Q16" s="326">
        <v>44718</v>
      </c>
      <c r="R16" s="69">
        <f t="shared" si="3"/>
        <v>136.1</v>
      </c>
      <c r="S16" s="265" t="s">
        <v>544</v>
      </c>
      <c r="T16" s="266">
        <v>65</v>
      </c>
      <c r="U16" s="634">
        <f t="shared" si="11"/>
        <v>13661.799999999997</v>
      </c>
      <c r="V16" s="635">
        <f t="shared" si="16"/>
        <v>502</v>
      </c>
      <c r="W16" s="636">
        <f t="shared" si="7"/>
        <v>8846.5</v>
      </c>
      <c r="Z16" s="607"/>
      <c r="AA16" s="317">
        <v>27.22</v>
      </c>
      <c r="AB16" s="15"/>
      <c r="AC16" s="389">
        <f t="shared" si="4"/>
        <v>0</v>
      </c>
      <c r="AD16" s="326"/>
      <c r="AE16" s="69">
        <f t="shared" si="5"/>
        <v>0</v>
      </c>
      <c r="AF16" s="265"/>
      <c r="AG16" s="266"/>
      <c r="AH16" s="634">
        <f t="shared" si="13"/>
        <v>18506.88</v>
      </c>
      <c r="AI16" s="635">
        <f t="shared" si="17"/>
        <v>680</v>
      </c>
      <c r="AJ16" s="636">
        <f t="shared" si="8"/>
        <v>0</v>
      </c>
    </row>
    <row r="17" spans="1:36" x14ac:dyDescent="0.25">
      <c r="A17" s="607"/>
      <c r="B17" s="317">
        <v>27.22</v>
      </c>
      <c r="C17" s="15">
        <v>1</v>
      </c>
      <c r="D17" s="984">
        <f t="shared" si="0"/>
        <v>27.22</v>
      </c>
      <c r="E17" s="985">
        <v>44683</v>
      </c>
      <c r="F17" s="986">
        <f t="shared" si="1"/>
        <v>27.22</v>
      </c>
      <c r="G17" s="987" t="s">
        <v>130</v>
      </c>
      <c r="H17" s="988">
        <v>57</v>
      </c>
      <c r="I17" s="634">
        <f t="shared" si="9"/>
        <v>17009.779999999995</v>
      </c>
      <c r="J17" s="635">
        <f t="shared" si="15"/>
        <v>625</v>
      </c>
      <c r="K17" s="636">
        <f t="shared" si="6"/>
        <v>1551.54</v>
      </c>
      <c r="M17" s="607"/>
      <c r="N17" s="317">
        <v>27.22</v>
      </c>
      <c r="O17" s="15">
        <v>36</v>
      </c>
      <c r="P17" s="389">
        <f t="shared" si="2"/>
        <v>979.92</v>
      </c>
      <c r="Q17" s="326">
        <v>44719</v>
      </c>
      <c r="R17" s="69">
        <f t="shared" si="3"/>
        <v>979.92</v>
      </c>
      <c r="S17" s="70" t="s">
        <v>547</v>
      </c>
      <c r="T17" s="71">
        <v>65</v>
      </c>
      <c r="U17" s="634">
        <f t="shared" si="11"/>
        <v>12681.879999999997</v>
      </c>
      <c r="V17" s="635">
        <f t="shared" si="16"/>
        <v>466</v>
      </c>
      <c r="W17" s="636">
        <f t="shared" si="7"/>
        <v>63694.799999999996</v>
      </c>
      <c r="Z17" s="607"/>
      <c r="AA17" s="317">
        <v>27.22</v>
      </c>
      <c r="AB17" s="15"/>
      <c r="AC17" s="389">
        <f t="shared" si="4"/>
        <v>0</v>
      </c>
      <c r="AD17" s="326"/>
      <c r="AE17" s="69">
        <f t="shared" si="5"/>
        <v>0</v>
      </c>
      <c r="AF17" s="70"/>
      <c r="AG17" s="71"/>
      <c r="AH17" s="634">
        <f t="shared" si="13"/>
        <v>18506.88</v>
      </c>
      <c r="AI17" s="635">
        <f t="shared" si="17"/>
        <v>680</v>
      </c>
      <c r="AJ17" s="636">
        <f t="shared" si="8"/>
        <v>0</v>
      </c>
    </row>
    <row r="18" spans="1:36" x14ac:dyDescent="0.25">
      <c r="A18" s="240"/>
      <c r="B18" s="2">
        <v>27.22</v>
      </c>
      <c r="C18" s="15">
        <v>5</v>
      </c>
      <c r="D18" s="984">
        <f t="shared" si="0"/>
        <v>136.1</v>
      </c>
      <c r="E18" s="989">
        <v>44683</v>
      </c>
      <c r="F18" s="986">
        <f t="shared" si="1"/>
        <v>136.1</v>
      </c>
      <c r="G18" s="987" t="s">
        <v>131</v>
      </c>
      <c r="H18" s="988">
        <v>57</v>
      </c>
      <c r="I18" s="634">
        <f t="shared" si="9"/>
        <v>16873.679999999997</v>
      </c>
      <c r="J18" s="635">
        <f t="shared" si="15"/>
        <v>620</v>
      </c>
      <c r="K18" s="636">
        <f t="shared" si="6"/>
        <v>7757.7</v>
      </c>
      <c r="M18" s="240"/>
      <c r="N18" s="2">
        <v>27.22</v>
      </c>
      <c r="O18" s="15">
        <v>24</v>
      </c>
      <c r="P18" s="389">
        <f t="shared" si="2"/>
        <v>653.28</v>
      </c>
      <c r="Q18" s="324">
        <v>44719</v>
      </c>
      <c r="R18" s="69">
        <f t="shared" si="3"/>
        <v>653.28</v>
      </c>
      <c r="S18" s="70" t="s">
        <v>547</v>
      </c>
      <c r="T18" s="71">
        <v>65</v>
      </c>
      <c r="U18" s="634">
        <f t="shared" si="11"/>
        <v>12028.599999999997</v>
      </c>
      <c r="V18" s="635">
        <f t="shared" si="16"/>
        <v>442</v>
      </c>
      <c r="W18" s="636">
        <f t="shared" si="7"/>
        <v>42463.199999999997</v>
      </c>
      <c r="Z18" s="240"/>
      <c r="AA18" s="2">
        <v>27.22</v>
      </c>
      <c r="AB18" s="15"/>
      <c r="AC18" s="389">
        <f t="shared" si="4"/>
        <v>0</v>
      </c>
      <c r="AD18" s="324"/>
      <c r="AE18" s="69">
        <f t="shared" si="5"/>
        <v>0</v>
      </c>
      <c r="AF18" s="70"/>
      <c r="AG18" s="71"/>
      <c r="AH18" s="634">
        <f t="shared" si="13"/>
        <v>18506.88</v>
      </c>
      <c r="AI18" s="635">
        <f t="shared" si="17"/>
        <v>680</v>
      </c>
      <c r="AJ18" s="636">
        <f t="shared" si="8"/>
        <v>0</v>
      </c>
    </row>
    <row r="19" spans="1:36" x14ac:dyDescent="0.25">
      <c r="A19" s="240"/>
      <c r="B19" s="2">
        <v>27.22</v>
      </c>
      <c r="C19" s="15">
        <v>1</v>
      </c>
      <c r="D19" s="984">
        <f t="shared" si="0"/>
        <v>27.22</v>
      </c>
      <c r="E19" s="985">
        <v>44684</v>
      </c>
      <c r="F19" s="986">
        <f t="shared" si="1"/>
        <v>27.22</v>
      </c>
      <c r="G19" s="987" t="s">
        <v>132</v>
      </c>
      <c r="H19" s="988">
        <v>59</v>
      </c>
      <c r="I19" s="634">
        <f t="shared" si="9"/>
        <v>16846.459999999995</v>
      </c>
      <c r="J19" s="635">
        <f t="shared" si="15"/>
        <v>619</v>
      </c>
      <c r="K19" s="636">
        <f t="shared" si="6"/>
        <v>1605.98</v>
      </c>
      <c r="M19" s="240"/>
      <c r="N19" s="2">
        <v>27.22</v>
      </c>
      <c r="O19" s="15"/>
      <c r="P19" s="389">
        <f t="shared" si="2"/>
        <v>0</v>
      </c>
      <c r="Q19" s="326"/>
      <c r="R19" s="69">
        <f t="shared" si="3"/>
        <v>0</v>
      </c>
      <c r="S19" s="70"/>
      <c r="T19" s="71"/>
      <c r="U19" s="634">
        <f t="shared" si="11"/>
        <v>12028.599999999997</v>
      </c>
      <c r="V19" s="635">
        <f t="shared" si="16"/>
        <v>442</v>
      </c>
      <c r="W19" s="636">
        <f t="shared" si="7"/>
        <v>0</v>
      </c>
      <c r="Z19" s="240"/>
      <c r="AA19" s="2">
        <v>27.22</v>
      </c>
      <c r="AB19" s="15"/>
      <c r="AC19" s="389">
        <f t="shared" si="4"/>
        <v>0</v>
      </c>
      <c r="AD19" s="326"/>
      <c r="AE19" s="69">
        <f t="shared" si="5"/>
        <v>0</v>
      </c>
      <c r="AF19" s="70"/>
      <c r="AG19" s="71"/>
      <c r="AH19" s="634">
        <f t="shared" si="13"/>
        <v>18506.88</v>
      </c>
      <c r="AI19" s="635">
        <f t="shared" si="17"/>
        <v>680</v>
      </c>
      <c r="AJ19" s="636">
        <f t="shared" si="8"/>
        <v>0</v>
      </c>
    </row>
    <row r="20" spans="1:36" x14ac:dyDescent="0.25">
      <c r="A20" s="240"/>
      <c r="B20" s="2">
        <v>27.22</v>
      </c>
      <c r="C20" s="15">
        <v>2</v>
      </c>
      <c r="D20" s="984">
        <f t="shared" si="0"/>
        <v>54.44</v>
      </c>
      <c r="E20" s="985">
        <v>44684</v>
      </c>
      <c r="F20" s="986">
        <f t="shared" si="1"/>
        <v>54.44</v>
      </c>
      <c r="G20" s="987" t="s">
        <v>133</v>
      </c>
      <c r="H20" s="988">
        <v>59</v>
      </c>
      <c r="I20" s="634">
        <f t="shared" si="9"/>
        <v>16792.019999999997</v>
      </c>
      <c r="J20" s="637">
        <f t="shared" si="15"/>
        <v>617</v>
      </c>
      <c r="K20" s="636">
        <f t="shared" si="6"/>
        <v>3211.96</v>
      </c>
      <c r="M20" s="240"/>
      <c r="N20" s="2">
        <v>27.22</v>
      </c>
      <c r="O20" s="15"/>
      <c r="P20" s="389">
        <f t="shared" si="2"/>
        <v>0</v>
      </c>
      <c r="Q20" s="326"/>
      <c r="R20" s="69">
        <f t="shared" si="3"/>
        <v>0</v>
      </c>
      <c r="S20" s="70"/>
      <c r="T20" s="71"/>
      <c r="U20" s="634">
        <f t="shared" si="11"/>
        <v>12028.599999999997</v>
      </c>
      <c r="V20" s="637">
        <f t="shared" si="16"/>
        <v>442</v>
      </c>
      <c r="W20" s="636">
        <f t="shared" si="7"/>
        <v>0</v>
      </c>
      <c r="Z20" s="240"/>
      <c r="AA20" s="2">
        <v>27.22</v>
      </c>
      <c r="AB20" s="15"/>
      <c r="AC20" s="389">
        <f t="shared" si="4"/>
        <v>0</v>
      </c>
      <c r="AD20" s="326"/>
      <c r="AE20" s="69">
        <f t="shared" si="5"/>
        <v>0</v>
      </c>
      <c r="AF20" s="70"/>
      <c r="AG20" s="71"/>
      <c r="AH20" s="634">
        <f t="shared" si="13"/>
        <v>18506.88</v>
      </c>
      <c r="AI20" s="637">
        <f t="shared" si="17"/>
        <v>680</v>
      </c>
      <c r="AJ20" s="636">
        <f t="shared" si="8"/>
        <v>0</v>
      </c>
    </row>
    <row r="21" spans="1:36" x14ac:dyDescent="0.25">
      <c r="A21" s="240"/>
      <c r="B21" s="2">
        <v>27.22</v>
      </c>
      <c r="C21" s="15">
        <v>1</v>
      </c>
      <c r="D21" s="984">
        <f t="shared" si="0"/>
        <v>27.22</v>
      </c>
      <c r="E21" s="989">
        <v>44685</v>
      </c>
      <c r="F21" s="986">
        <f t="shared" si="1"/>
        <v>27.22</v>
      </c>
      <c r="G21" s="987" t="s">
        <v>134</v>
      </c>
      <c r="H21" s="988">
        <v>59</v>
      </c>
      <c r="I21" s="634">
        <f t="shared" si="9"/>
        <v>16764.799999999996</v>
      </c>
      <c r="J21" s="635">
        <f t="shared" si="15"/>
        <v>616</v>
      </c>
      <c r="K21" s="636">
        <f t="shared" si="6"/>
        <v>1605.98</v>
      </c>
      <c r="M21" s="240"/>
      <c r="N21" s="2">
        <v>27.22</v>
      </c>
      <c r="O21" s="15"/>
      <c r="P21" s="389">
        <f t="shared" si="2"/>
        <v>0</v>
      </c>
      <c r="Q21" s="324"/>
      <c r="R21" s="69">
        <f t="shared" si="3"/>
        <v>0</v>
      </c>
      <c r="S21" s="70"/>
      <c r="T21" s="71"/>
      <c r="U21" s="634">
        <f t="shared" si="11"/>
        <v>12028.599999999997</v>
      </c>
      <c r="V21" s="635">
        <f t="shared" si="16"/>
        <v>442</v>
      </c>
      <c r="W21" s="636">
        <f t="shared" si="7"/>
        <v>0</v>
      </c>
      <c r="Z21" s="240"/>
      <c r="AA21" s="2">
        <v>27.22</v>
      </c>
      <c r="AB21" s="15"/>
      <c r="AC21" s="389">
        <f t="shared" si="4"/>
        <v>0</v>
      </c>
      <c r="AD21" s="324"/>
      <c r="AE21" s="69">
        <f t="shared" si="5"/>
        <v>0</v>
      </c>
      <c r="AF21" s="70"/>
      <c r="AG21" s="71"/>
      <c r="AH21" s="634">
        <f t="shared" si="13"/>
        <v>18506.88</v>
      </c>
      <c r="AI21" s="635">
        <f t="shared" si="17"/>
        <v>680</v>
      </c>
      <c r="AJ21" s="636">
        <f t="shared" si="8"/>
        <v>0</v>
      </c>
    </row>
    <row r="22" spans="1:36" x14ac:dyDescent="0.25">
      <c r="A22" s="240" t="s">
        <v>22</v>
      </c>
      <c r="B22" s="2">
        <v>27.22</v>
      </c>
      <c r="C22" s="15">
        <v>1</v>
      </c>
      <c r="D22" s="984">
        <f t="shared" si="0"/>
        <v>27.22</v>
      </c>
      <c r="E22" s="989">
        <v>44685</v>
      </c>
      <c r="F22" s="986">
        <f t="shared" si="1"/>
        <v>27.22</v>
      </c>
      <c r="G22" s="987" t="s">
        <v>135</v>
      </c>
      <c r="H22" s="988">
        <v>59</v>
      </c>
      <c r="I22" s="634">
        <f t="shared" si="9"/>
        <v>16737.579999999994</v>
      </c>
      <c r="J22" s="635">
        <f t="shared" si="15"/>
        <v>615</v>
      </c>
      <c r="K22" s="636">
        <f t="shared" si="6"/>
        <v>1605.98</v>
      </c>
      <c r="M22" s="240" t="s">
        <v>22</v>
      </c>
      <c r="N22" s="2">
        <v>27.22</v>
      </c>
      <c r="O22" s="15"/>
      <c r="P22" s="389">
        <f t="shared" si="2"/>
        <v>0</v>
      </c>
      <c r="Q22" s="324"/>
      <c r="R22" s="69">
        <f t="shared" si="3"/>
        <v>0</v>
      </c>
      <c r="S22" s="70"/>
      <c r="T22" s="71"/>
      <c r="U22" s="634">
        <f t="shared" si="11"/>
        <v>12028.599999999997</v>
      </c>
      <c r="V22" s="635">
        <f t="shared" si="16"/>
        <v>442</v>
      </c>
      <c r="W22" s="636">
        <f t="shared" si="7"/>
        <v>0</v>
      </c>
      <c r="Z22" s="240" t="s">
        <v>22</v>
      </c>
      <c r="AA22" s="2">
        <v>27.22</v>
      </c>
      <c r="AB22" s="15"/>
      <c r="AC22" s="389">
        <f t="shared" si="4"/>
        <v>0</v>
      </c>
      <c r="AD22" s="324"/>
      <c r="AE22" s="69">
        <f t="shared" si="5"/>
        <v>0</v>
      </c>
      <c r="AF22" s="70"/>
      <c r="AG22" s="71"/>
      <c r="AH22" s="634">
        <f t="shared" si="13"/>
        <v>18506.88</v>
      </c>
      <c r="AI22" s="635">
        <f t="shared" si="17"/>
        <v>680</v>
      </c>
      <c r="AJ22" s="636">
        <f t="shared" si="8"/>
        <v>0</v>
      </c>
    </row>
    <row r="23" spans="1:36" x14ac:dyDescent="0.25">
      <c r="A23" s="240"/>
      <c r="B23" s="2">
        <v>27.22</v>
      </c>
      <c r="C23" s="15">
        <v>24</v>
      </c>
      <c r="D23" s="984">
        <f t="shared" si="0"/>
        <v>653.28</v>
      </c>
      <c r="E23" s="989">
        <v>44685</v>
      </c>
      <c r="F23" s="986">
        <f t="shared" si="1"/>
        <v>653.28</v>
      </c>
      <c r="G23" s="987" t="s">
        <v>136</v>
      </c>
      <c r="H23" s="988">
        <v>59</v>
      </c>
      <c r="I23" s="634">
        <f t="shared" si="9"/>
        <v>16084.299999999994</v>
      </c>
      <c r="J23" s="635">
        <f t="shared" si="15"/>
        <v>591</v>
      </c>
      <c r="K23" s="636">
        <f t="shared" si="6"/>
        <v>38543.519999999997</v>
      </c>
      <c r="M23" s="240"/>
      <c r="N23" s="2">
        <v>27.22</v>
      </c>
      <c r="O23" s="15"/>
      <c r="P23" s="389">
        <f t="shared" si="2"/>
        <v>0</v>
      </c>
      <c r="Q23" s="324"/>
      <c r="R23" s="69">
        <f t="shared" si="3"/>
        <v>0</v>
      </c>
      <c r="S23" s="70"/>
      <c r="T23" s="71"/>
      <c r="U23" s="634">
        <f t="shared" si="11"/>
        <v>12028.599999999997</v>
      </c>
      <c r="V23" s="635">
        <f t="shared" si="16"/>
        <v>442</v>
      </c>
      <c r="W23" s="636">
        <f t="shared" si="7"/>
        <v>0</v>
      </c>
      <c r="Z23" s="240"/>
      <c r="AA23" s="2">
        <v>27.22</v>
      </c>
      <c r="AB23" s="15"/>
      <c r="AC23" s="389">
        <f t="shared" si="4"/>
        <v>0</v>
      </c>
      <c r="AD23" s="324"/>
      <c r="AE23" s="69">
        <f t="shared" si="5"/>
        <v>0</v>
      </c>
      <c r="AF23" s="70"/>
      <c r="AG23" s="71"/>
      <c r="AH23" s="634">
        <f t="shared" si="13"/>
        <v>18506.88</v>
      </c>
      <c r="AI23" s="635">
        <f t="shared" si="17"/>
        <v>680</v>
      </c>
      <c r="AJ23" s="636">
        <f t="shared" si="8"/>
        <v>0</v>
      </c>
    </row>
    <row r="24" spans="1:36" x14ac:dyDescent="0.25">
      <c r="A24" s="240"/>
      <c r="B24" s="2">
        <v>27.22</v>
      </c>
      <c r="C24" s="15">
        <v>32</v>
      </c>
      <c r="D24" s="984">
        <f t="shared" si="0"/>
        <v>871.04</v>
      </c>
      <c r="E24" s="985">
        <v>44686</v>
      </c>
      <c r="F24" s="986">
        <f t="shared" si="1"/>
        <v>871.04</v>
      </c>
      <c r="G24" s="987" t="s">
        <v>140</v>
      </c>
      <c r="H24" s="988">
        <v>59</v>
      </c>
      <c r="I24" s="634">
        <f t="shared" si="9"/>
        <v>15213.259999999995</v>
      </c>
      <c r="J24" s="635">
        <f t="shared" si="15"/>
        <v>559</v>
      </c>
      <c r="K24" s="636">
        <f t="shared" si="6"/>
        <v>51391.360000000001</v>
      </c>
      <c r="M24" s="240"/>
      <c r="N24" s="2">
        <v>27.22</v>
      </c>
      <c r="O24" s="15"/>
      <c r="P24" s="389">
        <f t="shared" si="2"/>
        <v>0</v>
      </c>
      <c r="Q24" s="326"/>
      <c r="R24" s="69">
        <f t="shared" si="3"/>
        <v>0</v>
      </c>
      <c r="S24" s="70"/>
      <c r="T24" s="71"/>
      <c r="U24" s="634">
        <f t="shared" si="11"/>
        <v>12028.599999999997</v>
      </c>
      <c r="V24" s="635">
        <f t="shared" si="16"/>
        <v>442</v>
      </c>
      <c r="W24" s="636">
        <f t="shared" si="7"/>
        <v>0</v>
      </c>
      <c r="Z24" s="240"/>
      <c r="AA24" s="2">
        <v>27.22</v>
      </c>
      <c r="AB24" s="15"/>
      <c r="AC24" s="389">
        <f t="shared" si="4"/>
        <v>0</v>
      </c>
      <c r="AD24" s="326"/>
      <c r="AE24" s="69">
        <f t="shared" si="5"/>
        <v>0</v>
      </c>
      <c r="AF24" s="70"/>
      <c r="AG24" s="71"/>
      <c r="AH24" s="634">
        <f t="shared" si="13"/>
        <v>18506.88</v>
      </c>
      <c r="AI24" s="635">
        <f t="shared" si="17"/>
        <v>680</v>
      </c>
      <c r="AJ24" s="636">
        <f t="shared" si="8"/>
        <v>0</v>
      </c>
    </row>
    <row r="25" spans="1:36" x14ac:dyDescent="0.25">
      <c r="A25" s="240"/>
      <c r="B25" s="2">
        <v>27.22</v>
      </c>
      <c r="C25" s="15">
        <v>2</v>
      </c>
      <c r="D25" s="984">
        <f t="shared" si="0"/>
        <v>54.44</v>
      </c>
      <c r="E25" s="989">
        <v>44687</v>
      </c>
      <c r="F25" s="986">
        <f t="shared" si="1"/>
        <v>54.44</v>
      </c>
      <c r="G25" s="987" t="s">
        <v>141</v>
      </c>
      <c r="H25" s="988">
        <v>59</v>
      </c>
      <c r="I25" s="634">
        <f t="shared" si="9"/>
        <v>15158.819999999994</v>
      </c>
      <c r="J25" s="635">
        <f t="shared" si="15"/>
        <v>557</v>
      </c>
      <c r="K25" s="636">
        <f t="shared" si="6"/>
        <v>3211.96</v>
      </c>
      <c r="M25" s="240"/>
      <c r="N25" s="2">
        <v>27.22</v>
      </c>
      <c r="O25" s="15"/>
      <c r="P25" s="389">
        <f t="shared" si="2"/>
        <v>0</v>
      </c>
      <c r="Q25" s="324"/>
      <c r="R25" s="69">
        <f t="shared" si="3"/>
        <v>0</v>
      </c>
      <c r="S25" s="70"/>
      <c r="T25" s="71"/>
      <c r="U25" s="634">
        <f t="shared" si="11"/>
        <v>12028.599999999997</v>
      </c>
      <c r="V25" s="635">
        <f t="shared" si="16"/>
        <v>442</v>
      </c>
      <c r="W25" s="636">
        <f t="shared" si="7"/>
        <v>0</v>
      </c>
      <c r="Z25" s="240"/>
      <c r="AA25" s="2">
        <v>27.22</v>
      </c>
      <c r="AB25" s="15"/>
      <c r="AC25" s="389">
        <f t="shared" si="4"/>
        <v>0</v>
      </c>
      <c r="AD25" s="324"/>
      <c r="AE25" s="69">
        <f t="shared" si="5"/>
        <v>0</v>
      </c>
      <c r="AF25" s="70"/>
      <c r="AG25" s="71"/>
      <c r="AH25" s="634">
        <f t="shared" si="13"/>
        <v>18506.88</v>
      </c>
      <c r="AI25" s="635">
        <f t="shared" si="17"/>
        <v>680</v>
      </c>
      <c r="AJ25" s="636">
        <f t="shared" si="8"/>
        <v>0</v>
      </c>
    </row>
    <row r="26" spans="1:36" x14ac:dyDescent="0.25">
      <c r="A26" s="240"/>
      <c r="B26" s="2">
        <v>27.22</v>
      </c>
      <c r="C26" s="15">
        <v>5</v>
      </c>
      <c r="D26" s="984">
        <f t="shared" si="0"/>
        <v>136.1</v>
      </c>
      <c r="E26" s="985">
        <v>44687</v>
      </c>
      <c r="F26" s="986">
        <f t="shared" si="1"/>
        <v>136.1</v>
      </c>
      <c r="G26" s="987" t="s">
        <v>143</v>
      </c>
      <c r="H26" s="988">
        <v>59</v>
      </c>
      <c r="I26" s="634">
        <f t="shared" si="9"/>
        <v>15022.719999999994</v>
      </c>
      <c r="J26" s="635">
        <f t="shared" si="15"/>
        <v>552</v>
      </c>
      <c r="K26" s="636">
        <f t="shared" si="6"/>
        <v>8029.9</v>
      </c>
      <c r="M26" s="240"/>
      <c r="N26" s="2">
        <v>27.22</v>
      </c>
      <c r="O26" s="15"/>
      <c r="P26" s="389">
        <f t="shared" si="2"/>
        <v>0</v>
      </c>
      <c r="Q26" s="326"/>
      <c r="R26" s="69">
        <f t="shared" si="3"/>
        <v>0</v>
      </c>
      <c r="S26" s="70"/>
      <c r="T26" s="71"/>
      <c r="U26" s="634">
        <f t="shared" si="11"/>
        <v>12028.599999999997</v>
      </c>
      <c r="V26" s="635">
        <f t="shared" si="16"/>
        <v>442</v>
      </c>
      <c r="W26" s="636">
        <f t="shared" si="7"/>
        <v>0</v>
      </c>
      <c r="Z26" s="240"/>
      <c r="AA26" s="2">
        <v>27.22</v>
      </c>
      <c r="AB26" s="15"/>
      <c r="AC26" s="389">
        <f t="shared" si="4"/>
        <v>0</v>
      </c>
      <c r="AD26" s="326"/>
      <c r="AE26" s="69">
        <f t="shared" si="5"/>
        <v>0</v>
      </c>
      <c r="AF26" s="70"/>
      <c r="AG26" s="71"/>
      <c r="AH26" s="634">
        <f t="shared" si="13"/>
        <v>18506.88</v>
      </c>
      <c r="AI26" s="635">
        <f t="shared" si="17"/>
        <v>680</v>
      </c>
      <c r="AJ26" s="636">
        <f t="shared" si="8"/>
        <v>0</v>
      </c>
    </row>
    <row r="27" spans="1:36" x14ac:dyDescent="0.25">
      <c r="A27" s="240"/>
      <c r="B27" s="2">
        <v>27.22</v>
      </c>
      <c r="C27" s="15">
        <v>10</v>
      </c>
      <c r="D27" s="984">
        <f t="shared" si="0"/>
        <v>272.2</v>
      </c>
      <c r="E27" s="985">
        <v>44687</v>
      </c>
      <c r="F27" s="986">
        <f t="shared" si="1"/>
        <v>272.2</v>
      </c>
      <c r="G27" s="987" t="s">
        <v>144</v>
      </c>
      <c r="H27" s="988">
        <v>59</v>
      </c>
      <c r="I27" s="634">
        <f t="shared" si="9"/>
        <v>14750.519999999993</v>
      </c>
      <c r="J27" s="635">
        <f t="shared" si="15"/>
        <v>542</v>
      </c>
      <c r="K27" s="636">
        <f t="shared" si="6"/>
        <v>16059.8</v>
      </c>
      <c r="M27" s="240"/>
      <c r="N27" s="2">
        <v>27.22</v>
      </c>
      <c r="O27" s="15"/>
      <c r="P27" s="389">
        <f t="shared" si="2"/>
        <v>0</v>
      </c>
      <c r="Q27" s="326"/>
      <c r="R27" s="69">
        <f t="shared" si="3"/>
        <v>0</v>
      </c>
      <c r="S27" s="70"/>
      <c r="T27" s="71"/>
      <c r="U27" s="634">
        <f t="shared" si="11"/>
        <v>12028.599999999997</v>
      </c>
      <c r="V27" s="635">
        <f t="shared" si="16"/>
        <v>442</v>
      </c>
      <c r="W27" s="636">
        <f t="shared" si="7"/>
        <v>0</v>
      </c>
      <c r="Z27" s="240"/>
      <c r="AA27" s="2">
        <v>27.22</v>
      </c>
      <c r="AB27" s="15"/>
      <c r="AC27" s="389">
        <f t="shared" si="4"/>
        <v>0</v>
      </c>
      <c r="AD27" s="326"/>
      <c r="AE27" s="69">
        <f t="shared" si="5"/>
        <v>0</v>
      </c>
      <c r="AF27" s="70"/>
      <c r="AG27" s="71"/>
      <c r="AH27" s="634">
        <f t="shared" si="13"/>
        <v>18506.88</v>
      </c>
      <c r="AI27" s="635">
        <f t="shared" si="17"/>
        <v>680</v>
      </c>
      <c r="AJ27" s="636">
        <f t="shared" si="8"/>
        <v>0</v>
      </c>
    </row>
    <row r="28" spans="1:36" x14ac:dyDescent="0.25">
      <c r="A28" s="240"/>
      <c r="B28" s="2">
        <v>27.22</v>
      </c>
      <c r="C28" s="15">
        <v>9</v>
      </c>
      <c r="D28" s="984">
        <f t="shared" si="0"/>
        <v>244.98</v>
      </c>
      <c r="E28" s="985">
        <v>44688</v>
      </c>
      <c r="F28" s="986">
        <f t="shared" si="1"/>
        <v>244.98</v>
      </c>
      <c r="G28" s="987" t="s">
        <v>146</v>
      </c>
      <c r="H28" s="988">
        <v>59</v>
      </c>
      <c r="I28" s="634">
        <f t="shared" si="9"/>
        <v>14505.539999999994</v>
      </c>
      <c r="J28" s="635">
        <f t="shared" si="15"/>
        <v>533</v>
      </c>
      <c r="K28" s="636">
        <f t="shared" si="6"/>
        <v>14453.82</v>
      </c>
      <c r="M28" s="240"/>
      <c r="N28" s="2">
        <v>27.22</v>
      </c>
      <c r="O28" s="15"/>
      <c r="P28" s="389">
        <f t="shared" si="2"/>
        <v>0</v>
      </c>
      <c r="Q28" s="326"/>
      <c r="R28" s="69">
        <f t="shared" si="3"/>
        <v>0</v>
      </c>
      <c r="S28" s="70"/>
      <c r="T28" s="71"/>
      <c r="U28" s="634">
        <f t="shared" si="11"/>
        <v>12028.599999999997</v>
      </c>
      <c r="V28" s="635">
        <f t="shared" si="16"/>
        <v>442</v>
      </c>
      <c r="W28" s="636">
        <f t="shared" si="7"/>
        <v>0</v>
      </c>
      <c r="Z28" s="240"/>
      <c r="AA28" s="2">
        <v>27.22</v>
      </c>
      <c r="AB28" s="15"/>
      <c r="AC28" s="389">
        <f t="shared" si="4"/>
        <v>0</v>
      </c>
      <c r="AD28" s="326"/>
      <c r="AE28" s="69">
        <f t="shared" si="5"/>
        <v>0</v>
      </c>
      <c r="AF28" s="70"/>
      <c r="AG28" s="71"/>
      <c r="AH28" s="634">
        <f t="shared" si="13"/>
        <v>18506.88</v>
      </c>
      <c r="AI28" s="635">
        <f t="shared" si="17"/>
        <v>680</v>
      </c>
      <c r="AJ28" s="636">
        <f t="shared" si="8"/>
        <v>0</v>
      </c>
    </row>
    <row r="29" spans="1:36" x14ac:dyDescent="0.25">
      <c r="A29" s="240"/>
      <c r="B29" s="2">
        <v>27.22</v>
      </c>
      <c r="C29" s="15">
        <v>10</v>
      </c>
      <c r="D29" s="984">
        <f t="shared" si="0"/>
        <v>272.2</v>
      </c>
      <c r="E29" s="985">
        <v>44688</v>
      </c>
      <c r="F29" s="986">
        <f t="shared" si="1"/>
        <v>272.2</v>
      </c>
      <c r="G29" s="987" t="s">
        <v>149</v>
      </c>
      <c r="H29" s="988">
        <v>59</v>
      </c>
      <c r="I29" s="634">
        <f t="shared" si="9"/>
        <v>14233.339999999993</v>
      </c>
      <c r="J29" s="637">
        <f t="shared" si="15"/>
        <v>523</v>
      </c>
      <c r="K29" s="636">
        <f t="shared" si="6"/>
        <v>16059.8</v>
      </c>
      <c r="M29" s="240"/>
      <c r="N29" s="2">
        <v>27.22</v>
      </c>
      <c r="O29" s="15"/>
      <c r="P29" s="389">
        <f t="shared" si="2"/>
        <v>0</v>
      </c>
      <c r="Q29" s="326"/>
      <c r="R29" s="69">
        <f t="shared" si="3"/>
        <v>0</v>
      </c>
      <c r="S29" s="70"/>
      <c r="T29" s="71"/>
      <c r="U29" s="634">
        <f t="shared" si="11"/>
        <v>12028.599999999997</v>
      </c>
      <c r="V29" s="637">
        <f t="shared" si="16"/>
        <v>442</v>
      </c>
      <c r="W29" s="636">
        <f t="shared" si="7"/>
        <v>0</v>
      </c>
      <c r="Z29" s="240"/>
      <c r="AA29" s="2">
        <v>27.22</v>
      </c>
      <c r="AB29" s="15"/>
      <c r="AC29" s="389">
        <f t="shared" si="4"/>
        <v>0</v>
      </c>
      <c r="AD29" s="326"/>
      <c r="AE29" s="69">
        <f t="shared" si="5"/>
        <v>0</v>
      </c>
      <c r="AF29" s="70"/>
      <c r="AG29" s="71"/>
      <c r="AH29" s="634">
        <f t="shared" si="13"/>
        <v>18506.88</v>
      </c>
      <c r="AI29" s="637">
        <f t="shared" si="17"/>
        <v>680</v>
      </c>
      <c r="AJ29" s="636">
        <f t="shared" si="8"/>
        <v>0</v>
      </c>
    </row>
    <row r="30" spans="1:36" x14ac:dyDescent="0.25">
      <c r="A30" s="240"/>
      <c r="B30" s="2">
        <v>27.22</v>
      </c>
      <c r="C30" s="15">
        <v>24</v>
      </c>
      <c r="D30" s="984">
        <f t="shared" si="0"/>
        <v>653.28</v>
      </c>
      <c r="E30" s="985">
        <v>44688</v>
      </c>
      <c r="F30" s="986">
        <f t="shared" si="1"/>
        <v>653.28</v>
      </c>
      <c r="G30" s="990" t="s">
        <v>150</v>
      </c>
      <c r="H30" s="991">
        <v>59</v>
      </c>
      <c r="I30" s="634">
        <f t="shared" si="9"/>
        <v>13580.059999999992</v>
      </c>
      <c r="J30" s="637">
        <f t="shared" si="15"/>
        <v>499</v>
      </c>
      <c r="K30" s="636">
        <f t="shared" si="6"/>
        <v>38543.519999999997</v>
      </c>
      <c r="M30" s="240"/>
      <c r="N30" s="2">
        <v>27.22</v>
      </c>
      <c r="O30" s="15"/>
      <c r="P30" s="389">
        <f t="shared" si="2"/>
        <v>0</v>
      </c>
      <c r="Q30" s="326"/>
      <c r="R30" s="69">
        <f t="shared" si="3"/>
        <v>0</v>
      </c>
      <c r="S30" s="265"/>
      <c r="T30" s="266"/>
      <c r="U30" s="634">
        <f t="shared" si="11"/>
        <v>12028.599999999997</v>
      </c>
      <c r="V30" s="637">
        <f t="shared" si="16"/>
        <v>442</v>
      </c>
      <c r="W30" s="636">
        <f t="shared" si="7"/>
        <v>0</v>
      </c>
      <c r="Z30" s="240"/>
      <c r="AA30" s="2">
        <v>27.22</v>
      </c>
      <c r="AB30" s="15"/>
      <c r="AC30" s="389">
        <f t="shared" si="4"/>
        <v>0</v>
      </c>
      <c r="AD30" s="326"/>
      <c r="AE30" s="69">
        <f t="shared" si="5"/>
        <v>0</v>
      </c>
      <c r="AF30" s="265"/>
      <c r="AG30" s="266"/>
      <c r="AH30" s="634">
        <f t="shared" si="13"/>
        <v>18506.88</v>
      </c>
      <c r="AI30" s="637">
        <f t="shared" si="17"/>
        <v>680</v>
      </c>
      <c r="AJ30" s="636">
        <f t="shared" si="8"/>
        <v>0</v>
      </c>
    </row>
    <row r="31" spans="1:36" x14ac:dyDescent="0.25">
      <c r="A31" s="240"/>
      <c r="B31" s="2">
        <v>27.22</v>
      </c>
      <c r="C31" s="15">
        <v>3</v>
      </c>
      <c r="D31" s="984">
        <f t="shared" si="0"/>
        <v>81.66</v>
      </c>
      <c r="E31" s="985">
        <v>44690</v>
      </c>
      <c r="F31" s="986">
        <f t="shared" si="1"/>
        <v>81.66</v>
      </c>
      <c r="G31" s="990" t="s">
        <v>151</v>
      </c>
      <c r="H31" s="991">
        <v>59</v>
      </c>
      <c r="I31" s="634">
        <f t="shared" si="9"/>
        <v>13498.399999999992</v>
      </c>
      <c r="J31" s="637">
        <f t="shared" si="15"/>
        <v>496</v>
      </c>
      <c r="K31" s="636">
        <f t="shared" si="6"/>
        <v>4817.9399999999996</v>
      </c>
      <c r="M31" s="240"/>
      <c r="N31" s="2">
        <v>27.22</v>
      </c>
      <c r="O31" s="15"/>
      <c r="P31" s="389">
        <f t="shared" si="2"/>
        <v>0</v>
      </c>
      <c r="Q31" s="326"/>
      <c r="R31" s="69">
        <f t="shared" si="3"/>
        <v>0</v>
      </c>
      <c r="S31" s="265"/>
      <c r="T31" s="266"/>
      <c r="U31" s="634">
        <f t="shared" si="11"/>
        <v>12028.599999999997</v>
      </c>
      <c r="V31" s="637">
        <f t="shared" si="16"/>
        <v>442</v>
      </c>
      <c r="W31" s="636">
        <f t="shared" si="7"/>
        <v>0</v>
      </c>
      <c r="Z31" s="240"/>
      <c r="AA31" s="2">
        <v>27.22</v>
      </c>
      <c r="AB31" s="15"/>
      <c r="AC31" s="389">
        <f t="shared" si="4"/>
        <v>0</v>
      </c>
      <c r="AD31" s="326"/>
      <c r="AE31" s="69">
        <f t="shared" si="5"/>
        <v>0</v>
      </c>
      <c r="AF31" s="265"/>
      <c r="AG31" s="266"/>
      <c r="AH31" s="634">
        <f t="shared" si="13"/>
        <v>18506.88</v>
      </c>
      <c r="AI31" s="637">
        <f t="shared" si="17"/>
        <v>680</v>
      </c>
      <c r="AJ31" s="636">
        <f t="shared" si="8"/>
        <v>0</v>
      </c>
    </row>
    <row r="32" spans="1:36" x14ac:dyDescent="0.25">
      <c r="B32" s="2">
        <v>27.22</v>
      </c>
      <c r="C32" s="15">
        <v>3</v>
      </c>
      <c r="D32" s="984">
        <f t="shared" si="0"/>
        <v>81.66</v>
      </c>
      <c r="E32" s="985">
        <v>44690</v>
      </c>
      <c r="F32" s="986">
        <f t="shared" si="1"/>
        <v>81.66</v>
      </c>
      <c r="G32" s="990" t="s">
        <v>152</v>
      </c>
      <c r="H32" s="991">
        <v>59</v>
      </c>
      <c r="I32" s="634">
        <f t="shared" si="9"/>
        <v>13416.739999999993</v>
      </c>
      <c r="J32" s="637">
        <f t="shared" si="15"/>
        <v>493</v>
      </c>
      <c r="K32" s="636">
        <f t="shared" si="6"/>
        <v>4817.9399999999996</v>
      </c>
      <c r="N32" s="2">
        <v>27.22</v>
      </c>
      <c r="O32" s="15"/>
      <c r="P32" s="389">
        <f t="shared" si="2"/>
        <v>0</v>
      </c>
      <c r="Q32" s="326"/>
      <c r="R32" s="69">
        <f t="shared" si="3"/>
        <v>0</v>
      </c>
      <c r="S32" s="265"/>
      <c r="T32" s="266"/>
      <c r="U32" s="634">
        <f t="shared" si="11"/>
        <v>12028.599999999997</v>
      </c>
      <c r="V32" s="637">
        <f t="shared" si="16"/>
        <v>442</v>
      </c>
      <c r="W32" s="636">
        <f t="shared" si="7"/>
        <v>0</v>
      </c>
      <c r="AA32" s="2">
        <v>27.22</v>
      </c>
      <c r="AB32" s="15"/>
      <c r="AC32" s="389">
        <f t="shared" si="4"/>
        <v>0</v>
      </c>
      <c r="AD32" s="326"/>
      <c r="AE32" s="69">
        <f t="shared" si="5"/>
        <v>0</v>
      </c>
      <c r="AF32" s="265"/>
      <c r="AG32" s="266"/>
      <c r="AH32" s="634">
        <f t="shared" si="13"/>
        <v>18506.88</v>
      </c>
      <c r="AI32" s="637">
        <f t="shared" si="17"/>
        <v>680</v>
      </c>
      <c r="AJ32" s="636">
        <f t="shared" si="8"/>
        <v>0</v>
      </c>
    </row>
    <row r="33" spans="2:36" x14ac:dyDescent="0.25">
      <c r="B33" s="2">
        <v>27.22</v>
      </c>
      <c r="C33" s="15">
        <v>2</v>
      </c>
      <c r="D33" s="984">
        <f t="shared" si="0"/>
        <v>54.44</v>
      </c>
      <c r="E33" s="985">
        <v>44690</v>
      </c>
      <c r="F33" s="986">
        <f t="shared" si="1"/>
        <v>54.44</v>
      </c>
      <c r="G33" s="990" t="s">
        <v>153</v>
      </c>
      <c r="H33" s="991">
        <v>59</v>
      </c>
      <c r="I33" s="634">
        <f t="shared" si="9"/>
        <v>13362.299999999992</v>
      </c>
      <c r="J33" s="637">
        <f t="shared" si="15"/>
        <v>491</v>
      </c>
      <c r="K33" s="636">
        <f t="shared" si="6"/>
        <v>3211.96</v>
      </c>
      <c r="N33" s="2">
        <v>27.22</v>
      </c>
      <c r="O33" s="15"/>
      <c r="P33" s="389">
        <f t="shared" si="2"/>
        <v>0</v>
      </c>
      <c r="Q33" s="326"/>
      <c r="R33" s="69">
        <f t="shared" si="3"/>
        <v>0</v>
      </c>
      <c r="S33" s="265"/>
      <c r="T33" s="266"/>
      <c r="U33" s="634">
        <f t="shared" si="11"/>
        <v>12028.599999999997</v>
      </c>
      <c r="V33" s="637">
        <f t="shared" si="16"/>
        <v>442</v>
      </c>
      <c r="W33" s="636">
        <f t="shared" si="7"/>
        <v>0</v>
      </c>
      <c r="AA33" s="2">
        <v>27.22</v>
      </c>
      <c r="AB33" s="15"/>
      <c r="AC33" s="389">
        <f t="shared" si="4"/>
        <v>0</v>
      </c>
      <c r="AD33" s="326"/>
      <c r="AE33" s="69">
        <f t="shared" si="5"/>
        <v>0</v>
      </c>
      <c r="AF33" s="265"/>
      <c r="AG33" s="266"/>
      <c r="AH33" s="634">
        <f t="shared" si="13"/>
        <v>18506.88</v>
      </c>
      <c r="AI33" s="637">
        <f t="shared" si="17"/>
        <v>680</v>
      </c>
      <c r="AJ33" s="636">
        <f t="shared" si="8"/>
        <v>0</v>
      </c>
    </row>
    <row r="34" spans="2:36" x14ac:dyDescent="0.25">
      <c r="B34" s="2">
        <v>27.22</v>
      </c>
      <c r="C34" s="15">
        <v>2</v>
      </c>
      <c r="D34" s="984">
        <f t="shared" si="0"/>
        <v>54.44</v>
      </c>
      <c r="E34" s="985">
        <v>44690</v>
      </c>
      <c r="F34" s="986">
        <f t="shared" si="1"/>
        <v>54.44</v>
      </c>
      <c r="G34" s="987" t="s">
        <v>154</v>
      </c>
      <c r="H34" s="988">
        <v>59</v>
      </c>
      <c r="I34" s="634">
        <f t="shared" si="9"/>
        <v>13307.859999999991</v>
      </c>
      <c r="J34" s="635">
        <f t="shared" si="15"/>
        <v>489</v>
      </c>
      <c r="K34" s="636">
        <f t="shared" si="6"/>
        <v>3211.96</v>
      </c>
      <c r="N34" s="2">
        <v>27.22</v>
      </c>
      <c r="O34" s="15"/>
      <c r="P34" s="389">
        <f t="shared" si="2"/>
        <v>0</v>
      </c>
      <c r="Q34" s="326"/>
      <c r="R34" s="69">
        <f t="shared" si="3"/>
        <v>0</v>
      </c>
      <c r="S34" s="70"/>
      <c r="T34" s="71"/>
      <c r="U34" s="634">
        <f t="shared" si="11"/>
        <v>12028.599999999997</v>
      </c>
      <c r="V34" s="635">
        <f t="shared" si="16"/>
        <v>442</v>
      </c>
      <c r="W34" s="636">
        <f t="shared" si="7"/>
        <v>0</v>
      </c>
      <c r="AA34" s="2">
        <v>27.22</v>
      </c>
      <c r="AB34" s="15"/>
      <c r="AC34" s="389">
        <f t="shared" si="4"/>
        <v>0</v>
      </c>
      <c r="AD34" s="326"/>
      <c r="AE34" s="69">
        <f t="shared" si="5"/>
        <v>0</v>
      </c>
      <c r="AF34" s="70"/>
      <c r="AG34" s="71"/>
      <c r="AH34" s="634">
        <f t="shared" si="13"/>
        <v>18506.88</v>
      </c>
      <c r="AI34" s="635">
        <f t="shared" si="17"/>
        <v>680</v>
      </c>
      <c r="AJ34" s="636">
        <f t="shared" si="8"/>
        <v>0</v>
      </c>
    </row>
    <row r="35" spans="2:36" x14ac:dyDescent="0.25">
      <c r="B35" s="2">
        <v>27.22</v>
      </c>
      <c r="C35" s="15">
        <v>2</v>
      </c>
      <c r="D35" s="984">
        <f t="shared" ref="D35:D74" si="18">C35*B35</f>
        <v>54.44</v>
      </c>
      <c r="E35" s="985">
        <v>44690</v>
      </c>
      <c r="F35" s="986">
        <f t="shared" ref="F35:F74" si="19">D35</f>
        <v>54.44</v>
      </c>
      <c r="G35" s="987" t="s">
        <v>155</v>
      </c>
      <c r="H35" s="988">
        <v>59</v>
      </c>
      <c r="I35" s="634">
        <f t="shared" si="9"/>
        <v>13253.419999999991</v>
      </c>
      <c r="J35" s="635">
        <f t="shared" si="15"/>
        <v>487</v>
      </c>
      <c r="K35" s="636">
        <f t="shared" si="6"/>
        <v>3211.96</v>
      </c>
      <c r="N35" s="2">
        <v>27.22</v>
      </c>
      <c r="O35" s="15"/>
      <c r="P35" s="389">
        <f t="shared" si="2"/>
        <v>0</v>
      </c>
      <c r="Q35" s="326"/>
      <c r="R35" s="69">
        <f t="shared" si="3"/>
        <v>0</v>
      </c>
      <c r="S35" s="70"/>
      <c r="T35" s="71"/>
      <c r="U35" s="634">
        <f t="shared" si="11"/>
        <v>12028.599999999997</v>
      </c>
      <c r="V35" s="635">
        <f t="shared" si="16"/>
        <v>442</v>
      </c>
      <c r="W35" s="636">
        <f t="shared" si="7"/>
        <v>0</v>
      </c>
      <c r="AA35" s="2">
        <v>27.22</v>
      </c>
      <c r="AB35" s="15"/>
      <c r="AC35" s="389">
        <f t="shared" si="4"/>
        <v>0</v>
      </c>
      <c r="AD35" s="326"/>
      <c r="AE35" s="69">
        <f t="shared" si="5"/>
        <v>0</v>
      </c>
      <c r="AF35" s="70"/>
      <c r="AG35" s="71"/>
      <c r="AH35" s="634">
        <f t="shared" si="13"/>
        <v>18506.88</v>
      </c>
      <c r="AI35" s="635">
        <f t="shared" si="17"/>
        <v>680</v>
      </c>
      <c r="AJ35" s="636">
        <f t="shared" si="8"/>
        <v>0</v>
      </c>
    </row>
    <row r="36" spans="2:36" x14ac:dyDescent="0.25">
      <c r="B36" s="2">
        <v>27.22</v>
      </c>
      <c r="C36" s="15">
        <v>1</v>
      </c>
      <c r="D36" s="984">
        <f t="shared" si="18"/>
        <v>27.22</v>
      </c>
      <c r="E36" s="985">
        <v>44690</v>
      </c>
      <c r="F36" s="986">
        <f t="shared" si="19"/>
        <v>27.22</v>
      </c>
      <c r="G36" s="987" t="s">
        <v>157</v>
      </c>
      <c r="H36" s="988">
        <v>59</v>
      </c>
      <c r="I36" s="634">
        <f t="shared" si="9"/>
        <v>13226.199999999992</v>
      </c>
      <c r="J36" s="635">
        <f t="shared" si="15"/>
        <v>486</v>
      </c>
      <c r="K36" s="636">
        <f t="shared" si="6"/>
        <v>1605.98</v>
      </c>
      <c r="N36" s="2">
        <v>27.22</v>
      </c>
      <c r="O36" s="15"/>
      <c r="P36" s="389">
        <f t="shared" si="2"/>
        <v>0</v>
      </c>
      <c r="Q36" s="326"/>
      <c r="R36" s="69">
        <f t="shared" si="3"/>
        <v>0</v>
      </c>
      <c r="S36" s="70"/>
      <c r="T36" s="71"/>
      <c r="U36" s="634">
        <f t="shared" si="11"/>
        <v>12028.599999999997</v>
      </c>
      <c r="V36" s="635">
        <f t="shared" si="16"/>
        <v>442</v>
      </c>
      <c r="W36" s="636">
        <f t="shared" si="7"/>
        <v>0</v>
      </c>
      <c r="AA36" s="2">
        <v>27.22</v>
      </c>
      <c r="AB36" s="15"/>
      <c r="AC36" s="389">
        <f t="shared" si="4"/>
        <v>0</v>
      </c>
      <c r="AD36" s="326"/>
      <c r="AE36" s="69">
        <f t="shared" si="5"/>
        <v>0</v>
      </c>
      <c r="AF36" s="70"/>
      <c r="AG36" s="71"/>
      <c r="AH36" s="634">
        <f t="shared" si="13"/>
        <v>18506.88</v>
      </c>
      <c r="AI36" s="635">
        <f t="shared" si="17"/>
        <v>680</v>
      </c>
      <c r="AJ36" s="636">
        <f t="shared" si="8"/>
        <v>0</v>
      </c>
    </row>
    <row r="37" spans="2:36" x14ac:dyDescent="0.25">
      <c r="B37" s="2">
        <v>27.22</v>
      </c>
      <c r="C37" s="15">
        <v>32</v>
      </c>
      <c r="D37" s="986">
        <f t="shared" si="18"/>
        <v>871.04</v>
      </c>
      <c r="E37" s="992">
        <v>44691</v>
      </c>
      <c r="F37" s="986">
        <f t="shared" si="19"/>
        <v>871.04</v>
      </c>
      <c r="G37" s="987" t="s">
        <v>159</v>
      </c>
      <c r="H37" s="988">
        <v>59</v>
      </c>
      <c r="I37" s="634">
        <f t="shared" si="9"/>
        <v>12355.159999999993</v>
      </c>
      <c r="J37" s="635">
        <f t="shared" si="15"/>
        <v>454</v>
      </c>
      <c r="K37" s="636">
        <f t="shared" si="6"/>
        <v>51391.360000000001</v>
      </c>
      <c r="N37" s="2">
        <v>27.22</v>
      </c>
      <c r="O37" s="15"/>
      <c r="P37" s="69">
        <f t="shared" si="2"/>
        <v>0</v>
      </c>
      <c r="Q37" s="325"/>
      <c r="R37" s="69">
        <f t="shared" si="3"/>
        <v>0</v>
      </c>
      <c r="S37" s="70"/>
      <c r="T37" s="71"/>
      <c r="U37" s="634">
        <f t="shared" si="11"/>
        <v>12028.599999999997</v>
      </c>
      <c r="V37" s="635">
        <f t="shared" si="16"/>
        <v>442</v>
      </c>
      <c r="W37" s="636">
        <f t="shared" si="7"/>
        <v>0</v>
      </c>
      <c r="AA37" s="2">
        <v>27.22</v>
      </c>
      <c r="AB37" s="15"/>
      <c r="AC37" s="69">
        <f t="shared" si="4"/>
        <v>0</v>
      </c>
      <c r="AD37" s="325"/>
      <c r="AE37" s="69">
        <f t="shared" si="5"/>
        <v>0</v>
      </c>
      <c r="AF37" s="70"/>
      <c r="AG37" s="71"/>
      <c r="AH37" s="634">
        <f t="shared" si="13"/>
        <v>18506.88</v>
      </c>
      <c r="AI37" s="635">
        <f t="shared" si="17"/>
        <v>680</v>
      </c>
      <c r="AJ37" s="636">
        <f t="shared" si="8"/>
        <v>0</v>
      </c>
    </row>
    <row r="38" spans="2:36" x14ac:dyDescent="0.25">
      <c r="B38" s="2">
        <v>27.22</v>
      </c>
      <c r="C38" s="15">
        <v>3</v>
      </c>
      <c r="D38" s="986">
        <f t="shared" si="18"/>
        <v>81.66</v>
      </c>
      <c r="E38" s="992">
        <v>44692</v>
      </c>
      <c r="F38" s="986">
        <f t="shared" si="19"/>
        <v>81.66</v>
      </c>
      <c r="G38" s="987" t="s">
        <v>160</v>
      </c>
      <c r="H38" s="988">
        <v>59</v>
      </c>
      <c r="I38" s="634">
        <f t="shared" si="9"/>
        <v>12273.499999999993</v>
      </c>
      <c r="J38" s="635">
        <f t="shared" si="15"/>
        <v>451</v>
      </c>
      <c r="K38" s="636">
        <f t="shared" si="6"/>
        <v>4817.9399999999996</v>
      </c>
      <c r="N38" s="2">
        <v>27.22</v>
      </c>
      <c r="O38" s="15"/>
      <c r="P38" s="69">
        <f t="shared" si="2"/>
        <v>0</v>
      </c>
      <c r="Q38" s="325"/>
      <c r="R38" s="69">
        <f t="shared" si="3"/>
        <v>0</v>
      </c>
      <c r="S38" s="70"/>
      <c r="T38" s="71"/>
      <c r="U38" s="634">
        <f t="shared" si="11"/>
        <v>12028.599999999997</v>
      </c>
      <c r="V38" s="635">
        <f t="shared" si="16"/>
        <v>442</v>
      </c>
      <c r="W38" s="636">
        <f t="shared" si="7"/>
        <v>0</v>
      </c>
      <c r="AA38" s="2">
        <v>27.22</v>
      </c>
      <c r="AB38" s="15"/>
      <c r="AC38" s="69">
        <f t="shared" si="4"/>
        <v>0</v>
      </c>
      <c r="AD38" s="325"/>
      <c r="AE38" s="69">
        <f t="shared" si="5"/>
        <v>0</v>
      </c>
      <c r="AF38" s="70"/>
      <c r="AG38" s="71"/>
      <c r="AH38" s="634">
        <f t="shared" si="13"/>
        <v>18506.88</v>
      </c>
      <c r="AI38" s="635">
        <f t="shared" si="17"/>
        <v>680</v>
      </c>
      <c r="AJ38" s="636">
        <f t="shared" si="8"/>
        <v>0</v>
      </c>
    </row>
    <row r="39" spans="2:36" x14ac:dyDescent="0.25">
      <c r="B39" s="2">
        <v>27.22</v>
      </c>
      <c r="C39" s="15">
        <v>1</v>
      </c>
      <c r="D39" s="986">
        <f t="shared" si="18"/>
        <v>27.22</v>
      </c>
      <c r="E39" s="992">
        <v>44692</v>
      </c>
      <c r="F39" s="986">
        <f t="shared" si="19"/>
        <v>27.22</v>
      </c>
      <c r="G39" s="987" t="s">
        <v>164</v>
      </c>
      <c r="H39" s="988">
        <v>59</v>
      </c>
      <c r="I39" s="634">
        <f t="shared" si="9"/>
        <v>12246.279999999993</v>
      </c>
      <c r="J39" s="635">
        <f t="shared" si="15"/>
        <v>450</v>
      </c>
      <c r="K39" s="636">
        <f t="shared" si="6"/>
        <v>1605.98</v>
      </c>
      <c r="N39" s="2">
        <v>27.22</v>
      </c>
      <c r="O39" s="15"/>
      <c r="P39" s="69">
        <f t="shared" si="2"/>
        <v>0</v>
      </c>
      <c r="Q39" s="325"/>
      <c r="R39" s="69">
        <f t="shared" si="3"/>
        <v>0</v>
      </c>
      <c r="S39" s="70"/>
      <c r="T39" s="71"/>
      <c r="U39" s="634">
        <f t="shared" si="11"/>
        <v>12028.599999999997</v>
      </c>
      <c r="V39" s="635">
        <f t="shared" si="16"/>
        <v>442</v>
      </c>
      <c r="W39" s="636">
        <f t="shared" si="7"/>
        <v>0</v>
      </c>
      <c r="AA39" s="2">
        <v>27.22</v>
      </c>
      <c r="AB39" s="15"/>
      <c r="AC39" s="69">
        <f t="shared" si="4"/>
        <v>0</v>
      </c>
      <c r="AD39" s="325"/>
      <c r="AE39" s="69">
        <f t="shared" si="5"/>
        <v>0</v>
      </c>
      <c r="AF39" s="70"/>
      <c r="AG39" s="71"/>
      <c r="AH39" s="634">
        <f t="shared" si="13"/>
        <v>18506.88</v>
      </c>
      <c r="AI39" s="635">
        <f t="shared" si="17"/>
        <v>680</v>
      </c>
      <c r="AJ39" s="636">
        <f t="shared" si="8"/>
        <v>0</v>
      </c>
    </row>
    <row r="40" spans="2:36" x14ac:dyDescent="0.25">
      <c r="B40" s="2">
        <v>27.22</v>
      </c>
      <c r="C40" s="15">
        <v>32</v>
      </c>
      <c r="D40" s="986">
        <f t="shared" si="18"/>
        <v>871.04</v>
      </c>
      <c r="E40" s="992">
        <v>44692</v>
      </c>
      <c r="F40" s="986">
        <f t="shared" si="19"/>
        <v>871.04</v>
      </c>
      <c r="G40" s="987" t="s">
        <v>169</v>
      </c>
      <c r="H40" s="988">
        <v>59</v>
      </c>
      <c r="I40" s="634">
        <f t="shared" si="9"/>
        <v>11375.239999999994</v>
      </c>
      <c r="J40" s="635">
        <f t="shared" si="15"/>
        <v>418</v>
      </c>
      <c r="K40" s="636">
        <f t="shared" si="6"/>
        <v>51391.360000000001</v>
      </c>
      <c r="N40" s="2">
        <v>27.22</v>
      </c>
      <c r="O40" s="15"/>
      <c r="P40" s="69">
        <f t="shared" si="2"/>
        <v>0</v>
      </c>
      <c r="Q40" s="325"/>
      <c r="R40" s="69">
        <f t="shared" si="3"/>
        <v>0</v>
      </c>
      <c r="S40" s="70"/>
      <c r="T40" s="71"/>
      <c r="U40" s="634">
        <f t="shared" si="11"/>
        <v>12028.599999999997</v>
      </c>
      <c r="V40" s="635">
        <f t="shared" si="16"/>
        <v>442</v>
      </c>
      <c r="W40" s="636">
        <f t="shared" si="7"/>
        <v>0</v>
      </c>
      <c r="AA40" s="2">
        <v>27.22</v>
      </c>
      <c r="AB40" s="15"/>
      <c r="AC40" s="69">
        <f t="shared" si="4"/>
        <v>0</v>
      </c>
      <c r="AD40" s="325"/>
      <c r="AE40" s="69">
        <f t="shared" si="5"/>
        <v>0</v>
      </c>
      <c r="AF40" s="70"/>
      <c r="AG40" s="71"/>
      <c r="AH40" s="634">
        <f t="shared" si="13"/>
        <v>18506.88</v>
      </c>
      <c r="AI40" s="635">
        <f t="shared" si="17"/>
        <v>680</v>
      </c>
      <c r="AJ40" s="636">
        <f t="shared" si="8"/>
        <v>0</v>
      </c>
    </row>
    <row r="41" spans="2:36" x14ac:dyDescent="0.25">
      <c r="B41" s="2">
        <v>27.22</v>
      </c>
      <c r="C41" s="15">
        <v>2</v>
      </c>
      <c r="D41" s="986">
        <f t="shared" si="18"/>
        <v>54.44</v>
      </c>
      <c r="E41" s="992">
        <v>44693</v>
      </c>
      <c r="F41" s="986">
        <f t="shared" si="19"/>
        <v>54.44</v>
      </c>
      <c r="G41" s="987" t="s">
        <v>168</v>
      </c>
      <c r="H41" s="988">
        <v>59</v>
      </c>
      <c r="I41" s="634">
        <f t="shared" si="9"/>
        <v>11320.799999999994</v>
      </c>
      <c r="J41" s="635">
        <f t="shared" si="15"/>
        <v>416</v>
      </c>
      <c r="K41" s="636">
        <f t="shared" si="6"/>
        <v>3211.96</v>
      </c>
      <c r="N41" s="2">
        <v>27.22</v>
      </c>
      <c r="O41" s="15"/>
      <c r="P41" s="69">
        <f t="shared" si="2"/>
        <v>0</v>
      </c>
      <c r="Q41" s="325"/>
      <c r="R41" s="69">
        <f t="shared" si="3"/>
        <v>0</v>
      </c>
      <c r="S41" s="70"/>
      <c r="T41" s="71"/>
      <c r="U41" s="634">
        <f t="shared" si="11"/>
        <v>12028.599999999997</v>
      </c>
      <c r="V41" s="635">
        <f t="shared" si="16"/>
        <v>442</v>
      </c>
      <c r="W41" s="636">
        <f t="shared" si="7"/>
        <v>0</v>
      </c>
      <c r="AA41" s="2">
        <v>27.22</v>
      </c>
      <c r="AB41" s="15"/>
      <c r="AC41" s="69">
        <f t="shared" si="4"/>
        <v>0</v>
      </c>
      <c r="AD41" s="325"/>
      <c r="AE41" s="69">
        <f t="shared" si="5"/>
        <v>0</v>
      </c>
      <c r="AF41" s="70"/>
      <c r="AG41" s="71"/>
      <c r="AH41" s="634">
        <f t="shared" si="13"/>
        <v>18506.88</v>
      </c>
      <c r="AI41" s="635">
        <f t="shared" si="17"/>
        <v>680</v>
      </c>
      <c r="AJ41" s="636">
        <f t="shared" si="8"/>
        <v>0</v>
      </c>
    </row>
    <row r="42" spans="2:36" x14ac:dyDescent="0.25">
      <c r="B42" s="2">
        <v>27.22</v>
      </c>
      <c r="C42" s="15">
        <v>1</v>
      </c>
      <c r="D42" s="986">
        <f t="shared" si="18"/>
        <v>27.22</v>
      </c>
      <c r="E42" s="992">
        <v>44693</v>
      </c>
      <c r="F42" s="986">
        <f t="shared" si="19"/>
        <v>27.22</v>
      </c>
      <c r="G42" s="987" t="s">
        <v>172</v>
      </c>
      <c r="H42" s="988">
        <v>59</v>
      </c>
      <c r="I42" s="634">
        <f t="shared" si="9"/>
        <v>11293.579999999994</v>
      </c>
      <c r="J42" s="635">
        <f t="shared" si="15"/>
        <v>415</v>
      </c>
      <c r="K42" s="636">
        <f t="shared" si="6"/>
        <v>1605.98</v>
      </c>
      <c r="N42" s="2">
        <v>27.22</v>
      </c>
      <c r="O42" s="15"/>
      <c r="P42" s="69">
        <f t="shared" si="2"/>
        <v>0</v>
      </c>
      <c r="Q42" s="325"/>
      <c r="R42" s="69">
        <f t="shared" si="3"/>
        <v>0</v>
      </c>
      <c r="S42" s="70"/>
      <c r="T42" s="71"/>
      <c r="U42" s="634">
        <f t="shared" si="11"/>
        <v>12028.599999999997</v>
      </c>
      <c r="V42" s="635">
        <f t="shared" si="16"/>
        <v>442</v>
      </c>
      <c r="W42" s="636">
        <f t="shared" si="7"/>
        <v>0</v>
      </c>
      <c r="AA42" s="2">
        <v>27.22</v>
      </c>
      <c r="AB42" s="15"/>
      <c r="AC42" s="69">
        <f t="shared" si="4"/>
        <v>0</v>
      </c>
      <c r="AD42" s="325"/>
      <c r="AE42" s="69">
        <f t="shared" si="5"/>
        <v>0</v>
      </c>
      <c r="AF42" s="70"/>
      <c r="AG42" s="71"/>
      <c r="AH42" s="634">
        <f t="shared" si="13"/>
        <v>18506.88</v>
      </c>
      <c r="AI42" s="635">
        <f t="shared" si="17"/>
        <v>680</v>
      </c>
      <c r="AJ42" s="636">
        <f t="shared" si="8"/>
        <v>0</v>
      </c>
    </row>
    <row r="43" spans="2:36" x14ac:dyDescent="0.25">
      <c r="B43" s="2">
        <v>27.22</v>
      </c>
      <c r="C43" s="15">
        <v>1</v>
      </c>
      <c r="D43" s="986">
        <f t="shared" si="18"/>
        <v>27.22</v>
      </c>
      <c r="E43" s="992">
        <v>44693</v>
      </c>
      <c r="F43" s="986">
        <f t="shared" si="19"/>
        <v>27.22</v>
      </c>
      <c r="G43" s="987" t="s">
        <v>174</v>
      </c>
      <c r="H43" s="988">
        <v>59</v>
      </c>
      <c r="I43" s="634">
        <f t="shared" si="9"/>
        <v>11266.359999999995</v>
      </c>
      <c r="J43" s="635">
        <f t="shared" si="15"/>
        <v>414</v>
      </c>
      <c r="K43" s="636">
        <f t="shared" si="6"/>
        <v>1605.98</v>
      </c>
      <c r="N43" s="2">
        <v>27.22</v>
      </c>
      <c r="O43" s="15"/>
      <c r="P43" s="69">
        <f t="shared" si="2"/>
        <v>0</v>
      </c>
      <c r="Q43" s="325"/>
      <c r="R43" s="69">
        <f t="shared" si="3"/>
        <v>0</v>
      </c>
      <c r="S43" s="70"/>
      <c r="T43" s="71"/>
      <c r="U43" s="634">
        <f t="shared" si="11"/>
        <v>12028.599999999997</v>
      </c>
      <c r="V43" s="635">
        <f t="shared" si="16"/>
        <v>442</v>
      </c>
      <c r="W43" s="636">
        <f t="shared" si="7"/>
        <v>0</v>
      </c>
      <c r="AA43" s="2">
        <v>27.22</v>
      </c>
      <c r="AB43" s="15"/>
      <c r="AC43" s="69">
        <f t="shared" si="4"/>
        <v>0</v>
      </c>
      <c r="AD43" s="325"/>
      <c r="AE43" s="69">
        <f t="shared" si="5"/>
        <v>0</v>
      </c>
      <c r="AF43" s="70"/>
      <c r="AG43" s="71"/>
      <c r="AH43" s="634">
        <f t="shared" si="13"/>
        <v>18506.88</v>
      </c>
      <c r="AI43" s="635">
        <f t="shared" si="17"/>
        <v>680</v>
      </c>
      <c r="AJ43" s="636">
        <f t="shared" si="8"/>
        <v>0</v>
      </c>
    </row>
    <row r="44" spans="2:36" x14ac:dyDescent="0.25">
      <c r="B44" s="2">
        <v>27.22</v>
      </c>
      <c r="C44" s="15">
        <v>4</v>
      </c>
      <c r="D44" s="986">
        <f t="shared" si="18"/>
        <v>108.88</v>
      </c>
      <c r="E44" s="992">
        <v>44694</v>
      </c>
      <c r="F44" s="986">
        <f t="shared" si="19"/>
        <v>108.88</v>
      </c>
      <c r="G44" s="987" t="s">
        <v>175</v>
      </c>
      <c r="H44" s="988">
        <v>59</v>
      </c>
      <c r="I44" s="634">
        <f t="shared" si="9"/>
        <v>11157.479999999996</v>
      </c>
      <c r="J44" s="635">
        <f t="shared" si="15"/>
        <v>410</v>
      </c>
      <c r="K44" s="636">
        <f t="shared" si="6"/>
        <v>6423.92</v>
      </c>
      <c r="N44" s="2">
        <v>27.22</v>
      </c>
      <c r="O44" s="15"/>
      <c r="P44" s="69">
        <f t="shared" si="2"/>
        <v>0</v>
      </c>
      <c r="Q44" s="325"/>
      <c r="R44" s="69">
        <f t="shared" si="3"/>
        <v>0</v>
      </c>
      <c r="S44" s="70"/>
      <c r="T44" s="71"/>
      <c r="U44" s="634">
        <f t="shared" si="11"/>
        <v>12028.599999999997</v>
      </c>
      <c r="V44" s="635">
        <f t="shared" si="16"/>
        <v>442</v>
      </c>
      <c r="W44" s="636">
        <f t="shared" si="7"/>
        <v>0</v>
      </c>
      <c r="AA44" s="2">
        <v>27.22</v>
      </c>
      <c r="AB44" s="15"/>
      <c r="AC44" s="69">
        <f t="shared" si="4"/>
        <v>0</v>
      </c>
      <c r="AD44" s="325"/>
      <c r="AE44" s="69">
        <f t="shared" si="5"/>
        <v>0</v>
      </c>
      <c r="AF44" s="70"/>
      <c r="AG44" s="71"/>
      <c r="AH44" s="634">
        <f t="shared" si="13"/>
        <v>18506.88</v>
      </c>
      <c r="AI44" s="635">
        <f t="shared" si="17"/>
        <v>680</v>
      </c>
      <c r="AJ44" s="636">
        <f t="shared" si="8"/>
        <v>0</v>
      </c>
    </row>
    <row r="45" spans="2:36" x14ac:dyDescent="0.25">
      <c r="B45" s="2">
        <v>27.22</v>
      </c>
      <c r="C45" s="15">
        <v>3</v>
      </c>
      <c r="D45" s="986">
        <f t="shared" si="18"/>
        <v>81.66</v>
      </c>
      <c r="E45" s="992">
        <v>44694</v>
      </c>
      <c r="F45" s="986">
        <f t="shared" si="19"/>
        <v>81.66</v>
      </c>
      <c r="G45" s="987" t="s">
        <v>176</v>
      </c>
      <c r="H45" s="988">
        <v>59</v>
      </c>
      <c r="I45" s="634">
        <f t="shared" si="9"/>
        <v>11075.819999999996</v>
      </c>
      <c r="J45" s="635">
        <f t="shared" si="15"/>
        <v>407</v>
      </c>
      <c r="K45" s="636">
        <f t="shared" si="6"/>
        <v>4817.9399999999996</v>
      </c>
      <c r="N45" s="2">
        <v>27.22</v>
      </c>
      <c r="O45" s="15"/>
      <c r="P45" s="69">
        <f t="shared" si="2"/>
        <v>0</v>
      </c>
      <c r="Q45" s="325"/>
      <c r="R45" s="69">
        <f t="shared" si="3"/>
        <v>0</v>
      </c>
      <c r="S45" s="70"/>
      <c r="T45" s="71"/>
      <c r="U45" s="634">
        <f t="shared" si="11"/>
        <v>12028.599999999997</v>
      </c>
      <c r="V45" s="635">
        <f t="shared" si="16"/>
        <v>442</v>
      </c>
      <c r="W45" s="636">
        <f t="shared" si="7"/>
        <v>0</v>
      </c>
      <c r="AA45" s="2">
        <v>27.22</v>
      </c>
      <c r="AB45" s="15"/>
      <c r="AC45" s="69">
        <f t="shared" si="4"/>
        <v>0</v>
      </c>
      <c r="AD45" s="325"/>
      <c r="AE45" s="69">
        <f t="shared" si="5"/>
        <v>0</v>
      </c>
      <c r="AF45" s="70"/>
      <c r="AG45" s="71"/>
      <c r="AH45" s="634">
        <f t="shared" si="13"/>
        <v>18506.88</v>
      </c>
      <c r="AI45" s="635">
        <f t="shared" si="17"/>
        <v>680</v>
      </c>
      <c r="AJ45" s="636">
        <f t="shared" si="8"/>
        <v>0</v>
      </c>
    </row>
    <row r="46" spans="2:36" x14ac:dyDescent="0.25">
      <c r="B46" s="2">
        <v>27.22</v>
      </c>
      <c r="C46" s="15">
        <v>10</v>
      </c>
      <c r="D46" s="986">
        <f t="shared" si="18"/>
        <v>272.2</v>
      </c>
      <c r="E46" s="992">
        <v>44694</v>
      </c>
      <c r="F46" s="986">
        <f t="shared" si="19"/>
        <v>272.2</v>
      </c>
      <c r="G46" s="987" t="s">
        <v>177</v>
      </c>
      <c r="H46" s="988">
        <v>59</v>
      </c>
      <c r="I46" s="634">
        <f t="shared" si="9"/>
        <v>10803.619999999995</v>
      </c>
      <c r="J46" s="635">
        <f t="shared" si="15"/>
        <v>397</v>
      </c>
      <c r="K46" s="636">
        <f t="shared" si="6"/>
        <v>16059.8</v>
      </c>
      <c r="N46" s="2">
        <v>27.22</v>
      </c>
      <c r="O46" s="15"/>
      <c r="P46" s="69">
        <f t="shared" si="2"/>
        <v>0</v>
      </c>
      <c r="Q46" s="325"/>
      <c r="R46" s="69">
        <f t="shared" si="3"/>
        <v>0</v>
      </c>
      <c r="S46" s="70"/>
      <c r="T46" s="71"/>
      <c r="U46" s="634">
        <f t="shared" si="11"/>
        <v>12028.599999999997</v>
      </c>
      <c r="V46" s="635">
        <f t="shared" si="16"/>
        <v>442</v>
      </c>
      <c r="W46" s="636">
        <f t="shared" si="7"/>
        <v>0</v>
      </c>
      <c r="AA46" s="2">
        <v>27.22</v>
      </c>
      <c r="AB46" s="15"/>
      <c r="AC46" s="69">
        <f t="shared" si="4"/>
        <v>0</v>
      </c>
      <c r="AD46" s="325"/>
      <c r="AE46" s="69">
        <f t="shared" si="5"/>
        <v>0</v>
      </c>
      <c r="AF46" s="70"/>
      <c r="AG46" s="71"/>
      <c r="AH46" s="634">
        <f t="shared" si="13"/>
        <v>18506.88</v>
      </c>
      <c r="AI46" s="635">
        <f t="shared" si="17"/>
        <v>680</v>
      </c>
      <c r="AJ46" s="636">
        <f t="shared" si="8"/>
        <v>0</v>
      </c>
    </row>
    <row r="47" spans="2:36" x14ac:dyDescent="0.25">
      <c r="B47" s="2">
        <v>27.22</v>
      </c>
      <c r="C47" s="15">
        <v>1</v>
      </c>
      <c r="D47" s="986">
        <f t="shared" si="18"/>
        <v>27.22</v>
      </c>
      <c r="E47" s="992">
        <v>44694</v>
      </c>
      <c r="F47" s="986">
        <f t="shared" si="19"/>
        <v>27.22</v>
      </c>
      <c r="G47" s="987" t="s">
        <v>178</v>
      </c>
      <c r="H47" s="988">
        <v>59</v>
      </c>
      <c r="I47" s="634">
        <f t="shared" si="9"/>
        <v>10776.399999999996</v>
      </c>
      <c r="J47" s="635">
        <f t="shared" si="15"/>
        <v>396</v>
      </c>
      <c r="K47" s="636">
        <f t="shared" si="6"/>
        <v>1605.98</v>
      </c>
      <c r="N47" s="2">
        <v>27.22</v>
      </c>
      <c r="O47" s="15"/>
      <c r="P47" s="69">
        <f t="shared" si="2"/>
        <v>0</v>
      </c>
      <c r="Q47" s="325"/>
      <c r="R47" s="69">
        <f t="shared" si="3"/>
        <v>0</v>
      </c>
      <c r="S47" s="70"/>
      <c r="T47" s="71"/>
      <c r="U47" s="634">
        <f t="shared" si="11"/>
        <v>12028.599999999997</v>
      </c>
      <c r="V47" s="635">
        <f t="shared" si="16"/>
        <v>442</v>
      </c>
      <c r="W47" s="636">
        <f t="shared" si="7"/>
        <v>0</v>
      </c>
      <c r="AA47" s="2">
        <v>27.22</v>
      </c>
      <c r="AB47" s="15"/>
      <c r="AC47" s="69">
        <f t="shared" si="4"/>
        <v>0</v>
      </c>
      <c r="AD47" s="325"/>
      <c r="AE47" s="69">
        <f t="shared" si="5"/>
        <v>0</v>
      </c>
      <c r="AF47" s="70"/>
      <c r="AG47" s="71"/>
      <c r="AH47" s="634">
        <f t="shared" si="13"/>
        <v>18506.88</v>
      </c>
      <c r="AI47" s="635">
        <f t="shared" si="17"/>
        <v>680</v>
      </c>
      <c r="AJ47" s="636">
        <f t="shared" si="8"/>
        <v>0</v>
      </c>
    </row>
    <row r="48" spans="2:36" x14ac:dyDescent="0.25">
      <c r="B48" s="2">
        <v>27.22</v>
      </c>
      <c r="C48" s="15">
        <v>1</v>
      </c>
      <c r="D48" s="986">
        <f t="shared" si="18"/>
        <v>27.22</v>
      </c>
      <c r="E48" s="992">
        <v>44695</v>
      </c>
      <c r="F48" s="986">
        <f t="shared" si="19"/>
        <v>27.22</v>
      </c>
      <c r="G48" s="987" t="s">
        <v>185</v>
      </c>
      <c r="H48" s="988">
        <v>59</v>
      </c>
      <c r="I48" s="634">
        <f t="shared" si="9"/>
        <v>10749.179999999997</v>
      </c>
      <c r="J48" s="635">
        <f t="shared" si="15"/>
        <v>395</v>
      </c>
      <c r="K48" s="636">
        <f t="shared" si="6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70"/>
      <c r="T48" s="71"/>
      <c r="U48" s="634">
        <f t="shared" si="11"/>
        <v>12028.599999999997</v>
      </c>
      <c r="V48" s="635">
        <f t="shared" si="16"/>
        <v>442</v>
      </c>
      <c r="W48" s="636">
        <f t="shared" si="7"/>
        <v>0</v>
      </c>
      <c r="AA48" s="2">
        <v>27.22</v>
      </c>
      <c r="AB48" s="15"/>
      <c r="AC48" s="69">
        <f t="shared" si="4"/>
        <v>0</v>
      </c>
      <c r="AD48" s="325"/>
      <c r="AE48" s="69">
        <f t="shared" si="5"/>
        <v>0</v>
      </c>
      <c r="AF48" s="70"/>
      <c r="AG48" s="71"/>
      <c r="AH48" s="634">
        <f t="shared" si="13"/>
        <v>18506.88</v>
      </c>
      <c r="AI48" s="635">
        <f t="shared" si="17"/>
        <v>680</v>
      </c>
      <c r="AJ48" s="636">
        <f t="shared" si="8"/>
        <v>0</v>
      </c>
    </row>
    <row r="49" spans="1:36" x14ac:dyDescent="0.25">
      <c r="B49" s="2">
        <v>27.22</v>
      </c>
      <c r="C49" s="15">
        <v>32</v>
      </c>
      <c r="D49" s="986">
        <f t="shared" si="18"/>
        <v>871.04</v>
      </c>
      <c r="E49" s="992">
        <v>44695</v>
      </c>
      <c r="F49" s="986">
        <f t="shared" si="19"/>
        <v>871.04</v>
      </c>
      <c r="G49" s="987" t="s">
        <v>166</v>
      </c>
      <c r="H49" s="991">
        <v>59</v>
      </c>
      <c r="I49" s="634">
        <f t="shared" si="9"/>
        <v>9878.1399999999958</v>
      </c>
      <c r="J49" s="635">
        <f t="shared" si="15"/>
        <v>363</v>
      </c>
      <c r="K49" s="636">
        <f t="shared" si="6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70"/>
      <c r="T49" s="266"/>
      <c r="U49" s="634">
        <f t="shared" si="11"/>
        <v>12028.599999999997</v>
      </c>
      <c r="V49" s="635">
        <f t="shared" si="16"/>
        <v>442</v>
      </c>
      <c r="W49" s="636">
        <f t="shared" si="7"/>
        <v>0</v>
      </c>
      <c r="AA49" s="2">
        <v>27.22</v>
      </c>
      <c r="AB49" s="15"/>
      <c r="AC49" s="69">
        <f t="shared" si="4"/>
        <v>0</v>
      </c>
      <c r="AD49" s="325"/>
      <c r="AE49" s="69">
        <f t="shared" si="5"/>
        <v>0</v>
      </c>
      <c r="AF49" s="70"/>
      <c r="AG49" s="266"/>
      <c r="AH49" s="634">
        <f t="shared" si="13"/>
        <v>18506.88</v>
      </c>
      <c r="AI49" s="635">
        <f t="shared" si="17"/>
        <v>680</v>
      </c>
      <c r="AJ49" s="636">
        <f t="shared" si="8"/>
        <v>0</v>
      </c>
    </row>
    <row r="50" spans="1:36" x14ac:dyDescent="0.25">
      <c r="B50" s="2">
        <v>27.22</v>
      </c>
      <c r="C50" s="15">
        <v>5</v>
      </c>
      <c r="D50" s="986">
        <f t="shared" si="18"/>
        <v>136.1</v>
      </c>
      <c r="E50" s="992">
        <v>44695</v>
      </c>
      <c r="F50" s="986">
        <f t="shared" si="19"/>
        <v>136.1</v>
      </c>
      <c r="G50" s="987" t="s">
        <v>187</v>
      </c>
      <c r="H50" s="988">
        <v>59</v>
      </c>
      <c r="I50" s="634">
        <f t="shared" si="9"/>
        <v>9742.0399999999954</v>
      </c>
      <c r="J50" s="635">
        <f t="shared" si="15"/>
        <v>358</v>
      </c>
      <c r="K50" s="636">
        <f t="shared" si="6"/>
        <v>8029.9</v>
      </c>
      <c r="N50" s="2">
        <v>27.22</v>
      </c>
      <c r="O50" s="15"/>
      <c r="P50" s="69">
        <f t="shared" si="2"/>
        <v>0</v>
      </c>
      <c r="Q50" s="325"/>
      <c r="R50" s="69">
        <f t="shared" si="3"/>
        <v>0</v>
      </c>
      <c r="S50" s="70"/>
      <c r="T50" s="71"/>
      <c r="U50" s="634">
        <f t="shared" si="11"/>
        <v>12028.599999999997</v>
      </c>
      <c r="V50" s="635">
        <f t="shared" si="16"/>
        <v>442</v>
      </c>
      <c r="W50" s="636">
        <f t="shared" si="7"/>
        <v>0</v>
      </c>
      <c r="AA50" s="2">
        <v>27.22</v>
      </c>
      <c r="AB50" s="15"/>
      <c r="AC50" s="69">
        <f t="shared" si="4"/>
        <v>0</v>
      </c>
      <c r="AD50" s="325"/>
      <c r="AE50" s="69">
        <f t="shared" si="5"/>
        <v>0</v>
      </c>
      <c r="AF50" s="70"/>
      <c r="AG50" s="71"/>
      <c r="AH50" s="634">
        <f t="shared" si="13"/>
        <v>18506.88</v>
      </c>
      <c r="AI50" s="635">
        <f t="shared" si="17"/>
        <v>680</v>
      </c>
      <c r="AJ50" s="636">
        <f t="shared" si="8"/>
        <v>0</v>
      </c>
    </row>
    <row r="51" spans="1:36" x14ac:dyDescent="0.25">
      <c r="B51" s="2">
        <v>27.22</v>
      </c>
      <c r="C51" s="15">
        <v>3</v>
      </c>
      <c r="D51" s="986">
        <f t="shared" si="18"/>
        <v>81.66</v>
      </c>
      <c r="E51" s="992">
        <v>44697</v>
      </c>
      <c r="F51" s="986">
        <f t="shared" si="19"/>
        <v>81.66</v>
      </c>
      <c r="G51" s="987" t="s">
        <v>195</v>
      </c>
      <c r="H51" s="988">
        <v>59</v>
      </c>
      <c r="I51" s="634">
        <f t="shared" si="9"/>
        <v>9660.3799999999956</v>
      </c>
      <c r="J51" s="635">
        <f t="shared" si="15"/>
        <v>355</v>
      </c>
      <c r="K51" s="636">
        <f t="shared" si="6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70"/>
      <c r="T51" s="71"/>
      <c r="U51" s="634">
        <f t="shared" si="11"/>
        <v>12028.599999999997</v>
      </c>
      <c r="V51" s="635">
        <f t="shared" si="16"/>
        <v>442</v>
      </c>
      <c r="W51" s="636">
        <f t="shared" si="7"/>
        <v>0</v>
      </c>
      <c r="AA51" s="2">
        <v>27.22</v>
      </c>
      <c r="AB51" s="15"/>
      <c r="AC51" s="69">
        <f t="shared" si="4"/>
        <v>0</v>
      </c>
      <c r="AD51" s="325"/>
      <c r="AE51" s="69">
        <f t="shared" si="5"/>
        <v>0</v>
      </c>
      <c r="AF51" s="70"/>
      <c r="AG51" s="71"/>
      <c r="AH51" s="634">
        <f t="shared" si="13"/>
        <v>18506.88</v>
      </c>
      <c r="AI51" s="635">
        <f t="shared" si="17"/>
        <v>680</v>
      </c>
      <c r="AJ51" s="636">
        <f t="shared" si="8"/>
        <v>0</v>
      </c>
    </row>
    <row r="52" spans="1:36" x14ac:dyDescent="0.25">
      <c r="B52" s="2">
        <v>27.22</v>
      </c>
      <c r="C52" s="15">
        <v>28</v>
      </c>
      <c r="D52" s="986">
        <f t="shared" si="18"/>
        <v>762.16</v>
      </c>
      <c r="E52" s="992">
        <v>44697</v>
      </c>
      <c r="F52" s="986">
        <f t="shared" si="19"/>
        <v>762.16</v>
      </c>
      <c r="G52" s="987" t="s">
        <v>197</v>
      </c>
      <c r="H52" s="988">
        <v>59</v>
      </c>
      <c r="I52" s="634">
        <f t="shared" si="9"/>
        <v>8898.2199999999957</v>
      </c>
      <c r="J52" s="635">
        <f t="shared" si="15"/>
        <v>327</v>
      </c>
      <c r="K52" s="636">
        <f t="shared" si="6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4">
        <f t="shared" si="11"/>
        <v>12028.599999999997</v>
      </c>
      <c r="V52" s="635">
        <f t="shared" si="16"/>
        <v>442</v>
      </c>
      <c r="W52" s="636">
        <f t="shared" si="7"/>
        <v>0</v>
      </c>
      <c r="AA52" s="2">
        <v>27.22</v>
      </c>
      <c r="AB52" s="15"/>
      <c r="AC52" s="69">
        <f t="shared" si="4"/>
        <v>0</v>
      </c>
      <c r="AD52" s="325"/>
      <c r="AE52" s="69">
        <f t="shared" si="5"/>
        <v>0</v>
      </c>
      <c r="AF52" s="70"/>
      <c r="AG52" s="71"/>
      <c r="AH52" s="634">
        <f t="shared" si="13"/>
        <v>18506.88</v>
      </c>
      <c r="AI52" s="635">
        <f t="shared" si="17"/>
        <v>680</v>
      </c>
      <c r="AJ52" s="636">
        <f t="shared" si="8"/>
        <v>0</v>
      </c>
    </row>
    <row r="53" spans="1:36" x14ac:dyDescent="0.25">
      <c r="B53" s="2">
        <v>27.22</v>
      </c>
      <c r="C53" s="15">
        <v>3</v>
      </c>
      <c r="D53" s="986">
        <f t="shared" si="18"/>
        <v>81.66</v>
      </c>
      <c r="E53" s="992">
        <v>44698</v>
      </c>
      <c r="F53" s="986">
        <f t="shared" si="19"/>
        <v>81.66</v>
      </c>
      <c r="G53" s="987" t="s">
        <v>188</v>
      </c>
      <c r="H53" s="988">
        <v>59</v>
      </c>
      <c r="I53" s="634">
        <f t="shared" si="9"/>
        <v>8816.5599999999959</v>
      </c>
      <c r="J53" s="635">
        <f t="shared" si="15"/>
        <v>324</v>
      </c>
      <c r="K53" s="636">
        <f t="shared" si="6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4">
        <f t="shared" si="11"/>
        <v>12028.599999999997</v>
      </c>
      <c r="V53" s="635">
        <f t="shared" si="16"/>
        <v>442</v>
      </c>
      <c r="W53" s="636">
        <f t="shared" si="7"/>
        <v>0</v>
      </c>
      <c r="AA53" s="2">
        <v>27.22</v>
      </c>
      <c r="AB53" s="15"/>
      <c r="AC53" s="69">
        <f t="shared" si="4"/>
        <v>0</v>
      </c>
      <c r="AD53" s="325"/>
      <c r="AE53" s="69">
        <f t="shared" si="5"/>
        <v>0</v>
      </c>
      <c r="AF53" s="70"/>
      <c r="AG53" s="71"/>
      <c r="AH53" s="634">
        <f t="shared" si="13"/>
        <v>18506.88</v>
      </c>
      <c r="AI53" s="635">
        <f t="shared" si="17"/>
        <v>680</v>
      </c>
      <c r="AJ53" s="636">
        <f t="shared" si="8"/>
        <v>0</v>
      </c>
    </row>
    <row r="54" spans="1:36" x14ac:dyDescent="0.25">
      <c r="B54" s="2">
        <v>27.22</v>
      </c>
      <c r="C54" s="15">
        <v>5</v>
      </c>
      <c r="D54" s="986">
        <f t="shared" si="18"/>
        <v>136.1</v>
      </c>
      <c r="E54" s="992">
        <v>44698</v>
      </c>
      <c r="F54" s="986">
        <f t="shared" si="19"/>
        <v>136.1</v>
      </c>
      <c r="G54" s="987" t="s">
        <v>192</v>
      </c>
      <c r="H54" s="988">
        <v>59</v>
      </c>
      <c r="I54" s="634">
        <f t="shared" si="9"/>
        <v>8680.4599999999955</v>
      </c>
      <c r="J54" s="635">
        <f t="shared" si="15"/>
        <v>319</v>
      </c>
      <c r="K54" s="636">
        <f t="shared" si="6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4">
        <f t="shared" si="11"/>
        <v>12028.599999999997</v>
      </c>
      <c r="V54" s="635">
        <f t="shared" si="16"/>
        <v>442</v>
      </c>
      <c r="W54" s="636">
        <f t="shared" si="7"/>
        <v>0</v>
      </c>
      <c r="AA54" s="2">
        <v>27.22</v>
      </c>
      <c r="AB54" s="15"/>
      <c r="AC54" s="69">
        <f t="shared" si="4"/>
        <v>0</v>
      </c>
      <c r="AD54" s="325"/>
      <c r="AE54" s="69">
        <f t="shared" si="5"/>
        <v>0</v>
      </c>
      <c r="AF54" s="70"/>
      <c r="AG54" s="71"/>
      <c r="AH54" s="634">
        <f t="shared" si="13"/>
        <v>18506.88</v>
      </c>
      <c r="AI54" s="635">
        <f t="shared" si="17"/>
        <v>680</v>
      </c>
      <c r="AJ54" s="636">
        <f t="shared" si="8"/>
        <v>0</v>
      </c>
    </row>
    <row r="55" spans="1:36" x14ac:dyDescent="0.25">
      <c r="B55" s="2">
        <v>27.22</v>
      </c>
      <c r="C55" s="15">
        <v>3</v>
      </c>
      <c r="D55" s="986">
        <f t="shared" si="18"/>
        <v>81.66</v>
      </c>
      <c r="E55" s="992">
        <v>44699</v>
      </c>
      <c r="F55" s="986">
        <f t="shared" si="19"/>
        <v>81.66</v>
      </c>
      <c r="G55" s="987" t="s">
        <v>202</v>
      </c>
      <c r="H55" s="988">
        <v>59</v>
      </c>
      <c r="I55" s="634">
        <f t="shared" si="9"/>
        <v>8598.7999999999956</v>
      </c>
      <c r="J55" s="635">
        <f t="shared" si="15"/>
        <v>316</v>
      </c>
      <c r="K55" s="636">
        <f t="shared" si="6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4">
        <f t="shared" si="11"/>
        <v>12028.599999999997</v>
      </c>
      <c r="V55" s="635">
        <f t="shared" si="16"/>
        <v>442</v>
      </c>
      <c r="W55" s="636">
        <f t="shared" si="7"/>
        <v>0</v>
      </c>
      <c r="AA55" s="2">
        <v>27.22</v>
      </c>
      <c r="AB55" s="15"/>
      <c r="AC55" s="69">
        <f t="shared" si="4"/>
        <v>0</v>
      </c>
      <c r="AD55" s="325"/>
      <c r="AE55" s="69">
        <f t="shared" si="5"/>
        <v>0</v>
      </c>
      <c r="AF55" s="70"/>
      <c r="AG55" s="71"/>
      <c r="AH55" s="634">
        <f t="shared" si="13"/>
        <v>18506.88</v>
      </c>
      <c r="AI55" s="635">
        <f t="shared" si="17"/>
        <v>680</v>
      </c>
      <c r="AJ55" s="636">
        <f t="shared" si="8"/>
        <v>0</v>
      </c>
    </row>
    <row r="56" spans="1:36" x14ac:dyDescent="0.25">
      <c r="B56" s="2">
        <v>27.22</v>
      </c>
      <c r="C56" s="15">
        <v>1</v>
      </c>
      <c r="D56" s="986">
        <f t="shared" si="18"/>
        <v>27.22</v>
      </c>
      <c r="E56" s="992">
        <v>44699</v>
      </c>
      <c r="F56" s="986">
        <f t="shared" si="19"/>
        <v>27.22</v>
      </c>
      <c r="G56" s="987" t="s">
        <v>203</v>
      </c>
      <c r="H56" s="988">
        <v>59</v>
      </c>
      <c r="I56" s="634">
        <f t="shared" si="9"/>
        <v>8571.5799999999963</v>
      </c>
      <c r="J56" s="635">
        <f t="shared" si="15"/>
        <v>315</v>
      </c>
      <c r="K56" s="636">
        <f t="shared" si="6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4">
        <f t="shared" si="11"/>
        <v>12028.599999999997</v>
      </c>
      <c r="V56" s="635">
        <f t="shared" si="16"/>
        <v>442</v>
      </c>
      <c r="W56" s="636">
        <f t="shared" si="7"/>
        <v>0</v>
      </c>
      <c r="AA56" s="2">
        <v>27.22</v>
      </c>
      <c r="AB56" s="15"/>
      <c r="AC56" s="69">
        <f t="shared" si="4"/>
        <v>0</v>
      </c>
      <c r="AD56" s="325"/>
      <c r="AE56" s="69">
        <f t="shared" si="5"/>
        <v>0</v>
      </c>
      <c r="AF56" s="70"/>
      <c r="AG56" s="71"/>
      <c r="AH56" s="634">
        <f t="shared" si="13"/>
        <v>18506.88</v>
      </c>
      <c r="AI56" s="635">
        <f t="shared" si="17"/>
        <v>680</v>
      </c>
      <c r="AJ56" s="636">
        <f t="shared" si="8"/>
        <v>0</v>
      </c>
    </row>
    <row r="57" spans="1:36" x14ac:dyDescent="0.25">
      <c r="B57" s="2">
        <v>27.22</v>
      </c>
      <c r="C57" s="15">
        <v>32</v>
      </c>
      <c r="D57" s="986">
        <f t="shared" si="18"/>
        <v>871.04</v>
      </c>
      <c r="E57" s="992">
        <v>44699</v>
      </c>
      <c r="F57" s="986">
        <f t="shared" si="19"/>
        <v>871.04</v>
      </c>
      <c r="G57" s="987" t="s">
        <v>204</v>
      </c>
      <c r="H57" s="988">
        <v>59</v>
      </c>
      <c r="I57" s="634">
        <f t="shared" si="9"/>
        <v>7700.5399999999963</v>
      </c>
      <c r="J57" s="635">
        <f t="shared" si="15"/>
        <v>283</v>
      </c>
      <c r="K57" s="636">
        <f t="shared" si="6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4">
        <f t="shared" si="11"/>
        <v>12028.599999999997</v>
      </c>
      <c r="V57" s="635">
        <f t="shared" si="16"/>
        <v>442</v>
      </c>
      <c r="W57" s="636">
        <f t="shared" si="7"/>
        <v>0</v>
      </c>
      <c r="AA57" s="2">
        <v>27.22</v>
      </c>
      <c r="AB57" s="15"/>
      <c r="AC57" s="69">
        <f t="shared" si="4"/>
        <v>0</v>
      </c>
      <c r="AD57" s="325"/>
      <c r="AE57" s="69">
        <f t="shared" si="5"/>
        <v>0</v>
      </c>
      <c r="AF57" s="70"/>
      <c r="AG57" s="71"/>
      <c r="AH57" s="634">
        <f t="shared" si="13"/>
        <v>18506.88</v>
      </c>
      <c r="AI57" s="635">
        <f t="shared" si="17"/>
        <v>680</v>
      </c>
      <c r="AJ57" s="636">
        <f t="shared" si="8"/>
        <v>0</v>
      </c>
    </row>
    <row r="58" spans="1:36" x14ac:dyDescent="0.25">
      <c r="B58" s="2">
        <v>27.22</v>
      </c>
      <c r="C58" s="15">
        <v>10</v>
      </c>
      <c r="D58" s="986">
        <f t="shared" si="18"/>
        <v>272.2</v>
      </c>
      <c r="E58" s="992">
        <v>44699</v>
      </c>
      <c r="F58" s="986">
        <f t="shared" si="19"/>
        <v>272.2</v>
      </c>
      <c r="G58" s="987" t="s">
        <v>205</v>
      </c>
      <c r="H58" s="988">
        <v>59</v>
      </c>
      <c r="I58" s="634">
        <f t="shared" si="9"/>
        <v>7428.3399999999965</v>
      </c>
      <c r="J58" s="635">
        <f t="shared" si="15"/>
        <v>273</v>
      </c>
      <c r="K58" s="636">
        <f t="shared" si="6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4">
        <f t="shared" si="11"/>
        <v>12028.599999999997</v>
      </c>
      <c r="V58" s="635">
        <f t="shared" si="16"/>
        <v>442</v>
      </c>
      <c r="W58" s="636">
        <f t="shared" si="7"/>
        <v>0</v>
      </c>
      <c r="AA58" s="2">
        <v>27.22</v>
      </c>
      <c r="AB58" s="15"/>
      <c r="AC58" s="69">
        <f t="shared" si="4"/>
        <v>0</v>
      </c>
      <c r="AD58" s="325"/>
      <c r="AE58" s="69">
        <f t="shared" si="5"/>
        <v>0</v>
      </c>
      <c r="AF58" s="70"/>
      <c r="AG58" s="71"/>
      <c r="AH58" s="634">
        <f t="shared" si="13"/>
        <v>18506.88</v>
      </c>
      <c r="AI58" s="635">
        <f t="shared" si="17"/>
        <v>680</v>
      </c>
      <c r="AJ58" s="636">
        <f t="shared" si="8"/>
        <v>0</v>
      </c>
    </row>
    <row r="59" spans="1:36" x14ac:dyDescent="0.25">
      <c r="B59" s="2">
        <v>27.22</v>
      </c>
      <c r="C59" s="15">
        <v>1</v>
      </c>
      <c r="D59" s="986">
        <f t="shared" si="18"/>
        <v>27.22</v>
      </c>
      <c r="E59" s="992">
        <v>44699</v>
      </c>
      <c r="F59" s="986">
        <f t="shared" si="19"/>
        <v>27.22</v>
      </c>
      <c r="G59" s="987" t="s">
        <v>206</v>
      </c>
      <c r="H59" s="988">
        <v>59</v>
      </c>
      <c r="I59" s="634">
        <f t="shared" si="9"/>
        <v>7401.1199999999963</v>
      </c>
      <c r="J59" s="635">
        <f t="shared" si="15"/>
        <v>272</v>
      </c>
      <c r="K59" s="636">
        <f t="shared" si="6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4">
        <f t="shared" si="11"/>
        <v>12028.599999999997</v>
      </c>
      <c r="V59" s="635">
        <f t="shared" si="16"/>
        <v>442</v>
      </c>
      <c r="W59" s="636">
        <f t="shared" si="7"/>
        <v>0</v>
      </c>
      <c r="AA59" s="2">
        <v>27.22</v>
      </c>
      <c r="AB59" s="15"/>
      <c r="AC59" s="69">
        <f t="shared" si="4"/>
        <v>0</v>
      </c>
      <c r="AD59" s="325"/>
      <c r="AE59" s="69">
        <f t="shared" si="5"/>
        <v>0</v>
      </c>
      <c r="AF59" s="70"/>
      <c r="AG59" s="71"/>
      <c r="AH59" s="634">
        <f t="shared" si="13"/>
        <v>18506.88</v>
      </c>
      <c r="AI59" s="635">
        <f t="shared" si="17"/>
        <v>680</v>
      </c>
      <c r="AJ59" s="636">
        <f t="shared" si="8"/>
        <v>0</v>
      </c>
    </row>
    <row r="60" spans="1:36" ht="15.75" thickBot="1" x14ac:dyDescent="0.3">
      <c r="A60" s="120"/>
      <c r="B60" s="2">
        <v>27.22</v>
      </c>
      <c r="C60" s="15">
        <v>32</v>
      </c>
      <c r="D60" s="986">
        <f t="shared" si="18"/>
        <v>871.04</v>
      </c>
      <c r="E60" s="992">
        <v>44699</v>
      </c>
      <c r="F60" s="986">
        <f t="shared" si="19"/>
        <v>871.04</v>
      </c>
      <c r="G60" s="987" t="s">
        <v>211</v>
      </c>
      <c r="H60" s="988">
        <v>59</v>
      </c>
      <c r="I60" s="634">
        <f t="shared" si="9"/>
        <v>6530.0799999999963</v>
      </c>
      <c r="J60" s="635">
        <f t="shared" si="15"/>
        <v>240</v>
      </c>
      <c r="K60" s="636">
        <f t="shared" si="6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4">
        <f t="shared" si="11"/>
        <v>12028.599999999997</v>
      </c>
      <c r="V60" s="635">
        <f t="shared" si="16"/>
        <v>442</v>
      </c>
      <c r="W60" s="636">
        <f t="shared" si="7"/>
        <v>0</v>
      </c>
      <c r="Z60" s="120"/>
      <c r="AA60" s="2">
        <v>27.22</v>
      </c>
      <c r="AB60" s="15"/>
      <c r="AC60" s="69">
        <f t="shared" si="4"/>
        <v>0</v>
      </c>
      <c r="AD60" s="325"/>
      <c r="AE60" s="69">
        <f t="shared" si="5"/>
        <v>0</v>
      </c>
      <c r="AF60" s="70"/>
      <c r="AG60" s="71"/>
      <c r="AH60" s="634">
        <f t="shared" si="13"/>
        <v>18506.88</v>
      </c>
      <c r="AI60" s="635">
        <f t="shared" si="17"/>
        <v>680</v>
      </c>
      <c r="AJ60" s="636">
        <f t="shared" si="8"/>
        <v>0</v>
      </c>
    </row>
    <row r="61" spans="1:36" ht="15.75" thickTop="1" x14ac:dyDescent="0.25">
      <c r="A61" s="317"/>
      <c r="B61" s="2">
        <v>27.22</v>
      </c>
      <c r="C61" s="15">
        <v>32</v>
      </c>
      <c r="D61" s="986">
        <f t="shared" si="18"/>
        <v>871.04</v>
      </c>
      <c r="E61" s="992">
        <v>44701</v>
      </c>
      <c r="F61" s="986">
        <f t="shared" si="19"/>
        <v>871.04</v>
      </c>
      <c r="G61" s="987" t="s">
        <v>213</v>
      </c>
      <c r="H61" s="988">
        <v>59</v>
      </c>
      <c r="I61" s="634">
        <f t="shared" si="9"/>
        <v>5659.0399999999963</v>
      </c>
      <c r="J61" s="635">
        <f t="shared" si="15"/>
        <v>208</v>
      </c>
      <c r="K61" s="636">
        <f t="shared" si="6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4">
        <f t="shared" si="11"/>
        <v>12028.599999999997</v>
      </c>
      <c r="V61" s="635">
        <f t="shared" si="16"/>
        <v>442</v>
      </c>
      <c r="W61" s="636">
        <f t="shared" si="7"/>
        <v>0</v>
      </c>
      <c r="Z61" s="317"/>
      <c r="AA61" s="2">
        <v>27.22</v>
      </c>
      <c r="AB61" s="15"/>
      <c r="AC61" s="69">
        <f t="shared" si="4"/>
        <v>0</v>
      </c>
      <c r="AD61" s="325"/>
      <c r="AE61" s="69">
        <f t="shared" si="5"/>
        <v>0</v>
      </c>
      <c r="AF61" s="70"/>
      <c r="AG61" s="71"/>
      <c r="AH61" s="634">
        <f t="shared" si="13"/>
        <v>18506.88</v>
      </c>
      <c r="AI61" s="635">
        <f t="shared" si="17"/>
        <v>680</v>
      </c>
      <c r="AJ61" s="636">
        <f t="shared" si="8"/>
        <v>0</v>
      </c>
    </row>
    <row r="62" spans="1:36" x14ac:dyDescent="0.25">
      <c r="A62" s="317"/>
      <c r="B62" s="2">
        <v>27.22</v>
      </c>
      <c r="C62" s="15">
        <v>5</v>
      </c>
      <c r="D62" s="986">
        <f t="shared" si="18"/>
        <v>136.1</v>
      </c>
      <c r="E62" s="992">
        <v>44702</v>
      </c>
      <c r="F62" s="986">
        <f t="shared" si="19"/>
        <v>136.1</v>
      </c>
      <c r="G62" s="987" t="s">
        <v>216</v>
      </c>
      <c r="H62" s="988">
        <v>59</v>
      </c>
      <c r="I62" s="634">
        <f t="shared" si="9"/>
        <v>5522.939999999996</v>
      </c>
      <c r="J62" s="635">
        <f t="shared" si="15"/>
        <v>203</v>
      </c>
      <c r="K62" s="636">
        <f t="shared" si="6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4">
        <f t="shared" si="11"/>
        <v>12028.599999999997</v>
      </c>
      <c r="V62" s="635">
        <f t="shared" si="16"/>
        <v>442</v>
      </c>
      <c r="W62" s="636">
        <f t="shared" si="7"/>
        <v>0</v>
      </c>
      <c r="Z62" s="317"/>
      <c r="AA62" s="2">
        <v>27.22</v>
      </c>
      <c r="AB62" s="15"/>
      <c r="AC62" s="69">
        <f t="shared" si="4"/>
        <v>0</v>
      </c>
      <c r="AD62" s="325"/>
      <c r="AE62" s="69">
        <f t="shared" si="5"/>
        <v>0</v>
      </c>
      <c r="AF62" s="70"/>
      <c r="AG62" s="71"/>
      <c r="AH62" s="634">
        <f t="shared" si="13"/>
        <v>18506.88</v>
      </c>
      <c r="AI62" s="635">
        <f t="shared" si="17"/>
        <v>680</v>
      </c>
      <c r="AJ62" s="636">
        <f t="shared" si="8"/>
        <v>0</v>
      </c>
    </row>
    <row r="63" spans="1:36" x14ac:dyDescent="0.25">
      <c r="A63" s="317"/>
      <c r="B63" s="2">
        <v>27.22</v>
      </c>
      <c r="C63" s="15">
        <v>28</v>
      </c>
      <c r="D63" s="1028">
        <f t="shared" si="18"/>
        <v>762.16</v>
      </c>
      <c r="E63" s="992">
        <v>44702</v>
      </c>
      <c r="F63" s="986">
        <f t="shared" si="19"/>
        <v>762.16</v>
      </c>
      <c r="G63" s="987" t="s">
        <v>218</v>
      </c>
      <c r="H63" s="988">
        <v>59</v>
      </c>
      <c r="I63" s="634">
        <f t="shared" si="9"/>
        <v>4760.7799999999961</v>
      </c>
      <c r="J63" s="635">
        <f t="shared" si="15"/>
        <v>175</v>
      </c>
      <c r="K63" s="636">
        <f t="shared" si="6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4">
        <f t="shared" si="11"/>
        <v>12028.599999999997</v>
      </c>
      <c r="V63" s="635">
        <f t="shared" si="16"/>
        <v>442</v>
      </c>
      <c r="W63" s="636">
        <f t="shared" si="7"/>
        <v>0</v>
      </c>
      <c r="Z63" s="317"/>
      <c r="AA63" s="2">
        <v>27.22</v>
      </c>
      <c r="AB63" s="15"/>
      <c r="AC63" s="69">
        <f t="shared" si="4"/>
        <v>0</v>
      </c>
      <c r="AD63" s="325"/>
      <c r="AE63" s="69">
        <f t="shared" si="5"/>
        <v>0</v>
      </c>
      <c r="AF63" s="70"/>
      <c r="AG63" s="71"/>
      <c r="AH63" s="634">
        <f t="shared" si="13"/>
        <v>18506.88</v>
      </c>
      <c r="AI63" s="635">
        <f t="shared" si="17"/>
        <v>680</v>
      </c>
      <c r="AJ63" s="636">
        <f t="shared" si="8"/>
        <v>0</v>
      </c>
    </row>
    <row r="64" spans="1:36" x14ac:dyDescent="0.25">
      <c r="A64" s="317"/>
      <c r="B64" s="2">
        <v>27.22</v>
      </c>
      <c r="C64" s="15">
        <v>1</v>
      </c>
      <c r="D64" s="1028">
        <f t="shared" si="18"/>
        <v>27.22</v>
      </c>
      <c r="E64" s="992">
        <v>44704</v>
      </c>
      <c r="F64" s="986">
        <f t="shared" si="19"/>
        <v>27.22</v>
      </c>
      <c r="G64" s="987" t="s">
        <v>234</v>
      </c>
      <c r="H64" s="988">
        <v>59</v>
      </c>
      <c r="I64" s="634">
        <f t="shared" si="9"/>
        <v>4733.5599999999959</v>
      </c>
      <c r="J64" s="635">
        <f t="shared" si="15"/>
        <v>174</v>
      </c>
      <c r="K64" s="636">
        <f t="shared" si="6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4">
        <f t="shared" si="11"/>
        <v>12028.599999999997</v>
      </c>
      <c r="V64" s="635">
        <f t="shared" si="16"/>
        <v>442</v>
      </c>
      <c r="W64" s="636">
        <f t="shared" si="7"/>
        <v>0</v>
      </c>
      <c r="Z64" s="317"/>
      <c r="AA64" s="2">
        <v>27.22</v>
      </c>
      <c r="AB64" s="15"/>
      <c r="AC64" s="69">
        <f t="shared" si="4"/>
        <v>0</v>
      </c>
      <c r="AD64" s="325"/>
      <c r="AE64" s="69">
        <f t="shared" si="5"/>
        <v>0</v>
      </c>
      <c r="AF64" s="70"/>
      <c r="AG64" s="71"/>
      <c r="AH64" s="634">
        <f t="shared" si="13"/>
        <v>18506.88</v>
      </c>
      <c r="AI64" s="635">
        <f t="shared" si="17"/>
        <v>680</v>
      </c>
      <c r="AJ64" s="636">
        <f t="shared" si="8"/>
        <v>0</v>
      </c>
    </row>
    <row r="65" spans="1:36" x14ac:dyDescent="0.25">
      <c r="A65" s="317"/>
      <c r="B65" s="2">
        <v>27.22</v>
      </c>
      <c r="C65" s="15">
        <v>1</v>
      </c>
      <c r="D65" s="986">
        <f t="shared" si="18"/>
        <v>27.22</v>
      </c>
      <c r="E65" s="992">
        <v>44706</v>
      </c>
      <c r="F65" s="986">
        <f t="shared" si="19"/>
        <v>27.22</v>
      </c>
      <c r="G65" s="987" t="s">
        <v>242</v>
      </c>
      <c r="H65" s="988">
        <v>59</v>
      </c>
      <c r="I65" s="634">
        <f t="shared" si="9"/>
        <v>4706.3399999999956</v>
      </c>
      <c r="J65" s="635">
        <f t="shared" si="15"/>
        <v>173</v>
      </c>
      <c r="K65" s="636">
        <f t="shared" si="6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4">
        <f t="shared" si="11"/>
        <v>12028.599999999997</v>
      </c>
      <c r="V65" s="635">
        <f t="shared" si="16"/>
        <v>442</v>
      </c>
      <c r="W65" s="636">
        <f t="shared" si="7"/>
        <v>0</v>
      </c>
      <c r="Z65" s="317"/>
      <c r="AA65" s="2">
        <v>27.22</v>
      </c>
      <c r="AB65" s="15"/>
      <c r="AC65" s="69">
        <f t="shared" si="4"/>
        <v>0</v>
      </c>
      <c r="AD65" s="325"/>
      <c r="AE65" s="69">
        <f t="shared" si="5"/>
        <v>0</v>
      </c>
      <c r="AF65" s="70"/>
      <c r="AG65" s="71"/>
      <c r="AH65" s="634">
        <f t="shared" si="13"/>
        <v>18506.88</v>
      </c>
      <c r="AI65" s="635">
        <f t="shared" si="17"/>
        <v>680</v>
      </c>
      <c r="AJ65" s="636">
        <f t="shared" si="8"/>
        <v>0</v>
      </c>
    </row>
    <row r="66" spans="1:36" x14ac:dyDescent="0.25">
      <c r="A66" s="317"/>
      <c r="B66" s="2">
        <v>27.22</v>
      </c>
      <c r="C66" s="15">
        <v>10</v>
      </c>
      <c r="D66" s="986">
        <f t="shared" si="18"/>
        <v>272.2</v>
      </c>
      <c r="E66" s="992">
        <v>44706</v>
      </c>
      <c r="F66" s="986">
        <f t="shared" si="19"/>
        <v>272.2</v>
      </c>
      <c r="G66" s="987" t="s">
        <v>243</v>
      </c>
      <c r="H66" s="988">
        <v>59</v>
      </c>
      <c r="I66" s="634">
        <f t="shared" si="9"/>
        <v>4434.1399999999958</v>
      </c>
      <c r="J66" s="635">
        <f t="shared" si="15"/>
        <v>163</v>
      </c>
      <c r="K66" s="636">
        <f t="shared" si="6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4">
        <f t="shared" si="11"/>
        <v>12028.599999999997</v>
      </c>
      <c r="V66" s="635">
        <f t="shared" si="16"/>
        <v>442</v>
      </c>
      <c r="W66" s="636">
        <f t="shared" si="7"/>
        <v>0</v>
      </c>
      <c r="Z66" s="317"/>
      <c r="AA66" s="2">
        <v>27.22</v>
      </c>
      <c r="AB66" s="15"/>
      <c r="AC66" s="69">
        <f t="shared" si="4"/>
        <v>0</v>
      </c>
      <c r="AD66" s="325"/>
      <c r="AE66" s="69">
        <f t="shared" si="5"/>
        <v>0</v>
      </c>
      <c r="AF66" s="70"/>
      <c r="AG66" s="71"/>
      <c r="AH66" s="634">
        <f t="shared" si="13"/>
        <v>18506.88</v>
      </c>
      <c r="AI66" s="635">
        <f t="shared" si="17"/>
        <v>680</v>
      </c>
      <c r="AJ66" s="636">
        <f t="shared" si="8"/>
        <v>0</v>
      </c>
    </row>
    <row r="67" spans="1:36" x14ac:dyDescent="0.25">
      <c r="A67" s="317"/>
      <c r="B67" s="2">
        <v>27.22</v>
      </c>
      <c r="C67" s="15">
        <v>40</v>
      </c>
      <c r="D67" s="986">
        <f t="shared" si="18"/>
        <v>1088.8</v>
      </c>
      <c r="E67" s="992">
        <v>44707</v>
      </c>
      <c r="F67" s="986">
        <f t="shared" si="19"/>
        <v>1088.8</v>
      </c>
      <c r="G67" s="987" t="s">
        <v>246</v>
      </c>
      <c r="H67" s="988">
        <v>59</v>
      </c>
      <c r="I67" s="634">
        <f t="shared" si="9"/>
        <v>3345.3399999999956</v>
      </c>
      <c r="J67" s="635">
        <f t="shared" si="15"/>
        <v>123</v>
      </c>
      <c r="K67" s="636">
        <f t="shared" si="6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4">
        <f t="shared" si="11"/>
        <v>12028.599999999997</v>
      </c>
      <c r="V67" s="635">
        <f t="shared" si="16"/>
        <v>442</v>
      </c>
      <c r="W67" s="636">
        <f t="shared" si="7"/>
        <v>0</v>
      </c>
      <c r="Z67" s="317"/>
      <c r="AA67" s="2">
        <v>27.22</v>
      </c>
      <c r="AB67" s="15"/>
      <c r="AC67" s="69">
        <f t="shared" si="4"/>
        <v>0</v>
      </c>
      <c r="AD67" s="325"/>
      <c r="AE67" s="69">
        <f t="shared" si="5"/>
        <v>0</v>
      </c>
      <c r="AF67" s="70"/>
      <c r="AG67" s="71"/>
      <c r="AH67" s="634">
        <f t="shared" si="13"/>
        <v>18506.88</v>
      </c>
      <c r="AI67" s="635">
        <f t="shared" si="17"/>
        <v>680</v>
      </c>
      <c r="AJ67" s="636">
        <f t="shared" si="8"/>
        <v>0</v>
      </c>
    </row>
    <row r="68" spans="1:36" x14ac:dyDescent="0.25">
      <c r="A68" s="317"/>
      <c r="B68" s="2">
        <v>27.22</v>
      </c>
      <c r="C68" s="15">
        <v>5</v>
      </c>
      <c r="D68" s="986">
        <f t="shared" si="18"/>
        <v>136.1</v>
      </c>
      <c r="E68" s="992">
        <v>44707</v>
      </c>
      <c r="F68" s="986">
        <f t="shared" si="19"/>
        <v>136.1</v>
      </c>
      <c r="G68" s="987" t="s">
        <v>248</v>
      </c>
      <c r="H68" s="988">
        <v>59</v>
      </c>
      <c r="I68" s="634">
        <f t="shared" si="9"/>
        <v>3209.2399999999957</v>
      </c>
      <c r="J68" s="635">
        <f t="shared" si="15"/>
        <v>118</v>
      </c>
      <c r="K68" s="636">
        <f t="shared" si="6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4">
        <f t="shared" si="11"/>
        <v>12028.599999999997</v>
      </c>
      <c r="V68" s="635">
        <f t="shared" si="16"/>
        <v>442</v>
      </c>
      <c r="W68" s="636">
        <f t="shared" si="7"/>
        <v>0</v>
      </c>
      <c r="Z68" s="317"/>
      <c r="AA68" s="2">
        <v>27.22</v>
      </c>
      <c r="AB68" s="15"/>
      <c r="AC68" s="69">
        <f t="shared" si="4"/>
        <v>0</v>
      </c>
      <c r="AD68" s="325"/>
      <c r="AE68" s="69">
        <f t="shared" si="5"/>
        <v>0</v>
      </c>
      <c r="AF68" s="70"/>
      <c r="AG68" s="71"/>
      <c r="AH68" s="634">
        <f t="shared" si="13"/>
        <v>18506.88</v>
      </c>
      <c r="AI68" s="635">
        <f t="shared" si="17"/>
        <v>680</v>
      </c>
      <c r="AJ68" s="636">
        <f t="shared" si="8"/>
        <v>0</v>
      </c>
    </row>
    <row r="69" spans="1:36" x14ac:dyDescent="0.25">
      <c r="A69" s="317"/>
      <c r="B69" s="2">
        <v>27.22</v>
      </c>
      <c r="C69" s="15">
        <v>1</v>
      </c>
      <c r="D69" s="986">
        <f t="shared" si="18"/>
        <v>27.22</v>
      </c>
      <c r="E69" s="992">
        <v>44708</v>
      </c>
      <c r="F69" s="986">
        <f t="shared" si="19"/>
        <v>27.22</v>
      </c>
      <c r="G69" s="987" t="s">
        <v>251</v>
      </c>
      <c r="H69" s="988">
        <v>59</v>
      </c>
      <c r="I69" s="634">
        <f t="shared" si="9"/>
        <v>3182.0199999999959</v>
      </c>
      <c r="J69" s="635">
        <f t="shared" si="15"/>
        <v>117</v>
      </c>
      <c r="K69" s="636">
        <f t="shared" si="6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4">
        <f t="shared" si="11"/>
        <v>12028.599999999997</v>
      </c>
      <c r="V69" s="635">
        <f t="shared" si="16"/>
        <v>442</v>
      </c>
      <c r="W69" s="636">
        <f t="shared" si="7"/>
        <v>0</v>
      </c>
      <c r="Z69" s="317"/>
      <c r="AA69" s="2">
        <v>27.22</v>
      </c>
      <c r="AB69" s="15"/>
      <c r="AC69" s="69">
        <f t="shared" si="4"/>
        <v>0</v>
      </c>
      <c r="AD69" s="325"/>
      <c r="AE69" s="69">
        <f t="shared" si="5"/>
        <v>0</v>
      </c>
      <c r="AF69" s="70"/>
      <c r="AG69" s="71"/>
      <c r="AH69" s="634">
        <f t="shared" si="13"/>
        <v>18506.88</v>
      </c>
      <c r="AI69" s="635">
        <f t="shared" si="17"/>
        <v>680</v>
      </c>
      <c r="AJ69" s="636">
        <f t="shared" si="8"/>
        <v>0</v>
      </c>
    </row>
    <row r="70" spans="1:36" x14ac:dyDescent="0.25">
      <c r="A70" s="317"/>
      <c r="B70" s="2">
        <v>27.22</v>
      </c>
      <c r="C70" s="15">
        <v>1</v>
      </c>
      <c r="D70" s="1020">
        <f t="shared" si="18"/>
        <v>27.22</v>
      </c>
      <c r="E70" s="1021">
        <v>44708</v>
      </c>
      <c r="F70" s="1022">
        <f t="shared" si="19"/>
        <v>27.22</v>
      </c>
      <c r="G70" s="1023" t="s">
        <v>252</v>
      </c>
      <c r="H70" s="318">
        <v>59</v>
      </c>
      <c r="I70" s="634">
        <f t="shared" si="9"/>
        <v>3154.7999999999961</v>
      </c>
      <c r="J70" s="637">
        <f t="shared" si="15"/>
        <v>116</v>
      </c>
      <c r="K70" s="636">
        <f t="shared" si="6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4">
        <f t="shared" si="11"/>
        <v>12028.599999999997</v>
      </c>
      <c r="V70" s="637">
        <f t="shared" si="16"/>
        <v>442</v>
      </c>
      <c r="W70" s="636">
        <f t="shared" si="7"/>
        <v>0</v>
      </c>
      <c r="Z70" s="317"/>
      <c r="AA70" s="2">
        <v>27.22</v>
      </c>
      <c r="AB70" s="15"/>
      <c r="AC70" s="69">
        <f t="shared" si="4"/>
        <v>0</v>
      </c>
      <c r="AD70" s="325"/>
      <c r="AE70" s="264">
        <f t="shared" si="5"/>
        <v>0</v>
      </c>
      <c r="AF70" s="265"/>
      <c r="AG70" s="266"/>
      <c r="AH70" s="634">
        <f t="shared" si="13"/>
        <v>18506.88</v>
      </c>
      <c r="AI70" s="637">
        <f t="shared" si="17"/>
        <v>680</v>
      </c>
      <c r="AJ70" s="636">
        <f t="shared" si="8"/>
        <v>0</v>
      </c>
    </row>
    <row r="71" spans="1:36" x14ac:dyDescent="0.25">
      <c r="A71" s="317"/>
      <c r="B71" s="2">
        <v>27.22</v>
      </c>
      <c r="C71" s="15">
        <v>36</v>
      </c>
      <c r="D71" s="1020">
        <f t="shared" si="18"/>
        <v>979.92</v>
      </c>
      <c r="E71" s="1021">
        <v>44708</v>
      </c>
      <c r="F71" s="1022">
        <f t="shared" si="19"/>
        <v>979.92</v>
      </c>
      <c r="G71" s="1023" t="s">
        <v>257</v>
      </c>
      <c r="H71" s="318">
        <v>59</v>
      </c>
      <c r="I71" s="634">
        <f t="shared" si="9"/>
        <v>2174.879999999996</v>
      </c>
      <c r="J71" s="637">
        <f t="shared" si="15"/>
        <v>80</v>
      </c>
      <c r="K71" s="636">
        <f t="shared" si="6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4">
        <f t="shared" si="11"/>
        <v>12028.599999999997</v>
      </c>
      <c r="V71" s="637">
        <f t="shared" si="16"/>
        <v>442</v>
      </c>
      <c r="W71" s="636">
        <f t="shared" si="7"/>
        <v>0</v>
      </c>
      <c r="Z71" s="317"/>
      <c r="AA71" s="2">
        <v>27.22</v>
      </c>
      <c r="AB71" s="15"/>
      <c r="AC71" s="69">
        <f t="shared" si="4"/>
        <v>0</v>
      </c>
      <c r="AD71" s="325"/>
      <c r="AE71" s="264">
        <f t="shared" si="5"/>
        <v>0</v>
      </c>
      <c r="AF71" s="265"/>
      <c r="AG71" s="266"/>
      <c r="AH71" s="634">
        <f t="shared" si="13"/>
        <v>18506.88</v>
      </c>
      <c r="AI71" s="637">
        <f t="shared" si="17"/>
        <v>680</v>
      </c>
      <c r="AJ71" s="636">
        <f t="shared" si="8"/>
        <v>0</v>
      </c>
    </row>
    <row r="72" spans="1:36" x14ac:dyDescent="0.25">
      <c r="A72" s="317"/>
      <c r="B72" s="2">
        <v>27.22</v>
      </c>
      <c r="C72" s="15">
        <v>1</v>
      </c>
      <c r="D72" s="1020">
        <f t="shared" si="18"/>
        <v>27.22</v>
      </c>
      <c r="E72" s="1021">
        <v>44709</v>
      </c>
      <c r="F72" s="1022">
        <f t="shared" si="19"/>
        <v>27.22</v>
      </c>
      <c r="G72" s="1023" t="s">
        <v>258</v>
      </c>
      <c r="H72" s="1024">
        <v>65</v>
      </c>
      <c r="I72" s="634">
        <f t="shared" si="9"/>
        <v>2147.6599999999962</v>
      </c>
      <c r="J72" s="637">
        <f t="shared" si="15"/>
        <v>79</v>
      </c>
      <c r="K72" s="636">
        <f t="shared" si="6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4">
        <f t="shared" si="11"/>
        <v>12028.599999999997</v>
      </c>
      <c r="V72" s="637">
        <f t="shared" si="16"/>
        <v>442</v>
      </c>
      <c r="W72" s="636">
        <f t="shared" si="7"/>
        <v>0</v>
      </c>
      <c r="Z72" s="317"/>
      <c r="AA72" s="2">
        <v>27.22</v>
      </c>
      <c r="AB72" s="15"/>
      <c r="AC72" s="69">
        <f t="shared" si="4"/>
        <v>0</v>
      </c>
      <c r="AD72" s="325"/>
      <c r="AE72" s="264">
        <f t="shared" si="5"/>
        <v>0</v>
      </c>
      <c r="AF72" s="265"/>
      <c r="AG72" s="266"/>
      <c r="AH72" s="634">
        <f t="shared" si="13"/>
        <v>18506.88</v>
      </c>
      <c r="AI72" s="637">
        <f t="shared" si="17"/>
        <v>680</v>
      </c>
      <c r="AJ72" s="636">
        <f t="shared" si="8"/>
        <v>0</v>
      </c>
    </row>
    <row r="73" spans="1:36" x14ac:dyDescent="0.25">
      <c r="A73" s="317"/>
      <c r="B73" s="2">
        <v>27.22</v>
      </c>
      <c r="C73" s="15">
        <v>36</v>
      </c>
      <c r="D73" s="1020">
        <f t="shared" si="18"/>
        <v>979.92</v>
      </c>
      <c r="E73" s="1021">
        <v>44710</v>
      </c>
      <c r="F73" s="1022">
        <f t="shared" si="19"/>
        <v>979.92</v>
      </c>
      <c r="G73" s="1023" t="s">
        <v>263</v>
      </c>
      <c r="H73" s="318">
        <v>65</v>
      </c>
      <c r="I73" s="634">
        <f t="shared" si="9"/>
        <v>1167.7399999999961</v>
      </c>
      <c r="J73" s="637">
        <f t="shared" si="15"/>
        <v>43</v>
      </c>
      <c r="K73" s="636">
        <f t="shared" si="6"/>
        <v>63694.799999999996</v>
      </c>
      <c r="M73" s="317"/>
      <c r="N73" s="2">
        <v>27.22</v>
      </c>
      <c r="O73" s="15"/>
      <c r="P73" s="69">
        <f t="shared" ref="P73:P114" si="20">O73*N73</f>
        <v>0</v>
      </c>
      <c r="Q73" s="325"/>
      <c r="R73" s="264">
        <f t="shared" ref="R73:R114" si="21">P73</f>
        <v>0</v>
      </c>
      <c r="S73" s="265"/>
      <c r="T73" s="266"/>
      <c r="U73" s="634">
        <f t="shared" si="11"/>
        <v>12028.599999999997</v>
      </c>
      <c r="V73" s="637">
        <f t="shared" si="16"/>
        <v>442</v>
      </c>
      <c r="W73" s="636">
        <f t="shared" si="7"/>
        <v>0</v>
      </c>
      <c r="Z73" s="317"/>
      <c r="AA73" s="2">
        <v>27.22</v>
      </c>
      <c r="AB73" s="15"/>
      <c r="AC73" s="69">
        <f t="shared" ref="AC73:AC114" si="22">AB73*AA73</f>
        <v>0</v>
      </c>
      <c r="AD73" s="325"/>
      <c r="AE73" s="264">
        <f t="shared" ref="AE73:AE114" si="23">AC73</f>
        <v>0</v>
      </c>
      <c r="AF73" s="265"/>
      <c r="AG73" s="266"/>
      <c r="AH73" s="634">
        <f t="shared" si="13"/>
        <v>18506.88</v>
      </c>
      <c r="AI73" s="637">
        <f t="shared" si="17"/>
        <v>680</v>
      </c>
      <c r="AJ73" s="636">
        <f t="shared" si="8"/>
        <v>0</v>
      </c>
    </row>
    <row r="74" spans="1:36" x14ac:dyDescent="0.25">
      <c r="A74" s="317"/>
      <c r="B74" s="2">
        <v>27.22</v>
      </c>
      <c r="C74" s="15">
        <v>1</v>
      </c>
      <c r="D74" s="1020">
        <f t="shared" si="18"/>
        <v>27.22</v>
      </c>
      <c r="E74" s="1021">
        <v>44691</v>
      </c>
      <c r="F74" s="1022">
        <f t="shared" si="19"/>
        <v>27.22</v>
      </c>
      <c r="G74" s="1023" t="s">
        <v>264</v>
      </c>
      <c r="H74" s="318">
        <v>59</v>
      </c>
      <c r="I74" s="634">
        <f t="shared" si="9"/>
        <v>1140.5199999999961</v>
      </c>
      <c r="J74" s="637">
        <f t="shared" si="15"/>
        <v>42</v>
      </c>
      <c r="K74" s="636">
        <f t="shared" ref="K74:K114" si="24">F74*H74</f>
        <v>1605.98</v>
      </c>
      <c r="M74" s="317"/>
      <c r="N74" s="2">
        <v>27.22</v>
      </c>
      <c r="O74" s="15"/>
      <c r="P74" s="69">
        <f t="shared" si="20"/>
        <v>0</v>
      </c>
      <c r="Q74" s="325"/>
      <c r="R74" s="264">
        <f t="shared" si="21"/>
        <v>0</v>
      </c>
      <c r="S74" s="265"/>
      <c r="T74" s="266"/>
      <c r="U74" s="634">
        <f t="shared" si="11"/>
        <v>12028.599999999997</v>
      </c>
      <c r="V74" s="637">
        <f t="shared" si="16"/>
        <v>442</v>
      </c>
      <c r="W74" s="636">
        <f t="shared" ref="W74:W114" si="25">R74*T74</f>
        <v>0</v>
      </c>
      <c r="Z74" s="317"/>
      <c r="AA74" s="2">
        <v>27.22</v>
      </c>
      <c r="AB74" s="15"/>
      <c r="AC74" s="69">
        <f t="shared" si="22"/>
        <v>0</v>
      </c>
      <c r="AD74" s="325"/>
      <c r="AE74" s="264">
        <f t="shared" si="23"/>
        <v>0</v>
      </c>
      <c r="AF74" s="265"/>
      <c r="AG74" s="266"/>
      <c r="AH74" s="634">
        <f t="shared" si="13"/>
        <v>18506.88</v>
      </c>
      <c r="AI74" s="637">
        <f t="shared" si="17"/>
        <v>680</v>
      </c>
      <c r="AJ74" s="636">
        <f t="shared" ref="AJ74:AJ114" si="26">AE74*AG74</f>
        <v>0</v>
      </c>
    </row>
    <row r="75" spans="1:36" x14ac:dyDescent="0.25">
      <c r="A75" s="317"/>
      <c r="B75" s="2">
        <v>27.22</v>
      </c>
      <c r="C75" s="15">
        <v>3</v>
      </c>
      <c r="D75" s="227">
        <f t="shared" ref="D75:D114" si="27">C75*B75</f>
        <v>81.66</v>
      </c>
      <c r="E75" s="1062">
        <v>44711</v>
      </c>
      <c r="F75" s="858">
        <f t="shared" ref="F75:F114" si="28">D75</f>
        <v>81.66</v>
      </c>
      <c r="G75" s="422" t="s">
        <v>472</v>
      </c>
      <c r="H75" s="423">
        <v>65</v>
      </c>
      <c r="I75" s="634">
        <f t="shared" ref="I75:I113" si="29">I74-F75</f>
        <v>1058.859999999996</v>
      </c>
      <c r="J75" s="637">
        <f t="shared" si="15"/>
        <v>39</v>
      </c>
      <c r="K75" s="636">
        <f t="shared" si="24"/>
        <v>5307.9</v>
      </c>
      <c r="M75" s="317"/>
      <c r="N75" s="2">
        <v>27.22</v>
      </c>
      <c r="O75" s="15"/>
      <c r="P75" s="69">
        <f t="shared" si="20"/>
        <v>0</v>
      </c>
      <c r="Q75" s="325"/>
      <c r="R75" s="264">
        <f t="shared" si="21"/>
        <v>0</v>
      </c>
      <c r="S75" s="265"/>
      <c r="T75" s="266"/>
      <c r="U75" s="634">
        <f t="shared" ref="U75:U113" si="30">U74-R75</f>
        <v>12028.599999999997</v>
      </c>
      <c r="V75" s="637">
        <f t="shared" si="16"/>
        <v>442</v>
      </c>
      <c r="W75" s="636">
        <f t="shared" si="25"/>
        <v>0</v>
      </c>
      <c r="Z75" s="317"/>
      <c r="AA75" s="2">
        <v>27.22</v>
      </c>
      <c r="AB75" s="15"/>
      <c r="AC75" s="69">
        <f t="shared" si="22"/>
        <v>0</v>
      </c>
      <c r="AD75" s="325"/>
      <c r="AE75" s="264">
        <f t="shared" si="23"/>
        <v>0</v>
      </c>
      <c r="AF75" s="265"/>
      <c r="AG75" s="266"/>
      <c r="AH75" s="634">
        <f t="shared" ref="AH75:AH113" si="31">AH74-AE75</f>
        <v>18506.88</v>
      </c>
      <c r="AI75" s="637">
        <f t="shared" si="17"/>
        <v>680</v>
      </c>
      <c r="AJ75" s="636">
        <f t="shared" si="26"/>
        <v>0</v>
      </c>
    </row>
    <row r="76" spans="1:36" x14ac:dyDescent="0.25">
      <c r="A76" s="317"/>
      <c r="B76" s="2">
        <v>27.22</v>
      </c>
      <c r="C76" s="15">
        <v>4</v>
      </c>
      <c r="D76" s="227">
        <f t="shared" si="27"/>
        <v>108.88</v>
      </c>
      <c r="E76" s="1062">
        <v>44711</v>
      </c>
      <c r="F76" s="227">
        <f t="shared" si="28"/>
        <v>108.88</v>
      </c>
      <c r="G76" s="911" t="s">
        <v>476</v>
      </c>
      <c r="H76" s="912">
        <v>65</v>
      </c>
      <c r="I76" s="634">
        <f t="shared" si="29"/>
        <v>949.97999999999604</v>
      </c>
      <c r="J76" s="635">
        <f t="shared" si="15"/>
        <v>35</v>
      </c>
      <c r="K76" s="636">
        <f t="shared" si="24"/>
        <v>7077.2</v>
      </c>
      <c r="M76" s="317"/>
      <c r="N76" s="2">
        <v>27.22</v>
      </c>
      <c r="O76" s="15"/>
      <c r="P76" s="69">
        <f t="shared" si="20"/>
        <v>0</v>
      </c>
      <c r="Q76" s="325"/>
      <c r="R76" s="69">
        <f t="shared" si="21"/>
        <v>0</v>
      </c>
      <c r="S76" s="70"/>
      <c r="T76" s="71"/>
      <c r="U76" s="634">
        <f t="shared" si="30"/>
        <v>12028.599999999997</v>
      </c>
      <c r="V76" s="635">
        <f t="shared" si="16"/>
        <v>442</v>
      </c>
      <c r="W76" s="636">
        <f t="shared" si="25"/>
        <v>0</v>
      </c>
      <c r="Z76" s="317"/>
      <c r="AA76" s="2">
        <v>27.22</v>
      </c>
      <c r="AB76" s="15"/>
      <c r="AC76" s="69">
        <f t="shared" si="22"/>
        <v>0</v>
      </c>
      <c r="AD76" s="325"/>
      <c r="AE76" s="69">
        <f t="shared" si="23"/>
        <v>0</v>
      </c>
      <c r="AF76" s="70"/>
      <c r="AG76" s="71"/>
      <c r="AH76" s="634">
        <f t="shared" si="31"/>
        <v>18506.88</v>
      </c>
      <c r="AI76" s="635">
        <f t="shared" si="17"/>
        <v>680</v>
      </c>
      <c r="AJ76" s="636">
        <f t="shared" si="26"/>
        <v>0</v>
      </c>
    </row>
    <row r="77" spans="1:36" x14ac:dyDescent="0.25">
      <c r="A77" s="317"/>
      <c r="B77" s="2">
        <v>27.22</v>
      </c>
      <c r="C77" s="15">
        <v>6</v>
      </c>
      <c r="D77" s="227">
        <f t="shared" si="27"/>
        <v>163.32</v>
      </c>
      <c r="E77" s="1062">
        <v>44712</v>
      </c>
      <c r="F77" s="227">
        <f t="shared" si="28"/>
        <v>163.32</v>
      </c>
      <c r="G77" s="911" t="s">
        <v>481</v>
      </c>
      <c r="H77" s="912">
        <v>65</v>
      </c>
      <c r="I77" s="634">
        <f t="shared" si="29"/>
        <v>786.65999999999599</v>
      </c>
      <c r="J77" s="635">
        <f t="shared" ref="J77:J113" si="32">J76-C77</f>
        <v>29</v>
      </c>
      <c r="K77" s="636">
        <f t="shared" si="24"/>
        <v>10615.8</v>
      </c>
      <c r="M77" s="317"/>
      <c r="N77" s="2">
        <v>27.22</v>
      </c>
      <c r="O77" s="15"/>
      <c r="P77" s="69">
        <f t="shared" si="20"/>
        <v>0</v>
      </c>
      <c r="Q77" s="325"/>
      <c r="R77" s="69">
        <f t="shared" si="21"/>
        <v>0</v>
      </c>
      <c r="S77" s="70"/>
      <c r="T77" s="71"/>
      <c r="U77" s="634">
        <f t="shared" si="30"/>
        <v>12028.599999999997</v>
      </c>
      <c r="V77" s="635">
        <f t="shared" ref="V77:V113" si="33">V76-O77</f>
        <v>442</v>
      </c>
      <c r="W77" s="636">
        <f t="shared" si="25"/>
        <v>0</v>
      </c>
      <c r="Z77" s="317"/>
      <c r="AA77" s="2">
        <v>27.22</v>
      </c>
      <c r="AB77" s="15"/>
      <c r="AC77" s="69">
        <f t="shared" si="22"/>
        <v>0</v>
      </c>
      <c r="AD77" s="325"/>
      <c r="AE77" s="69">
        <f t="shared" si="23"/>
        <v>0</v>
      </c>
      <c r="AF77" s="70"/>
      <c r="AG77" s="71"/>
      <c r="AH77" s="634">
        <f t="shared" si="31"/>
        <v>18506.88</v>
      </c>
      <c r="AI77" s="635">
        <f t="shared" ref="AI77:AI113" si="34">AI76-AB77</f>
        <v>680</v>
      </c>
      <c r="AJ77" s="636">
        <f t="shared" si="26"/>
        <v>0</v>
      </c>
    </row>
    <row r="78" spans="1:36" x14ac:dyDescent="0.25">
      <c r="A78" s="317"/>
      <c r="B78" s="2">
        <v>27.22</v>
      </c>
      <c r="C78" s="15">
        <v>1</v>
      </c>
      <c r="D78" s="227">
        <f t="shared" si="27"/>
        <v>27.22</v>
      </c>
      <c r="E78" s="1062">
        <v>44713</v>
      </c>
      <c r="F78" s="227">
        <f t="shared" si="28"/>
        <v>27.22</v>
      </c>
      <c r="G78" s="911" t="s">
        <v>494</v>
      </c>
      <c r="H78" s="912">
        <v>65</v>
      </c>
      <c r="I78" s="634">
        <f t="shared" si="29"/>
        <v>759.43999999999596</v>
      </c>
      <c r="J78" s="635">
        <f t="shared" si="32"/>
        <v>28</v>
      </c>
      <c r="K78" s="636">
        <f t="shared" si="24"/>
        <v>1769.3</v>
      </c>
      <c r="M78" s="317"/>
      <c r="N78" s="2">
        <v>27.22</v>
      </c>
      <c r="O78" s="15"/>
      <c r="P78" s="69">
        <f t="shared" si="20"/>
        <v>0</v>
      </c>
      <c r="Q78" s="325"/>
      <c r="R78" s="69">
        <f t="shared" si="21"/>
        <v>0</v>
      </c>
      <c r="S78" s="70"/>
      <c r="T78" s="71"/>
      <c r="U78" s="634">
        <f t="shared" si="30"/>
        <v>12028.599999999997</v>
      </c>
      <c r="V78" s="635">
        <f t="shared" si="33"/>
        <v>442</v>
      </c>
      <c r="W78" s="636">
        <f t="shared" si="25"/>
        <v>0</v>
      </c>
      <c r="Z78" s="317"/>
      <c r="AA78" s="2">
        <v>27.22</v>
      </c>
      <c r="AB78" s="15"/>
      <c r="AC78" s="69">
        <f t="shared" si="22"/>
        <v>0</v>
      </c>
      <c r="AD78" s="325"/>
      <c r="AE78" s="69">
        <f t="shared" si="23"/>
        <v>0</v>
      </c>
      <c r="AF78" s="70"/>
      <c r="AG78" s="71"/>
      <c r="AH78" s="634">
        <f t="shared" si="31"/>
        <v>18506.88</v>
      </c>
      <c r="AI78" s="635">
        <f t="shared" si="34"/>
        <v>680</v>
      </c>
      <c r="AJ78" s="636">
        <f t="shared" si="26"/>
        <v>0</v>
      </c>
    </row>
    <row r="79" spans="1:36" x14ac:dyDescent="0.25">
      <c r="A79" s="317"/>
      <c r="B79" s="2">
        <v>27.22</v>
      </c>
      <c r="C79" s="15">
        <v>1</v>
      </c>
      <c r="D79" s="227">
        <f t="shared" si="27"/>
        <v>27.22</v>
      </c>
      <c r="E79" s="1062">
        <v>44713</v>
      </c>
      <c r="F79" s="227">
        <f t="shared" si="28"/>
        <v>27.22</v>
      </c>
      <c r="G79" s="911" t="s">
        <v>498</v>
      </c>
      <c r="H79" s="912">
        <v>65</v>
      </c>
      <c r="I79" s="634">
        <f t="shared" si="29"/>
        <v>732.21999999999593</v>
      </c>
      <c r="J79" s="635">
        <f t="shared" si="32"/>
        <v>27</v>
      </c>
      <c r="K79" s="636">
        <f t="shared" si="24"/>
        <v>1769.3</v>
      </c>
      <c r="M79" s="317"/>
      <c r="N79" s="2">
        <v>27.22</v>
      </c>
      <c r="O79" s="15"/>
      <c r="P79" s="69">
        <f t="shared" si="20"/>
        <v>0</v>
      </c>
      <c r="Q79" s="325"/>
      <c r="R79" s="69">
        <f t="shared" si="21"/>
        <v>0</v>
      </c>
      <c r="S79" s="70"/>
      <c r="T79" s="71"/>
      <c r="U79" s="634">
        <f t="shared" si="30"/>
        <v>12028.599999999997</v>
      </c>
      <c r="V79" s="635">
        <f t="shared" si="33"/>
        <v>442</v>
      </c>
      <c r="W79" s="636">
        <f t="shared" si="25"/>
        <v>0</v>
      </c>
      <c r="Z79" s="317"/>
      <c r="AA79" s="2">
        <v>27.22</v>
      </c>
      <c r="AB79" s="15"/>
      <c r="AC79" s="69">
        <f t="shared" si="22"/>
        <v>0</v>
      </c>
      <c r="AD79" s="325"/>
      <c r="AE79" s="69">
        <f t="shared" si="23"/>
        <v>0</v>
      </c>
      <c r="AF79" s="70"/>
      <c r="AG79" s="71"/>
      <c r="AH79" s="634">
        <f t="shared" si="31"/>
        <v>18506.88</v>
      </c>
      <c r="AI79" s="635">
        <f t="shared" si="34"/>
        <v>680</v>
      </c>
      <c r="AJ79" s="636">
        <f t="shared" si="26"/>
        <v>0</v>
      </c>
    </row>
    <row r="80" spans="1:36" x14ac:dyDescent="0.25">
      <c r="A80" s="317"/>
      <c r="B80" s="2">
        <v>27.22</v>
      </c>
      <c r="C80" s="15">
        <v>3</v>
      </c>
      <c r="D80" s="227">
        <f t="shared" si="27"/>
        <v>81.66</v>
      </c>
      <c r="E80" s="1062">
        <v>44713</v>
      </c>
      <c r="F80" s="227">
        <f t="shared" si="28"/>
        <v>81.66</v>
      </c>
      <c r="G80" s="911" t="s">
        <v>499</v>
      </c>
      <c r="H80" s="912">
        <v>65</v>
      </c>
      <c r="I80" s="634">
        <f t="shared" si="29"/>
        <v>650.55999999999597</v>
      </c>
      <c r="J80" s="635">
        <f t="shared" si="32"/>
        <v>24</v>
      </c>
      <c r="K80" s="636">
        <f t="shared" si="24"/>
        <v>5307.9</v>
      </c>
      <c r="M80" s="317"/>
      <c r="N80" s="2">
        <v>27.22</v>
      </c>
      <c r="O80" s="15"/>
      <c r="P80" s="69">
        <f t="shared" si="20"/>
        <v>0</v>
      </c>
      <c r="Q80" s="325"/>
      <c r="R80" s="69">
        <f t="shared" si="21"/>
        <v>0</v>
      </c>
      <c r="S80" s="70"/>
      <c r="T80" s="71"/>
      <c r="U80" s="634">
        <f t="shared" si="30"/>
        <v>12028.599999999997</v>
      </c>
      <c r="V80" s="635">
        <f t="shared" si="33"/>
        <v>442</v>
      </c>
      <c r="W80" s="636">
        <f t="shared" si="25"/>
        <v>0</v>
      </c>
      <c r="Z80" s="317"/>
      <c r="AA80" s="2">
        <v>27.22</v>
      </c>
      <c r="AB80" s="15"/>
      <c r="AC80" s="69">
        <f t="shared" si="22"/>
        <v>0</v>
      </c>
      <c r="AD80" s="325"/>
      <c r="AE80" s="69">
        <f t="shared" si="23"/>
        <v>0</v>
      </c>
      <c r="AF80" s="70"/>
      <c r="AG80" s="71"/>
      <c r="AH80" s="634">
        <f t="shared" si="31"/>
        <v>18506.88</v>
      </c>
      <c r="AI80" s="635">
        <f t="shared" si="34"/>
        <v>680</v>
      </c>
      <c r="AJ80" s="636">
        <f t="shared" si="26"/>
        <v>0</v>
      </c>
    </row>
    <row r="81" spans="1:36" x14ac:dyDescent="0.25">
      <c r="A81" s="317"/>
      <c r="B81" s="2">
        <v>27.22</v>
      </c>
      <c r="C81" s="15">
        <v>3</v>
      </c>
      <c r="D81" s="227">
        <f t="shared" si="27"/>
        <v>81.66</v>
      </c>
      <c r="E81" s="1062">
        <v>44714</v>
      </c>
      <c r="F81" s="227">
        <f t="shared" si="28"/>
        <v>81.66</v>
      </c>
      <c r="G81" s="911" t="s">
        <v>506</v>
      </c>
      <c r="H81" s="912">
        <v>65</v>
      </c>
      <c r="I81" s="634">
        <f t="shared" si="29"/>
        <v>568.899999999996</v>
      </c>
      <c r="J81" s="635">
        <f t="shared" si="32"/>
        <v>21</v>
      </c>
      <c r="K81" s="636">
        <f t="shared" si="24"/>
        <v>5307.9</v>
      </c>
      <c r="M81" s="317"/>
      <c r="N81" s="2">
        <v>27.22</v>
      </c>
      <c r="O81" s="15"/>
      <c r="P81" s="69">
        <f t="shared" si="20"/>
        <v>0</v>
      </c>
      <c r="Q81" s="325"/>
      <c r="R81" s="69">
        <f t="shared" si="21"/>
        <v>0</v>
      </c>
      <c r="S81" s="70"/>
      <c r="T81" s="71"/>
      <c r="U81" s="634">
        <f t="shared" si="30"/>
        <v>12028.599999999997</v>
      </c>
      <c r="V81" s="635">
        <f t="shared" si="33"/>
        <v>442</v>
      </c>
      <c r="W81" s="636">
        <f t="shared" si="25"/>
        <v>0</v>
      </c>
      <c r="Z81" s="317"/>
      <c r="AA81" s="2">
        <v>27.22</v>
      </c>
      <c r="AB81" s="15"/>
      <c r="AC81" s="69">
        <f t="shared" si="22"/>
        <v>0</v>
      </c>
      <c r="AD81" s="325"/>
      <c r="AE81" s="69">
        <f t="shared" si="23"/>
        <v>0</v>
      </c>
      <c r="AF81" s="70"/>
      <c r="AG81" s="71"/>
      <c r="AH81" s="634">
        <f t="shared" si="31"/>
        <v>18506.88</v>
      </c>
      <c r="AI81" s="635">
        <f t="shared" si="34"/>
        <v>680</v>
      </c>
      <c r="AJ81" s="636">
        <f t="shared" si="26"/>
        <v>0</v>
      </c>
    </row>
    <row r="82" spans="1:36" x14ac:dyDescent="0.25">
      <c r="A82" s="317"/>
      <c r="B82" s="2">
        <v>27.22</v>
      </c>
      <c r="C82" s="15"/>
      <c r="D82" s="227">
        <f t="shared" si="27"/>
        <v>0</v>
      </c>
      <c r="E82" s="1062"/>
      <c r="F82" s="227">
        <f t="shared" si="28"/>
        <v>0</v>
      </c>
      <c r="G82" s="911"/>
      <c r="H82" s="912"/>
      <c r="I82" s="634">
        <f t="shared" si="29"/>
        <v>568.899999999996</v>
      </c>
      <c r="J82" s="635">
        <f t="shared" si="32"/>
        <v>21</v>
      </c>
      <c r="K82" s="636">
        <f t="shared" si="24"/>
        <v>0</v>
      </c>
      <c r="M82" s="317"/>
      <c r="N82" s="2">
        <v>27.22</v>
      </c>
      <c r="O82" s="15"/>
      <c r="P82" s="69">
        <f t="shared" si="20"/>
        <v>0</v>
      </c>
      <c r="Q82" s="325"/>
      <c r="R82" s="69">
        <f t="shared" si="21"/>
        <v>0</v>
      </c>
      <c r="S82" s="70"/>
      <c r="T82" s="71"/>
      <c r="U82" s="634">
        <f t="shared" si="30"/>
        <v>12028.599999999997</v>
      </c>
      <c r="V82" s="635">
        <f t="shared" si="33"/>
        <v>442</v>
      </c>
      <c r="W82" s="636">
        <f t="shared" si="25"/>
        <v>0</v>
      </c>
      <c r="Z82" s="317"/>
      <c r="AA82" s="2">
        <v>27.22</v>
      </c>
      <c r="AB82" s="15"/>
      <c r="AC82" s="69">
        <f t="shared" si="22"/>
        <v>0</v>
      </c>
      <c r="AD82" s="325"/>
      <c r="AE82" s="69">
        <f t="shared" si="23"/>
        <v>0</v>
      </c>
      <c r="AF82" s="70"/>
      <c r="AG82" s="71"/>
      <c r="AH82" s="634">
        <f t="shared" si="31"/>
        <v>18506.88</v>
      </c>
      <c r="AI82" s="635">
        <f t="shared" si="34"/>
        <v>680</v>
      </c>
      <c r="AJ82" s="636">
        <f t="shared" si="26"/>
        <v>0</v>
      </c>
    </row>
    <row r="83" spans="1:36" x14ac:dyDescent="0.25">
      <c r="A83" s="317"/>
      <c r="B83" s="2">
        <v>27.22</v>
      </c>
      <c r="C83" s="15"/>
      <c r="D83" s="227">
        <f t="shared" si="27"/>
        <v>0</v>
      </c>
      <c r="E83" s="1062"/>
      <c r="F83" s="227">
        <f t="shared" si="28"/>
        <v>0</v>
      </c>
      <c r="G83" s="911"/>
      <c r="H83" s="912"/>
      <c r="I83" s="634">
        <f t="shared" si="29"/>
        <v>568.899999999996</v>
      </c>
      <c r="J83" s="635">
        <f t="shared" si="32"/>
        <v>21</v>
      </c>
      <c r="K83" s="636">
        <f t="shared" si="24"/>
        <v>0</v>
      </c>
      <c r="M83" s="317"/>
      <c r="N83" s="2">
        <v>27.22</v>
      </c>
      <c r="O83" s="15"/>
      <c r="P83" s="69">
        <f t="shared" si="20"/>
        <v>0</v>
      </c>
      <c r="Q83" s="325"/>
      <c r="R83" s="69">
        <f t="shared" si="21"/>
        <v>0</v>
      </c>
      <c r="S83" s="70"/>
      <c r="T83" s="71"/>
      <c r="U83" s="634">
        <f t="shared" si="30"/>
        <v>12028.599999999997</v>
      </c>
      <c r="V83" s="635">
        <f t="shared" si="33"/>
        <v>442</v>
      </c>
      <c r="W83" s="636">
        <f t="shared" si="25"/>
        <v>0</v>
      </c>
      <c r="Z83" s="317"/>
      <c r="AA83" s="2">
        <v>27.22</v>
      </c>
      <c r="AB83" s="15"/>
      <c r="AC83" s="69">
        <f t="shared" si="22"/>
        <v>0</v>
      </c>
      <c r="AD83" s="325"/>
      <c r="AE83" s="69">
        <f t="shared" si="23"/>
        <v>0</v>
      </c>
      <c r="AF83" s="70"/>
      <c r="AG83" s="71"/>
      <c r="AH83" s="634">
        <f t="shared" si="31"/>
        <v>18506.88</v>
      </c>
      <c r="AI83" s="635">
        <f t="shared" si="34"/>
        <v>680</v>
      </c>
      <c r="AJ83" s="636">
        <f t="shared" si="26"/>
        <v>0</v>
      </c>
    </row>
    <row r="84" spans="1:36" x14ac:dyDescent="0.25">
      <c r="A84" s="317"/>
      <c r="B84" s="2">
        <v>27.22</v>
      </c>
      <c r="C84" s="15">
        <v>21</v>
      </c>
      <c r="D84" s="227">
        <f t="shared" si="27"/>
        <v>571.62</v>
      </c>
      <c r="E84" s="1062"/>
      <c r="F84" s="227">
        <f t="shared" si="28"/>
        <v>571.62</v>
      </c>
      <c r="G84" s="911"/>
      <c r="H84" s="912"/>
      <c r="I84" s="634">
        <f t="shared" si="29"/>
        <v>-2.7200000000040063</v>
      </c>
      <c r="J84" s="635">
        <f t="shared" si="32"/>
        <v>0</v>
      </c>
      <c r="K84" s="636">
        <f t="shared" si="24"/>
        <v>0</v>
      </c>
      <c r="M84" s="317"/>
      <c r="N84" s="2">
        <v>27.22</v>
      </c>
      <c r="O84" s="15"/>
      <c r="P84" s="69">
        <f t="shared" si="20"/>
        <v>0</v>
      </c>
      <c r="Q84" s="325"/>
      <c r="R84" s="69">
        <f t="shared" si="21"/>
        <v>0</v>
      </c>
      <c r="S84" s="70"/>
      <c r="T84" s="71"/>
      <c r="U84" s="634">
        <f t="shared" si="30"/>
        <v>12028.599999999997</v>
      </c>
      <c r="V84" s="635">
        <f t="shared" si="33"/>
        <v>442</v>
      </c>
      <c r="W84" s="636">
        <f t="shared" si="25"/>
        <v>0</v>
      </c>
      <c r="Z84" s="317"/>
      <c r="AA84" s="2">
        <v>27.22</v>
      </c>
      <c r="AB84" s="15"/>
      <c r="AC84" s="69">
        <f t="shared" si="22"/>
        <v>0</v>
      </c>
      <c r="AD84" s="325"/>
      <c r="AE84" s="69">
        <f t="shared" si="23"/>
        <v>0</v>
      </c>
      <c r="AF84" s="70"/>
      <c r="AG84" s="71"/>
      <c r="AH84" s="634">
        <f t="shared" si="31"/>
        <v>18506.88</v>
      </c>
      <c r="AI84" s="635">
        <f t="shared" si="34"/>
        <v>680</v>
      </c>
      <c r="AJ84" s="636">
        <f t="shared" si="26"/>
        <v>0</v>
      </c>
    </row>
    <row r="85" spans="1:36" x14ac:dyDescent="0.25">
      <c r="A85" s="317"/>
      <c r="B85" s="2">
        <v>27.22</v>
      </c>
      <c r="C85" s="15"/>
      <c r="D85" s="227">
        <f t="shared" si="27"/>
        <v>0</v>
      </c>
      <c r="E85" s="1062"/>
      <c r="F85" s="227">
        <f t="shared" si="28"/>
        <v>0</v>
      </c>
      <c r="G85" s="911"/>
      <c r="H85" s="912"/>
      <c r="I85" s="1174">
        <f t="shared" si="29"/>
        <v>-2.7200000000040063</v>
      </c>
      <c r="J85" s="1175">
        <f t="shared" si="32"/>
        <v>0</v>
      </c>
      <c r="K85" s="1176">
        <f t="shared" si="24"/>
        <v>0</v>
      </c>
      <c r="M85" s="317"/>
      <c r="N85" s="2">
        <v>27.22</v>
      </c>
      <c r="O85" s="15"/>
      <c r="P85" s="69">
        <f t="shared" si="20"/>
        <v>0</v>
      </c>
      <c r="Q85" s="325"/>
      <c r="R85" s="69">
        <f t="shared" si="21"/>
        <v>0</v>
      </c>
      <c r="S85" s="70"/>
      <c r="T85" s="71"/>
      <c r="U85" s="634">
        <f t="shared" si="30"/>
        <v>12028.599999999997</v>
      </c>
      <c r="V85" s="635">
        <f t="shared" si="33"/>
        <v>442</v>
      </c>
      <c r="W85" s="636">
        <f t="shared" si="25"/>
        <v>0</v>
      </c>
      <c r="Z85" s="317"/>
      <c r="AA85" s="2">
        <v>27.22</v>
      </c>
      <c r="AB85" s="15"/>
      <c r="AC85" s="69">
        <f t="shared" si="22"/>
        <v>0</v>
      </c>
      <c r="AD85" s="325"/>
      <c r="AE85" s="69">
        <f t="shared" si="23"/>
        <v>0</v>
      </c>
      <c r="AF85" s="70"/>
      <c r="AG85" s="71"/>
      <c r="AH85" s="634">
        <f t="shared" si="31"/>
        <v>18506.88</v>
      </c>
      <c r="AI85" s="635">
        <f t="shared" si="34"/>
        <v>680</v>
      </c>
      <c r="AJ85" s="636">
        <f t="shared" si="26"/>
        <v>0</v>
      </c>
    </row>
    <row r="86" spans="1:36" x14ac:dyDescent="0.25">
      <c r="A86" s="317"/>
      <c r="B86" s="2">
        <v>27.22</v>
      </c>
      <c r="C86" s="15"/>
      <c r="D86" s="227">
        <f t="shared" si="27"/>
        <v>0</v>
      </c>
      <c r="E86" s="1062"/>
      <c r="F86" s="227">
        <f t="shared" si="28"/>
        <v>0</v>
      </c>
      <c r="G86" s="911"/>
      <c r="H86" s="912"/>
      <c r="I86" s="1174">
        <f t="shared" si="29"/>
        <v>-2.7200000000040063</v>
      </c>
      <c r="J86" s="1175">
        <f t="shared" si="32"/>
        <v>0</v>
      </c>
      <c r="K86" s="1176">
        <f t="shared" si="24"/>
        <v>0</v>
      </c>
      <c r="M86" s="317"/>
      <c r="N86" s="2">
        <v>27.22</v>
      </c>
      <c r="O86" s="15"/>
      <c r="P86" s="69">
        <f t="shared" si="20"/>
        <v>0</v>
      </c>
      <c r="Q86" s="325"/>
      <c r="R86" s="69">
        <f t="shared" si="21"/>
        <v>0</v>
      </c>
      <c r="S86" s="70"/>
      <c r="T86" s="71"/>
      <c r="U86" s="634">
        <f t="shared" si="30"/>
        <v>12028.599999999997</v>
      </c>
      <c r="V86" s="635">
        <f t="shared" si="33"/>
        <v>442</v>
      </c>
      <c r="W86" s="636">
        <f t="shared" si="25"/>
        <v>0</v>
      </c>
      <c r="Z86" s="317"/>
      <c r="AA86" s="2">
        <v>27.22</v>
      </c>
      <c r="AB86" s="15"/>
      <c r="AC86" s="69">
        <f t="shared" si="22"/>
        <v>0</v>
      </c>
      <c r="AD86" s="325"/>
      <c r="AE86" s="69">
        <f t="shared" si="23"/>
        <v>0</v>
      </c>
      <c r="AF86" s="70"/>
      <c r="AG86" s="71"/>
      <c r="AH86" s="634">
        <f t="shared" si="31"/>
        <v>18506.88</v>
      </c>
      <c r="AI86" s="635">
        <f t="shared" si="34"/>
        <v>680</v>
      </c>
      <c r="AJ86" s="636">
        <f t="shared" si="26"/>
        <v>0</v>
      </c>
    </row>
    <row r="87" spans="1:36" x14ac:dyDescent="0.25">
      <c r="A87" s="317"/>
      <c r="B87" s="2">
        <v>27.22</v>
      </c>
      <c r="C87" s="15"/>
      <c r="D87" s="227">
        <f t="shared" si="27"/>
        <v>0</v>
      </c>
      <c r="E87" s="1062"/>
      <c r="F87" s="227">
        <f t="shared" si="28"/>
        <v>0</v>
      </c>
      <c r="G87" s="911"/>
      <c r="H87" s="912"/>
      <c r="I87" s="1174">
        <f t="shared" si="29"/>
        <v>-2.7200000000040063</v>
      </c>
      <c r="J87" s="1175">
        <f t="shared" si="32"/>
        <v>0</v>
      </c>
      <c r="K87" s="1176">
        <f t="shared" si="24"/>
        <v>0</v>
      </c>
      <c r="M87" s="317"/>
      <c r="N87" s="2">
        <v>27.22</v>
      </c>
      <c r="O87" s="15"/>
      <c r="P87" s="69">
        <f t="shared" si="20"/>
        <v>0</v>
      </c>
      <c r="Q87" s="325"/>
      <c r="R87" s="69">
        <f t="shared" si="21"/>
        <v>0</v>
      </c>
      <c r="S87" s="70"/>
      <c r="T87" s="71"/>
      <c r="U87" s="634">
        <f t="shared" si="30"/>
        <v>12028.599999999997</v>
      </c>
      <c r="V87" s="635">
        <f t="shared" si="33"/>
        <v>442</v>
      </c>
      <c r="W87" s="636">
        <f t="shared" si="25"/>
        <v>0</v>
      </c>
      <c r="Z87" s="317"/>
      <c r="AA87" s="2">
        <v>27.22</v>
      </c>
      <c r="AB87" s="15"/>
      <c r="AC87" s="69">
        <f t="shared" si="22"/>
        <v>0</v>
      </c>
      <c r="AD87" s="325"/>
      <c r="AE87" s="69">
        <f t="shared" si="23"/>
        <v>0</v>
      </c>
      <c r="AF87" s="70"/>
      <c r="AG87" s="71"/>
      <c r="AH87" s="634">
        <f t="shared" si="31"/>
        <v>18506.88</v>
      </c>
      <c r="AI87" s="635">
        <f t="shared" si="34"/>
        <v>680</v>
      </c>
      <c r="AJ87" s="636">
        <f t="shared" si="26"/>
        <v>0</v>
      </c>
    </row>
    <row r="88" spans="1:36" x14ac:dyDescent="0.25">
      <c r="A88" s="317"/>
      <c r="B88" s="2">
        <v>27.22</v>
      </c>
      <c r="C88" s="15"/>
      <c r="D88" s="227">
        <f t="shared" si="27"/>
        <v>0</v>
      </c>
      <c r="E88" s="1062"/>
      <c r="F88" s="227">
        <f t="shared" si="28"/>
        <v>0</v>
      </c>
      <c r="G88" s="911"/>
      <c r="H88" s="912"/>
      <c r="I88" s="1174">
        <f t="shared" si="29"/>
        <v>-2.7200000000040063</v>
      </c>
      <c r="J88" s="1175">
        <f t="shared" si="32"/>
        <v>0</v>
      </c>
      <c r="K88" s="1176">
        <f t="shared" si="24"/>
        <v>0</v>
      </c>
      <c r="M88" s="317"/>
      <c r="N88" s="2">
        <v>27.22</v>
      </c>
      <c r="O88" s="15"/>
      <c r="P88" s="69">
        <f t="shared" si="20"/>
        <v>0</v>
      </c>
      <c r="Q88" s="325"/>
      <c r="R88" s="69">
        <f t="shared" si="21"/>
        <v>0</v>
      </c>
      <c r="S88" s="70"/>
      <c r="T88" s="71"/>
      <c r="U88" s="634">
        <f t="shared" si="30"/>
        <v>12028.599999999997</v>
      </c>
      <c r="V88" s="635">
        <f t="shared" si="33"/>
        <v>442</v>
      </c>
      <c r="W88" s="636">
        <f t="shared" si="25"/>
        <v>0</v>
      </c>
      <c r="Z88" s="317"/>
      <c r="AA88" s="2">
        <v>27.22</v>
      </c>
      <c r="AB88" s="15"/>
      <c r="AC88" s="69">
        <f t="shared" si="22"/>
        <v>0</v>
      </c>
      <c r="AD88" s="325"/>
      <c r="AE88" s="69">
        <f t="shared" si="23"/>
        <v>0</v>
      </c>
      <c r="AF88" s="70"/>
      <c r="AG88" s="71"/>
      <c r="AH88" s="634">
        <f t="shared" si="31"/>
        <v>18506.88</v>
      </c>
      <c r="AI88" s="635">
        <f t="shared" si="34"/>
        <v>680</v>
      </c>
      <c r="AJ88" s="636">
        <f t="shared" si="26"/>
        <v>0</v>
      </c>
    </row>
    <row r="89" spans="1:36" x14ac:dyDescent="0.25">
      <c r="A89" s="317"/>
      <c r="B89" s="2">
        <v>27.22</v>
      </c>
      <c r="C89" s="15"/>
      <c r="D89" s="69">
        <f t="shared" si="27"/>
        <v>0</v>
      </c>
      <c r="E89" s="325"/>
      <c r="F89" s="69">
        <f t="shared" si="28"/>
        <v>0</v>
      </c>
      <c r="G89" s="70"/>
      <c r="H89" s="71"/>
      <c r="I89" s="634">
        <f t="shared" si="29"/>
        <v>-2.7200000000040063</v>
      </c>
      <c r="J89" s="635">
        <f t="shared" si="32"/>
        <v>0</v>
      </c>
      <c r="K89" s="636">
        <f t="shared" si="24"/>
        <v>0</v>
      </c>
      <c r="M89" s="317"/>
      <c r="N89" s="2">
        <v>27.22</v>
      </c>
      <c r="O89" s="15"/>
      <c r="P89" s="69">
        <f t="shared" si="20"/>
        <v>0</v>
      </c>
      <c r="Q89" s="325"/>
      <c r="R89" s="69">
        <f t="shared" si="21"/>
        <v>0</v>
      </c>
      <c r="S89" s="70"/>
      <c r="T89" s="71"/>
      <c r="U89" s="634">
        <f t="shared" si="30"/>
        <v>12028.599999999997</v>
      </c>
      <c r="V89" s="635">
        <f t="shared" si="33"/>
        <v>442</v>
      </c>
      <c r="W89" s="636">
        <f t="shared" si="25"/>
        <v>0</v>
      </c>
      <c r="Z89" s="317"/>
      <c r="AA89" s="2">
        <v>27.22</v>
      </c>
      <c r="AB89" s="15"/>
      <c r="AC89" s="69">
        <f t="shared" si="22"/>
        <v>0</v>
      </c>
      <c r="AD89" s="325"/>
      <c r="AE89" s="69">
        <f t="shared" si="23"/>
        <v>0</v>
      </c>
      <c r="AF89" s="70"/>
      <c r="AG89" s="71"/>
      <c r="AH89" s="634">
        <f t="shared" si="31"/>
        <v>18506.88</v>
      </c>
      <c r="AI89" s="635">
        <f t="shared" si="34"/>
        <v>680</v>
      </c>
      <c r="AJ89" s="636">
        <f t="shared" si="26"/>
        <v>0</v>
      </c>
    </row>
    <row r="90" spans="1:36" x14ac:dyDescent="0.25">
      <c r="A90" s="317"/>
      <c r="B90" s="2">
        <v>27.22</v>
      </c>
      <c r="C90" s="15"/>
      <c r="D90" s="69">
        <f t="shared" si="27"/>
        <v>0</v>
      </c>
      <c r="E90" s="325"/>
      <c r="F90" s="69">
        <f t="shared" si="28"/>
        <v>0</v>
      </c>
      <c r="G90" s="70"/>
      <c r="H90" s="71"/>
      <c r="I90" s="634">
        <f t="shared" si="29"/>
        <v>-2.7200000000040063</v>
      </c>
      <c r="J90" s="635">
        <f t="shared" si="32"/>
        <v>0</v>
      </c>
      <c r="K90" s="636">
        <f t="shared" si="24"/>
        <v>0</v>
      </c>
      <c r="M90" s="317"/>
      <c r="N90" s="2">
        <v>27.22</v>
      </c>
      <c r="O90" s="15"/>
      <c r="P90" s="69">
        <f t="shared" si="20"/>
        <v>0</v>
      </c>
      <c r="Q90" s="325"/>
      <c r="R90" s="69">
        <f t="shared" si="21"/>
        <v>0</v>
      </c>
      <c r="S90" s="70"/>
      <c r="T90" s="71"/>
      <c r="U90" s="634">
        <f t="shared" si="30"/>
        <v>12028.599999999997</v>
      </c>
      <c r="V90" s="635">
        <f t="shared" si="33"/>
        <v>442</v>
      </c>
      <c r="W90" s="636">
        <f t="shared" si="25"/>
        <v>0</v>
      </c>
      <c r="Z90" s="317"/>
      <c r="AA90" s="2">
        <v>27.22</v>
      </c>
      <c r="AB90" s="15"/>
      <c r="AC90" s="69">
        <f t="shared" si="22"/>
        <v>0</v>
      </c>
      <c r="AD90" s="325"/>
      <c r="AE90" s="69">
        <f t="shared" si="23"/>
        <v>0</v>
      </c>
      <c r="AF90" s="70"/>
      <c r="AG90" s="71"/>
      <c r="AH90" s="634">
        <f t="shared" si="31"/>
        <v>18506.88</v>
      </c>
      <c r="AI90" s="635">
        <f t="shared" si="34"/>
        <v>680</v>
      </c>
      <c r="AJ90" s="636">
        <f t="shared" si="26"/>
        <v>0</v>
      </c>
    </row>
    <row r="91" spans="1:36" x14ac:dyDescent="0.25">
      <c r="A91" s="317"/>
      <c r="B91" s="2">
        <v>27.22</v>
      </c>
      <c r="C91" s="15"/>
      <c r="D91" s="69">
        <f t="shared" si="27"/>
        <v>0</v>
      </c>
      <c r="E91" s="325"/>
      <c r="F91" s="69">
        <f t="shared" si="28"/>
        <v>0</v>
      </c>
      <c r="G91" s="70"/>
      <c r="H91" s="71"/>
      <c r="I91" s="634">
        <f t="shared" si="29"/>
        <v>-2.7200000000040063</v>
      </c>
      <c r="J91" s="635">
        <f t="shared" si="32"/>
        <v>0</v>
      </c>
      <c r="K91" s="636">
        <f t="shared" si="24"/>
        <v>0</v>
      </c>
      <c r="M91" s="317"/>
      <c r="N91" s="2">
        <v>27.22</v>
      </c>
      <c r="O91" s="15"/>
      <c r="P91" s="69">
        <f t="shared" si="20"/>
        <v>0</v>
      </c>
      <c r="Q91" s="325"/>
      <c r="R91" s="69">
        <f t="shared" si="21"/>
        <v>0</v>
      </c>
      <c r="S91" s="70"/>
      <c r="T91" s="71"/>
      <c r="U91" s="634">
        <f t="shared" si="30"/>
        <v>12028.599999999997</v>
      </c>
      <c r="V91" s="635">
        <f t="shared" si="33"/>
        <v>442</v>
      </c>
      <c r="W91" s="636">
        <f t="shared" si="25"/>
        <v>0</v>
      </c>
      <c r="Z91" s="317"/>
      <c r="AA91" s="2">
        <v>27.22</v>
      </c>
      <c r="AB91" s="15"/>
      <c r="AC91" s="69">
        <f t="shared" si="22"/>
        <v>0</v>
      </c>
      <c r="AD91" s="325"/>
      <c r="AE91" s="69">
        <f t="shared" si="23"/>
        <v>0</v>
      </c>
      <c r="AF91" s="70"/>
      <c r="AG91" s="71"/>
      <c r="AH91" s="634">
        <f t="shared" si="31"/>
        <v>18506.88</v>
      </c>
      <c r="AI91" s="635">
        <f t="shared" si="34"/>
        <v>680</v>
      </c>
      <c r="AJ91" s="636">
        <f t="shared" si="26"/>
        <v>0</v>
      </c>
    </row>
    <row r="92" spans="1:36" x14ac:dyDescent="0.25">
      <c r="A92" s="317"/>
      <c r="B92" s="2">
        <v>27.22</v>
      </c>
      <c r="C92" s="15"/>
      <c r="D92" s="69">
        <f t="shared" si="27"/>
        <v>0</v>
      </c>
      <c r="E92" s="325"/>
      <c r="F92" s="69">
        <f t="shared" si="28"/>
        <v>0</v>
      </c>
      <c r="G92" s="70"/>
      <c r="H92" s="71"/>
      <c r="I92" s="634">
        <f t="shared" si="29"/>
        <v>-2.7200000000040063</v>
      </c>
      <c r="J92" s="635">
        <f t="shared" si="32"/>
        <v>0</v>
      </c>
      <c r="K92" s="636">
        <f t="shared" si="24"/>
        <v>0</v>
      </c>
      <c r="M92" s="317"/>
      <c r="N92" s="2">
        <v>27.22</v>
      </c>
      <c r="O92" s="15"/>
      <c r="P92" s="69">
        <f t="shared" si="20"/>
        <v>0</v>
      </c>
      <c r="Q92" s="325"/>
      <c r="R92" s="69">
        <f t="shared" si="21"/>
        <v>0</v>
      </c>
      <c r="S92" s="70"/>
      <c r="T92" s="71"/>
      <c r="U92" s="634">
        <f t="shared" si="30"/>
        <v>12028.599999999997</v>
      </c>
      <c r="V92" s="635">
        <f t="shared" si="33"/>
        <v>442</v>
      </c>
      <c r="W92" s="636">
        <f t="shared" si="25"/>
        <v>0</v>
      </c>
      <c r="Z92" s="317"/>
      <c r="AA92" s="2">
        <v>27.22</v>
      </c>
      <c r="AB92" s="15"/>
      <c r="AC92" s="69">
        <f t="shared" si="22"/>
        <v>0</v>
      </c>
      <c r="AD92" s="325"/>
      <c r="AE92" s="69">
        <f t="shared" si="23"/>
        <v>0</v>
      </c>
      <c r="AF92" s="70"/>
      <c r="AG92" s="71"/>
      <c r="AH92" s="634">
        <f t="shared" si="31"/>
        <v>18506.88</v>
      </c>
      <c r="AI92" s="635">
        <f t="shared" si="34"/>
        <v>680</v>
      </c>
      <c r="AJ92" s="636">
        <f t="shared" si="26"/>
        <v>0</v>
      </c>
    </row>
    <row r="93" spans="1:36" x14ac:dyDescent="0.25">
      <c r="A93" s="317"/>
      <c r="B93" s="2">
        <v>27.22</v>
      </c>
      <c r="C93" s="15"/>
      <c r="D93" s="69">
        <f t="shared" si="27"/>
        <v>0</v>
      </c>
      <c r="E93" s="325"/>
      <c r="F93" s="69">
        <f t="shared" si="28"/>
        <v>0</v>
      </c>
      <c r="G93" s="70"/>
      <c r="H93" s="71"/>
      <c r="I93" s="634">
        <f t="shared" si="29"/>
        <v>-2.7200000000040063</v>
      </c>
      <c r="J93" s="635">
        <f t="shared" si="32"/>
        <v>0</v>
      </c>
      <c r="K93" s="636">
        <f t="shared" si="24"/>
        <v>0</v>
      </c>
      <c r="M93" s="317"/>
      <c r="N93" s="2">
        <v>27.22</v>
      </c>
      <c r="O93" s="15"/>
      <c r="P93" s="69">
        <f t="shared" si="20"/>
        <v>0</v>
      </c>
      <c r="Q93" s="325"/>
      <c r="R93" s="69">
        <f t="shared" si="21"/>
        <v>0</v>
      </c>
      <c r="S93" s="70"/>
      <c r="T93" s="71"/>
      <c r="U93" s="634">
        <f t="shared" si="30"/>
        <v>12028.599999999997</v>
      </c>
      <c r="V93" s="635">
        <f t="shared" si="33"/>
        <v>442</v>
      </c>
      <c r="W93" s="636">
        <f t="shared" si="25"/>
        <v>0</v>
      </c>
      <c r="Z93" s="317"/>
      <c r="AA93" s="2">
        <v>27.22</v>
      </c>
      <c r="AB93" s="15"/>
      <c r="AC93" s="69">
        <f t="shared" si="22"/>
        <v>0</v>
      </c>
      <c r="AD93" s="325"/>
      <c r="AE93" s="69">
        <f t="shared" si="23"/>
        <v>0</v>
      </c>
      <c r="AF93" s="70"/>
      <c r="AG93" s="71"/>
      <c r="AH93" s="634">
        <f t="shared" si="31"/>
        <v>18506.88</v>
      </c>
      <c r="AI93" s="635">
        <f t="shared" si="34"/>
        <v>680</v>
      </c>
      <c r="AJ93" s="636">
        <f t="shared" si="26"/>
        <v>0</v>
      </c>
    </row>
    <row r="94" spans="1:36" x14ac:dyDescent="0.25">
      <c r="A94" s="317"/>
      <c r="B94" s="2">
        <v>27.22</v>
      </c>
      <c r="C94" s="15"/>
      <c r="D94" s="69">
        <f t="shared" si="27"/>
        <v>0</v>
      </c>
      <c r="E94" s="325"/>
      <c r="F94" s="69">
        <f t="shared" si="28"/>
        <v>0</v>
      </c>
      <c r="G94" s="70"/>
      <c r="H94" s="71"/>
      <c r="I94" s="634">
        <f t="shared" si="29"/>
        <v>-2.7200000000040063</v>
      </c>
      <c r="J94" s="635">
        <f t="shared" si="32"/>
        <v>0</v>
      </c>
      <c r="K94" s="636">
        <f t="shared" si="24"/>
        <v>0</v>
      </c>
      <c r="M94" s="317"/>
      <c r="N94" s="2">
        <v>27.22</v>
      </c>
      <c r="O94" s="15"/>
      <c r="P94" s="69">
        <f t="shared" si="20"/>
        <v>0</v>
      </c>
      <c r="Q94" s="325"/>
      <c r="R94" s="69">
        <f t="shared" si="21"/>
        <v>0</v>
      </c>
      <c r="S94" s="70"/>
      <c r="T94" s="71"/>
      <c r="U94" s="634">
        <f t="shared" si="30"/>
        <v>12028.599999999997</v>
      </c>
      <c r="V94" s="635">
        <f t="shared" si="33"/>
        <v>442</v>
      </c>
      <c r="W94" s="636">
        <f t="shared" si="25"/>
        <v>0</v>
      </c>
      <c r="Z94" s="317"/>
      <c r="AA94" s="2">
        <v>27.22</v>
      </c>
      <c r="AB94" s="15"/>
      <c r="AC94" s="69">
        <f t="shared" si="22"/>
        <v>0</v>
      </c>
      <c r="AD94" s="325"/>
      <c r="AE94" s="69">
        <f t="shared" si="23"/>
        <v>0</v>
      </c>
      <c r="AF94" s="70"/>
      <c r="AG94" s="71"/>
      <c r="AH94" s="634">
        <f t="shared" si="31"/>
        <v>18506.88</v>
      </c>
      <c r="AI94" s="635">
        <f t="shared" si="34"/>
        <v>680</v>
      </c>
      <c r="AJ94" s="636">
        <f t="shared" si="26"/>
        <v>0</v>
      </c>
    </row>
    <row r="95" spans="1:36" x14ac:dyDescent="0.25">
      <c r="A95" s="317"/>
      <c r="B95" s="2">
        <v>27.22</v>
      </c>
      <c r="C95" s="15"/>
      <c r="D95" s="69">
        <f t="shared" si="27"/>
        <v>0</v>
      </c>
      <c r="E95" s="325"/>
      <c r="F95" s="69">
        <f t="shared" si="28"/>
        <v>0</v>
      </c>
      <c r="G95" s="70"/>
      <c r="H95" s="71"/>
      <c r="I95" s="634">
        <f t="shared" si="29"/>
        <v>-2.7200000000040063</v>
      </c>
      <c r="J95" s="635">
        <f t="shared" si="32"/>
        <v>0</v>
      </c>
      <c r="K95" s="636">
        <f t="shared" si="24"/>
        <v>0</v>
      </c>
      <c r="M95" s="317"/>
      <c r="N95" s="2">
        <v>27.22</v>
      </c>
      <c r="O95" s="15"/>
      <c r="P95" s="69">
        <f t="shared" si="20"/>
        <v>0</v>
      </c>
      <c r="Q95" s="325"/>
      <c r="R95" s="69">
        <f t="shared" si="21"/>
        <v>0</v>
      </c>
      <c r="S95" s="70"/>
      <c r="T95" s="71"/>
      <c r="U95" s="634">
        <f t="shared" si="30"/>
        <v>12028.599999999997</v>
      </c>
      <c r="V95" s="635">
        <f t="shared" si="33"/>
        <v>442</v>
      </c>
      <c r="W95" s="636">
        <f t="shared" si="25"/>
        <v>0</v>
      </c>
      <c r="Z95" s="317"/>
      <c r="AA95" s="2">
        <v>27.22</v>
      </c>
      <c r="AB95" s="15"/>
      <c r="AC95" s="69">
        <f t="shared" si="22"/>
        <v>0</v>
      </c>
      <c r="AD95" s="325"/>
      <c r="AE95" s="69">
        <f t="shared" si="23"/>
        <v>0</v>
      </c>
      <c r="AF95" s="70"/>
      <c r="AG95" s="71"/>
      <c r="AH95" s="634">
        <f t="shared" si="31"/>
        <v>18506.88</v>
      </c>
      <c r="AI95" s="635">
        <f t="shared" si="34"/>
        <v>680</v>
      </c>
      <c r="AJ95" s="636">
        <f t="shared" si="26"/>
        <v>0</v>
      </c>
    </row>
    <row r="96" spans="1:36" x14ac:dyDescent="0.25">
      <c r="A96" s="317"/>
      <c r="B96" s="2">
        <v>27.22</v>
      </c>
      <c r="C96" s="15"/>
      <c r="D96" s="69">
        <f t="shared" si="27"/>
        <v>0</v>
      </c>
      <c r="E96" s="325"/>
      <c r="F96" s="69">
        <f t="shared" si="28"/>
        <v>0</v>
      </c>
      <c r="G96" s="70"/>
      <c r="H96" s="71"/>
      <c r="I96" s="634">
        <f t="shared" si="29"/>
        <v>-2.7200000000040063</v>
      </c>
      <c r="J96" s="635">
        <f t="shared" si="32"/>
        <v>0</v>
      </c>
      <c r="K96" s="636">
        <f t="shared" si="24"/>
        <v>0</v>
      </c>
      <c r="M96" s="317"/>
      <c r="N96" s="2">
        <v>27.22</v>
      </c>
      <c r="O96" s="15"/>
      <c r="P96" s="69">
        <f t="shared" si="20"/>
        <v>0</v>
      </c>
      <c r="Q96" s="325"/>
      <c r="R96" s="69">
        <f t="shared" si="21"/>
        <v>0</v>
      </c>
      <c r="S96" s="70"/>
      <c r="T96" s="71"/>
      <c r="U96" s="634">
        <f t="shared" si="30"/>
        <v>12028.599999999997</v>
      </c>
      <c r="V96" s="635">
        <f t="shared" si="33"/>
        <v>442</v>
      </c>
      <c r="W96" s="636">
        <f t="shared" si="25"/>
        <v>0</v>
      </c>
      <c r="Z96" s="317"/>
      <c r="AA96" s="2">
        <v>27.22</v>
      </c>
      <c r="AB96" s="15"/>
      <c r="AC96" s="69">
        <f t="shared" si="22"/>
        <v>0</v>
      </c>
      <c r="AD96" s="325"/>
      <c r="AE96" s="69">
        <f t="shared" si="23"/>
        <v>0</v>
      </c>
      <c r="AF96" s="70"/>
      <c r="AG96" s="71"/>
      <c r="AH96" s="634">
        <f t="shared" si="31"/>
        <v>18506.88</v>
      </c>
      <c r="AI96" s="635">
        <f t="shared" si="34"/>
        <v>680</v>
      </c>
      <c r="AJ96" s="636">
        <f t="shared" si="26"/>
        <v>0</v>
      </c>
    </row>
    <row r="97" spans="1:36" x14ac:dyDescent="0.25">
      <c r="A97" s="317"/>
      <c r="B97" s="2">
        <v>27.22</v>
      </c>
      <c r="C97" s="15"/>
      <c r="D97" s="69">
        <f t="shared" si="27"/>
        <v>0</v>
      </c>
      <c r="E97" s="325"/>
      <c r="F97" s="69">
        <f t="shared" si="28"/>
        <v>0</v>
      </c>
      <c r="G97" s="70"/>
      <c r="H97" s="71"/>
      <c r="I97" s="634">
        <f t="shared" si="29"/>
        <v>-2.7200000000040063</v>
      </c>
      <c r="J97" s="635">
        <f t="shared" si="32"/>
        <v>0</v>
      </c>
      <c r="K97" s="636">
        <f t="shared" si="24"/>
        <v>0</v>
      </c>
      <c r="M97" s="317"/>
      <c r="N97" s="2">
        <v>27.22</v>
      </c>
      <c r="O97" s="15"/>
      <c r="P97" s="69">
        <f t="shared" si="20"/>
        <v>0</v>
      </c>
      <c r="Q97" s="325"/>
      <c r="R97" s="69">
        <f t="shared" si="21"/>
        <v>0</v>
      </c>
      <c r="S97" s="70"/>
      <c r="T97" s="71"/>
      <c r="U97" s="634">
        <f t="shared" si="30"/>
        <v>12028.599999999997</v>
      </c>
      <c r="V97" s="635">
        <f t="shared" si="33"/>
        <v>442</v>
      </c>
      <c r="W97" s="636">
        <f t="shared" si="25"/>
        <v>0</v>
      </c>
      <c r="Z97" s="317"/>
      <c r="AA97" s="2">
        <v>27.22</v>
      </c>
      <c r="AB97" s="15"/>
      <c r="AC97" s="69">
        <f t="shared" si="22"/>
        <v>0</v>
      </c>
      <c r="AD97" s="325"/>
      <c r="AE97" s="69">
        <f t="shared" si="23"/>
        <v>0</v>
      </c>
      <c r="AF97" s="70"/>
      <c r="AG97" s="71"/>
      <c r="AH97" s="634">
        <f t="shared" si="31"/>
        <v>18506.88</v>
      </c>
      <c r="AI97" s="635">
        <f t="shared" si="34"/>
        <v>680</v>
      </c>
      <c r="AJ97" s="636">
        <f t="shared" si="26"/>
        <v>0</v>
      </c>
    </row>
    <row r="98" spans="1:36" x14ac:dyDescent="0.25">
      <c r="A98" s="317"/>
      <c r="B98" s="2">
        <v>27.22</v>
      </c>
      <c r="C98" s="15"/>
      <c r="D98" s="69">
        <f t="shared" si="27"/>
        <v>0</v>
      </c>
      <c r="E98" s="325"/>
      <c r="F98" s="69">
        <f t="shared" si="28"/>
        <v>0</v>
      </c>
      <c r="G98" s="70"/>
      <c r="H98" s="71"/>
      <c r="I98" s="634">
        <f t="shared" si="29"/>
        <v>-2.7200000000040063</v>
      </c>
      <c r="J98" s="635">
        <f t="shared" si="32"/>
        <v>0</v>
      </c>
      <c r="K98" s="636">
        <f t="shared" si="24"/>
        <v>0</v>
      </c>
      <c r="M98" s="317"/>
      <c r="N98" s="2">
        <v>27.22</v>
      </c>
      <c r="O98" s="15"/>
      <c r="P98" s="69">
        <f t="shared" si="20"/>
        <v>0</v>
      </c>
      <c r="Q98" s="325"/>
      <c r="R98" s="69">
        <f t="shared" si="21"/>
        <v>0</v>
      </c>
      <c r="S98" s="70"/>
      <c r="T98" s="71"/>
      <c r="U98" s="634">
        <f t="shared" si="30"/>
        <v>12028.599999999997</v>
      </c>
      <c r="V98" s="635">
        <f t="shared" si="33"/>
        <v>442</v>
      </c>
      <c r="W98" s="636">
        <f t="shared" si="25"/>
        <v>0</v>
      </c>
      <c r="Z98" s="317"/>
      <c r="AA98" s="2">
        <v>27.22</v>
      </c>
      <c r="AB98" s="15"/>
      <c r="AC98" s="69">
        <f t="shared" si="22"/>
        <v>0</v>
      </c>
      <c r="AD98" s="325"/>
      <c r="AE98" s="69">
        <f t="shared" si="23"/>
        <v>0</v>
      </c>
      <c r="AF98" s="70"/>
      <c r="AG98" s="71"/>
      <c r="AH98" s="634">
        <f t="shared" si="31"/>
        <v>18506.88</v>
      </c>
      <c r="AI98" s="635">
        <f t="shared" si="34"/>
        <v>680</v>
      </c>
      <c r="AJ98" s="636">
        <f t="shared" si="26"/>
        <v>0</v>
      </c>
    </row>
    <row r="99" spans="1:36" x14ac:dyDescent="0.25">
      <c r="A99" s="317"/>
      <c r="B99" s="2">
        <v>27.22</v>
      </c>
      <c r="C99" s="15"/>
      <c r="D99" s="69">
        <f t="shared" si="27"/>
        <v>0</v>
      </c>
      <c r="E99" s="325"/>
      <c r="F99" s="69">
        <f t="shared" si="28"/>
        <v>0</v>
      </c>
      <c r="G99" s="70"/>
      <c r="H99" s="71"/>
      <c r="I99" s="634">
        <f t="shared" si="29"/>
        <v>-2.7200000000040063</v>
      </c>
      <c r="J99" s="635">
        <f t="shared" si="32"/>
        <v>0</v>
      </c>
      <c r="K99" s="636">
        <f t="shared" si="24"/>
        <v>0</v>
      </c>
      <c r="M99" s="317"/>
      <c r="N99" s="2">
        <v>27.22</v>
      </c>
      <c r="O99" s="15"/>
      <c r="P99" s="69">
        <f t="shared" si="20"/>
        <v>0</v>
      </c>
      <c r="Q99" s="325"/>
      <c r="R99" s="69">
        <f t="shared" si="21"/>
        <v>0</v>
      </c>
      <c r="S99" s="70"/>
      <c r="T99" s="71"/>
      <c r="U99" s="634">
        <f t="shared" si="30"/>
        <v>12028.599999999997</v>
      </c>
      <c r="V99" s="635">
        <f t="shared" si="33"/>
        <v>442</v>
      </c>
      <c r="W99" s="636">
        <f t="shared" si="25"/>
        <v>0</v>
      </c>
      <c r="Z99" s="317"/>
      <c r="AA99" s="2">
        <v>27.22</v>
      </c>
      <c r="AB99" s="15"/>
      <c r="AC99" s="69">
        <f t="shared" si="22"/>
        <v>0</v>
      </c>
      <c r="AD99" s="325"/>
      <c r="AE99" s="69">
        <f t="shared" si="23"/>
        <v>0</v>
      </c>
      <c r="AF99" s="70"/>
      <c r="AG99" s="71"/>
      <c r="AH99" s="634">
        <f t="shared" si="31"/>
        <v>18506.88</v>
      </c>
      <c r="AI99" s="635">
        <f t="shared" si="34"/>
        <v>680</v>
      </c>
      <c r="AJ99" s="636">
        <f t="shared" si="26"/>
        <v>0</v>
      </c>
    </row>
    <row r="100" spans="1:36" x14ac:dyDescent="0.25">
      <c r="A100" s="317"/>
      <c r="B100" s="2">
        <v>27.22</v>
      </c>
      <c r="C100" s="15"/>
      <c r="D100" s="69">
        <f t="shared" si="27"/>
        <v>0</v>
      </c>
      <c r="E100" s="325"/>
      <c r="F100" s="69">
        <f t="shared" si="28"/>
        <v>0</v>
      </c>
      <c r="G100" s="70"/>
      <c r="H100" s="71"/>
      <c r="I100" s="634">
        <f t="shared" si="29"/>
        <v>-2.7200000000040063</v>
      </c>
      <c r="J100" s="635">
        <f t="shared" si="32"/>
        <v>0</v>
      </c>
      <c r="K100" s="636">
        <f t="shared" si="24"/>
        <v>0</v>
      </c>
      <c r="M100" s="317"/>
      <c r="N100" s="2">
        <v>27.22</v>
      </c>
      <c r="O100" s="15"/>
      <c r="P100" s="69">
        <f t="shared" si="20"/>
        <v>0</v>
      </c>
      <c r="Q100" s="325"/>
      <c r="R100" s="69">
        <f t="shared" si="21"/>
        <v>0</v>
      </c>
      <c r="S100" s="70"/>
      <c r="T100" s="71"/>
      <c r="U100" s="634">
        <f t="shared" si="30"/>
        <v>12028.599999999997</v>
      </c>
      <c r="V100" s="635">
        <f t="shared" si="33"/>
        <v>442</v>
      </c>
      <c r="W100" s="636">
        <f t="shared" si="25"/>
        <v>0</v>
      </c>
      <c r="Z100" s="317"/>
      <c r="AA100" s="2">
        <v>27.22</v>
      </c>
      <c r="AB100" s="15"/>
      <c r="AC100" s="69">
        <f t="shared" si="22"/>
        <v>0</v>
      </c>
      <c r="AD100" s="325"/>
      <c r="AE100" s="69">
        <f t="shared" si="23"/>
        <v>0</v>
      </c>
      <c r="AF100" s="70"/>
      <c r="AG100" s="71"/>
      <c r="AH100" s="634">
        <f t="shared" si="31"/>
        <v>18506.88</v>
      </c>
      <c r="AI100" s="635">
        <f t="shared" si="34"/>
        <v>680</v>
      </c>
      <c r="AJ100" s="636">
        <f t="shared" si="26"/>
        <v>0</v>
      </c>
    </row>
    <row r="101" spans="1:36" x14ac:dyDescent="0.25">
      <c r="A101" s="317"/>
      <c r="B101" s="2">
        <v>27.22</v>
      </c>
      <c r="C101" s="15"/>
      <c r="D101" s="69">
        <f t="shared" si="27"/>
        <v>0</v>
      </c>
      <c r="E101" s="325"/>
      <c r="F101" s="69">
        <f t="shared" si="28"/>
        <v>0</v>
      </c>
      <c r="G101" s="70"/>
      <c r="H101" s="71"/>
      <c r="I101" s="634">
        <f t="shared" si="29"/>
        <v>-2.7200000000040063</v>
      </c>
      <c r="J101" s="635">
        <f t="shared" si="32"/>
        <v>0</v>
      </c>
      <c r="K101" s="636">
        <f t="shared" si="24"/>
        <v>0</v>
      </c>
      <c r="M101" s="317"/>
      <c r="N101" s="2">
        <v>27.22</v>
      </c>
      <c r="O101" s="15"/>
      <c r="P101" s="69">
        <f t="shared" si="20"/>
        <v>0</v>
      </c>
      <c r="Q101" s="325"/>
      <c r="R101" s="69">
        <f t="shared" si="21"/>
        <v>0</v>
      </c>
      <c r="S101" s="70"/>
      <c r="T101" s="71"/>
      <c r="U101" s="634">
        <f t="shared" si="30"/>
        <v>12028.599999999997</v>
      </c>
      <c r="V101" s="635">
        <f t="shared" si="33"/>
        <v>442</v>
      </c>
      <c r="W101" s="636">
        <f t="shared" si="25"/>
        <v>0</v>
      </c>
      <c r="Z101" s="317"/>
      <c r="AA101" s="2">
        <v>27.22</v>
      </c>
      <c r="AB101" s="15"/>
      <c r="AC101" s="69">
        <f t="shared" si="22"/>
        <v>0</v>
      </c>
      <c r="AD101" s="325"/>
      <c r="AE101" s="69">
        <f t="shared" si="23"/>
        <v>0</v>
      </c>
      <c r="AF101" s="70"/>
      <c r="AG101" s="71"/>
      <c r="AH101" s="634">
        <f t="shared" si="31"/>
        <v>18506.88</v>
      </c>
      <c r="AI101" s="635">
        <f t="shared" si="34"/>
        <v>680</v>
      </c>
      <c r="AJ101" s="636">
        <f t="shared" si="26"/>
        <v>0</v>
      </c>
    </row>
    <row r="102" spans="1:36" x14ac:dyDescent="0.25">
      <c r="A102" s="317"/>
      <c r="B102" s="2">
        <v>27.22</v>
      </c>
      <c r="C102" s="15"/>
      <c r="D102" s="69">
        <f t="shared" si="27"/>
        <v>0</v>
      </c>
      <c r="E102" s="325"/>
      <c r="F102" s="69">
        <f t="shared" si="28"/>
        <v>0</v>
      </c>
      <c r="G102" s="70"/>
      <c r="H102" s="71"/>
      <c r="I102" s="634">
        <f t="shared" si="29"/>
        <v>-2.7200000000040063</v>
      </c>
      <c r="J102" s="635">
        <f t="shared" si="32"/>
        <v>0</v>
      </c>
      <c r="K102" s="636">
        <f t="shared" si="24"/>
        <v>0</v>
      </c>
      <c r="M102" s="317"/>
      <c r="N102" s="2">
        <v>27.22</v>
      </c>
      <c r="O102" s="15"/>
      <c r="P102" s="69">
        <f t="shared" si="20"/>
        <v>0</v>
      </c>
      <c r="Q102" s="325"/>
      <c r="R102" s="69">
        <f t="shared" si="21"/>
        <v>0</v>
      </c>
      <c r="S102" s="70"/>
      <c r="T102" s="71"/>
      <c r="U102" s="634">
        <f t="shared" si="30"/>
        <v>12028.599999999997</v>
      </c>
      <c r="V102" s="635">
        <f t="shared" si="33"/>
        <v>442</v>
      </c>
      <c r="W102" s="636">
        <f t="shared" si="25"/>
        <v>0</v>
      </c>
      <c r="Z102" s="317"/>
      <c r="AA102" s="2">
        <v>27.22</v>
      </c>
      <c r="AB102" s="15"/>
      <c r="AC102" s="69">
        <f t="shared" si="22"/>
        <v>0</v>
      </c>
      <c r="AD102" s="325"/>
      <c r="AE102" s="69">
        <f t="shared" si="23"/>
        <v>0</v>
      </c>
      <c r="AF102" s="70"/>
      <c r="AG102" s="71"/>
      <c r="AH102" s="634">
        <f t="shared" si="31"/>
        <v>18506.88</v>
      </c>
      <c r="AI102" s="635">
        <f t="shared" si="34"/>
        <v>680</v>
      </c>
      <c r="AJ102" s="636">
        <f t="shared" si="26"/>
        <v>0</v>
      </c>
    </row>
    <row r="103" spans="1:36" x14ac:dyDescent="0.25">
      <c r="A103" s="317"/>
      <c r="B103" s="2">
        <v>27.22</v>
      </c>
      <c r="C103" s="15"/>
      <c r="D103" s="69">
        <f t="shared" si="27"/>
        <v>0</v>
      </c>
      <c r="E103" s="325"/>
      <c r="F103" s="69">
        <f t="shared" si="28"/>
        <v>0</v>
      </c>
      <c r="G103" s="70"/>
      <c r="H103" s="71"/>
      <c r="I103" s="634">
        <f t="shared" si="29"/>
        <v>-2.7200000000040063</v>
      </c>
      <c r="J103" s="635">
        <f t="shared" si="32"/>
        <v>0</v>
      </c>
      <c r="K103" s="636">
        <f t="shared" si="24"/>
        <v>0</v>
      </c>
      <c r="M103" s="317"/>
      <c r="N103" s="2">
        <v>27.22</v>
      </c>
      <c r="O103" s="15"/>
      <c r="P103" s="69">
        <f t="shared" si="20"/>
        <v>0</v>
      </c>
      <c r="Q103" s="325"/>
      <c r="R103" s="69">
        <f t="shared" si="21"/>
        <v>0</v>
      </c>
      <c r="S103" s="70"/>
      <c r="T103" s="71"/>
      <c r="U103" s="634">
        <f t="shared" si="30"/>
        <v>12028.599999999997</v>
      </c>
      <c r="V103" s="635">
        <f t="shared" si="33"/>
        <v>442</v>
      </c>
      <c r="W103" s="636">
        <f t="shared" si="25"/>
        <v>0</v>
      </c>
      <c r="Z103" s="317"/>
      <c r="AA103" s="2">
        <v>27.22</v>
      </c>
      <c r="AB103" s="15"/>
      <c r="AC103" s="69">
        <f t="shared" si="22"/>
        <v>0</v>
      </c>
      <c r="AD103" s="325"/>
      <c r="AE103" s="69">
        <f t="shared" si="23"/>
        <v>0</v>
      </c>
      <c r="AF103" s="70"/>
      <c r="AG103" s="71"/>
      <c r="AH103" s="634">
        <f t="shared" si="31"/>
        <v>18506.88</v>
      </c>
      <c r="AI103" s="635">
        <f t="shared" si="34"/>
        <v>680</v>
      </c>
      <c r="AJ103" s="636">
        <f t="shared" si="26"/>
        <v>0</v>
      </c>
    </row>
    <row r="104" spans="1:36" x14ac:dyDescent="0.25">
      <c r="A104" s="317"/>
      <c r="B104" s="2">
        <v>27.22</v>
      </c>
      <c r="C104" s="15"/>
      <c r="D104" s="69">
        <f t="shared" si="27"/>
        <v>0</v>
      </c>
      <c r="E104" s="325"/>
      <c r="F104" s="69">
        <f t="shared" si="28"/>
        <v>0</v>
      </c>
      <c r="G104" s="70"/>
      <c r="H104" s="71"/>
      <c r="I104" s="634">
        <f t="shared" si="29"/>
        <v>-2.7200000000040063</v>
      </c>
      <c r="J104" s="635">
        <f t="shared" si="32"/>
        <v>0</v>
      </c>
      <c r="K104" s="636">
        <f t="shared" si="24"/>
        <v>0</v>
      </c>
      <c r="M104" s="317"/>
      <c r="N104" s="2">
        <v>27.22</v>
      </c>
      <c r="O104" s="15"/>
      <c r="P104" s="69">
        <f t="shared" si="20"/>
        <v>0</v>
      </c>
      <c r="Q104" s="325"/>
      <c r="R104" s="69">
        <f t="shared" si="21"/>
        <v>0</v>
      </c>
      <c r="S104" s="70"/>
      <c r="T104" s="71"/>
      <c r="U104" s="634">
        <f t="shared" si="30"/>
        <v>12028.599999999997</v>
      </c>
      <c r="V104" s="635">
        <f t="shared" si="33"/>
        <v>442</v>
      </c>
      <c r="W104" s="636">
        <f t="shared" si="25"/>
        <v>0</v>
      </c>
      <c r="Z104" s="317"/>
      <c r="AA104" s="2">
        <v>27.22</v>
      </c>
      <c r="AB104" s="15"/>
      <c r="AC104" s="69">
        <f t="shared" si="22"/>
        <v>0</v>
      </c>
      <c r="AD104" s="325"/>
      <c r="AE104" s="69">
        <f t="shared" si="23"/>
        <v>0</v>
      </c>
      <c r="AF104" s="70"/>
      <c r="AG104" s="71"/>
      <c r="AH104" s="634">
        <f t="shared" si="31"/>
        <v>18506.88</v>
      </c>
      <c r="AI104" s="635">
        <f t="shared" si="34"/>
        <v>680</v>
      </c>
      <c r="AJ104" s="636">
        <f t="shared" si="26"/>
        <v>0</v>
      </c>
    </row>
    <row r="105" spans="1:36" x14ac:dyDescent="0.25">
      <c r="A105" s="317"/>
      <c r="B105" s="2">
        <v>27.22</v>
      </c>
      <c r="C105" s="15"/>
      <c r="D105" s="69">
        <f t="shared" si="27"/>
        <v>0</v>
      </c>
      <c r="E105" s="325"/>
      <c r="F105" s="69">
        <f t="shared" si="28"/>
        <v>0</v>
      </c>
      <c r="G105" s="70"/>
      <c r="H105" s="71"/>
      <c r="I105" s="634">
        <f t="shared" si="29"/>
        <v>-2.7200000000040063</v>
      </c>
      <c r="J105" s="635">
        <f t="shared" si="32"/>
        <v>0</v>
      </c>
      <c r="K105" s="636">
        <f t="shared" si="24"/>
        <v>0</v>
      </c>
      <c r="M105" s="317"/>
      <c r="N105" s="2">
        <v>27.22</v>
      </c>
      <c r="O105" s="15"/>
      <c r="P105" s="69">
        <f t="shared" si="20"/>
        <v>0</v>
      </c>
      <c r="Q105" s="325"/>
      <c r="R105" s="69">
        <f t="shared" si="21"/>
        <v>0</v>
      </c>
      <c r="S105" s="70"/>
      <c r="T105" s="71"/>
      <c r="U105" s="634">
        <f t="shared" si="30"/>
        <v>12028.599999999997</v>
      </c>
      <c r="V105" s="635">
        <f t="shared" si="33"/>
        <v>442</v>
      </c>
      <c r="W105" s="636">
        <f t="shared" si="25"/>
        <v>0</v>
      </c>
      <c r="Z105" s="317"/>
      <c r="AA105" s="2">
        <v>27.22</v>
      </c>
      <c r="AB105" s="15"/>
      <c r="AC105" s="69">
        <f t="shared" si="22"/>
        <v>0</v>
      </c>
      <c r="AD105" s="325"/>
      <c r="AE105" s="69">
        <f t="shared" si="23"/>
        <v>0</v>
      </c>
      <c r="AF105" s="70"/>
      <c r="AG105" s="71"/>
      <c r="AH105" s="634">
        <f t="shared" si="31"/>
        <v>18506.88</v>
      </c>
      <c r="AI105" s="635">
        <f t="shared" si="34"/>
        <v>680</v>
      </c>
      <c r="AJ105" s="636">
        <f t="shared" si="26"/>
        <v>0</v>
      </c>
    </row>
    <row r="106" spans="1:36" x14ac:dyDescent="0.25">
      <c r="A106" s="317"/>
      <c r="B106" s="2">
        <v>27.22</v>
      </c>
      <c r="C106" s="15"/>
      <c r="D106" s="69">
        <f t="shared" si="27"/>
        <v>0</v>
      </c>
      <c r="E106" s="325"/>
      <c r="F106" s="69">
        <f t="shared" si="28"/>
        <v>0</v>
      </c>
      <c r="G106" s="70"/>
      <c r="H106" s="71"/>
      <c r="I106" s="634">
        <f t="shared" si="29"/>
        <v>-2.7200000000040063</v>
      </c>
      <c r="J106" s="635">
        <f t="shared" si="32"/>
        <v>0</v>
      </c>
      <c r="K106" s="636">
        <f t="shared" si="24"/>
        <v>0</v>
      </c>
      <c r="M106" s="317"/>
      <c r="N106" s="2">
        <v>27.22</v>
      </c>
      <c r="O106" s="15"/>
      <c r="P106" s="69">
        <f t="shared" si="20"/>
        <v>0</v>
      </c>
      <c r="Q106" s="325"/>
      <c r="R106" s="69">
        <f t="shared" si="21"/>
        <v>0</v>
      </c>
      <c r="S106" s="70"/>
      <c r="T106" s="71"/>
      <c r="U106" s="634">
        <f t="shared" si="30"/>
        <v>12028.599999999997</v>
      </c>
      <c r="V106" s="635">
        <f t="shared" si="33"/>
        <v>442</v>
      </c>
      <c r="W106" s="636">
        <f t="shared" si="25"/>
        <v>0</v>
      </c>
      <c r="Z106" s="317"/>
      <c r="AA106" s="2">
        <v>27.22</v>
      </c>
      <c r="AB106" s="15"/>
      <c r="AC106" s="69">
        <f t="shared" si="22"/>
        <v>0</v>
      </c>
      <c r="AD106" s="325"/>
      <c r="AE106" s="69">
        <f t="shared" si="23"/>
        <v>0</v>
      </c>
      <c r="AF106" s="70"/>
      <c r="AG106" s="71"/>
      <c r="AH106" s="634">
        <f t="shared" si="31"/>
        <v>18506.88</v>
      </c>
      <c r="AI106" s="635">
        <f t="shared" si="34"/>
        <v>680</v>
      </c>
      <c r="AJ106" s="636">
        <f t="shared" si="26"/>
        <v>0</v>
      </c>
    </row>
    <row r="107" spans="1:36" x14ac:dyDescent="0.25">
      <c r="A107" s="317"/>
      <c r="B107" s="2">
        <v>27.22</v>
      </c>
      <c r="C107" s="15"/>
      <c r="D107" s="69">
        <f t="shared" si="27"/>
        <v>0</v>
      </c>
      <c r="E107" s="325"/>
      <c r="F107" s="69">
        <f t="shared" si="28"/>
        <v>0</v>
      </c>
      <c r="G107" s="70"/>
      <c r="H107" s="71"/>
      <c r="I107" s="634">
        <f t="shared" si="29"/>
        <v>-2.7200000000040063</v>
      </c>
      <c r="J107" s="635">
        <f t="shared" si="32"/>
        <v>0</v>
      </c>
      <c r="K107" s="636">
        <f t="shared" si="24"/>
        <v>0</v>
      </c>
      <c r="M107" s="317"/>
      <c r="N107" s="2">
        <v>27.22</v>
      </c>
      <c r="O107" s="15"/>
      <c r="P107" s="69">
        <f t="shared" si="20"/>
        <v>0</v>
      </c>
      <c r="Q107" s="325"/>
      <c r="R107" s="69">
        <f t="shared" si="21"/>
        <v>0</v>
      </c>
      <c r="S107" s="70"/>
      <c r="T107" s="71"/>
      <c r="U107" s="634">
        <f t="shared" si="30"/>
        <v>12028.599999999997</v>
      </c>
      <c r="V107" s="635">
        <f t="shared" si="33"/>
        <v>442</v>
      </c>
      <c r="W107" s="636">
        <f t="shared" si="25"/>
        <v>0</v>
      </c>
      <c r="Z107" s="317"/>
      <c r="AA107" s="2">
        <v>27.22</v>
      </c>
      <c r="AB107" s="15"/>
      <c r="AC107" s="69">
        <f t="shared" si="22"/>
        <v>0</v>
      </c>
      <c r="AD107" s="325"/>
      <c r="AE107" s="69">
        <f t="shared" si="23"/>
        <v>0</v>
      </c>
      <c r="AF107" s="70"/>
      <c r="AG107" s="71"/>
      <c r="AH107" s="634">
        <f t="shared" si="31"/>
        <v>18506.88</v>
      </c>
      <c r="AI107" s="635">
        <f t="shared" si="34"/>
        <v>680</v>
      </c>
      <c r="AJ107" s="636">
        <f t="shared" si="26"/>
        <v>0</v>
      </c>
    </row>
    <row r="108" spans="1:36" x14ac:dyDescent="0.25">
      <c r="A108" s="317"/>
      <c r="B108" s="2">
        <v>27.22</v>
      </c>
      <c r="C108" s="15"/>
      <c r="D108" s="69">
        <f t="shared" si="27"/>
        <v>0</v>
      </c>
      <c r="E108" s="325"/>
      <c r="F108" s="69">
        <f t="shared" si="28"/>
        <v>0</v>
      </c>
      <c r="G108" s="70"/>
      <c r="H108" s="71"/>
      <c r="I108" s="634">
        <f t="shared" si="29"/>
        <v>-2.7200000000040063</v>
      </c>
      <c r="J108" s="635">
        <f t="shared" si="32"/>
        <v>0</v>
      </c>
      <c r="K108" s="636">
        <f t="shared" si="24"/>
        <v>0</v>
      </c>
      <c r="M108" s="317"/>
      <c r="N108" s="2">
        <v>27.22</v>
      </c>
      <c r="O108" s="15"/>
      <c r="P108" s="69">
        <f t="shared" si="20"/>
        <v>0</v>
      </c>
      <c r="Q108" s="325"/>
      <c r="R108" s="69">
        <f t="shared" si="21"/>
        <v>0</v>
      </c>
      <c r="S108" s="70"/>
      <c r="T108" s="71"/>
      <c r="U108" s="634">
        <f t="shared" si="30"/>
        <v>12028.599999999997</v>
      </c>
      <c r="V108" s="635">
        <f t="shared" si="33"/>
        <v>442</v>
      </c>
      <c r="W108" s="636">
        <f t="shared" si="25"/>
        <v>0</v>
      </c>
      <c r="Z108" s="317"/>
      <c r="AA108" s="2">
        <v>27.22</v>
      </c>
      <c r="AB108" s="15"/>
      <c r="AC108" s="69">
        <f t="shared" si="22"/>
        <v>0</v>
      </c>
      <c r="AD108" s="325"/>
      <c r="AE108" s="69">
        <f t="shared" si="23"/>
        <v>0</v>
      </c>
      <c r="AF108" s="70"/>
      <c r="AG108" s="71"/>
      <c r="AH108" s="634">
        <f t="shared" si="31"/>
        <v>18506.88</v>
      </c>
      <c r="AI108" s="635">
        <f t="shared" si="34"/>
        <v>680</v>
      </c>
      <c r="AJ108" s="636">
        <f t="shared" si="26"/>
        <v>0</v>
      </c>
    </row>
    <row r="109" spans="1:36" x14ac:dyDescent="0.25">
      <c r="A109" s="317"/>
      <c r="B109" s="2">
        <v>27.22</v>
      </c>
      <c r="C109" s="15"/>
      <c r="D109" s="69">
        <f t="shared" si="27"/>
        <v>0</v>
      </c>
      <c r="E109" s="325"/>
      <c r="F109" s="69">
        <f t="shared" si="28"/>
        <v>0</v>
      </c>
      <c r="G109" s="70"/>
      <c r="H109" s="71"/>
      <c r="I109" s="634">
        <f t="shared" si="29"/>
        <v>-2.7200000000040063</v>
      </c>
      <c r="J109" s="635">
        <f t="shared" si="32"/>
        <v>0</v>
      </c>
      <c r="K109" s="636">
        <f t="shared" si="24"/>
        <v>0</v>
      </c>
      <c r="M109" s="317"/>
      <c r="N109" s="2">
        <v>27.22</v>
      </c>
      <c r="O109" s="15"/>
      <c r="P109" s="69">
        <f t="shared" si="20"/>
        <v>0</v>
      </c>
      <c r="Q109" s="325"/>
      <c r="R109" s="69">
        <f t="shared" si="21"/>
        <v>0</v>
      </c>
      <c r="S109" s="70"/>
      <c r="T109" s="71"/>
      <c r="U109" s="634">
        <f t="shared" si="30"/>
        <v>12028.599999999997</v>
      </c>
      <c r="V109" s="635">
        <f t="shared" si="33"/>
        <v>442</v>
      </c>
      <c r="W109" s="636">
        <f t="shared" si="25"/>
        <v>0</v>
      </c>
      <c r="Z109" s="317"/>
      <c r="AA109" s="2">
        <v>27.22</v>
      </c>
      <c r="AB109" s="15"/>
      <c r="AC109" s="69">
        <f t="shared" si="22"/>
        <v>0</v>
      </c>
      <c r="AD109" s="325"/>
      <c r="AE109" s="69">
        <f t="shared" si="23"/>
        <v>0</v>
      </c>
      <c r="AF109" s="70"/>
      <c r="AG109" s="71"/>
      <c r="AH109" s="634">
        <f t="shared" si="31"/>
        <v>18506.88</v>
      </c>
      <c r="AI109" s="635">
        <f t="shared" si="34"/>
        <v>680</v>
      </c>
      <c r="AJ109" s="636">
        <f t="shared" si="26"/>
        <v>0</v>
      </c>
    </row>
    <row r="110" spans="1:36" x14ac:dyDescent="0.25">
      <c r="A110" s="317"/>
      <c r="B110" s="2">
        <v>27.22</v>
      </c>
      <c r="C110" s="15"/>
      <c r="D110" s="69">
        <f t="shared" si="27"/>
        <v>0</v>
      </c>
      <c r="E110" s="325"/>
      <c r="F110" s="69">
        <f t="shared" si="28"/>
        <v>0</v>
      </c>
      <c r="G110" s="70"/>
      <c r="H110" s="71"/>
      <c r="I110" s="634">
        <f t="shared" si="29"/>
        <v>-2.7200000000040063</v>
      </c>
      <c r="J110" s="635">
        <f t="shared" si="32"/>
        <v>0</v>
      </c>
      <c r="K110" s="636">
        <f t="shared" si="24"/>
        <v>0</v>
      </c>
      <c r="M110" s="317"/>
      <c r="N110" s="2">
        <v>27.22</v>
      </c>
      <c r="O110" s="15"/>
      <c r="P110" s="69">
        <f t="shared" si="20"/>
        <v>0</v>
      </c>
      <c r="Q110" s="325"/>
      <c r="R110" s="69">
        <f t="shared" si="21"/>
        <v>0</v>
      </c>
      <c r="S110" s="70"/>
      <c r="T110" s="71"/>
      <c r="U110" s="634">
        <f t="shared" si="30"/>
        <v>12028.599999999997</v>
      </c>
      <c r="V110" s="635">
        <f t="shared" si="33"/>
        <v>442</v>
      </c>
      <c r="W110" s="636">
        <f t="shared" si="25"/>
        <v>0</v>
      </c>
      <c r="Z110" s="317"/>
      <c r="AA110" s="2">
        <v>27.22</v>
      </c>
      <c r="AB110" s="15"/>
      <c r="AC110" s="69">
        <f t="shared" si="22"/>
        <v>0</v>
      </c>
      <c r="AD110" s="325"/>
      <c r="AE110" s="69">
        <f t="shared" si="23"/>
        <v>0</v>
      </c>
      <c r="AF110" s="70"/>
      <c r="AG110" s="71"/>
      <c r="AH110" s="634">
        <f t="shared" si="31"/>
        <v>18506.88</v>
      </c>
      <c r="AI110" s="635">
        <f t="shared" si="34"/>
        <v>680</v>
      </c>
      <c r="AJ110" s="636">
        <f t="shared" si="26"/>
        <v>0</v>
      </c>
    </row>
    <row r="111" spans="1:36" x14ac:dyDescent="0.25">
      <c r="A111" s="317"/>
      <c r="B111" s="2">
        <v>27.22</v>
      </c>
      <c r="C111" s="15"/>
      <c r="D111" s="69">
        <f t="shared" si="27"/>
        <v>0</v>
      </c>
      <c r="E111" s="325"/>
      <c r="F111" s="69">
        <f t="shared" si="28"/>
        <v>0</v>
      </c>
      <c r="G111" s="70"/>
      <c r="H111" s="71"/>
      <c r="I111" s="634">
        <f t="shared" si="29"/>
        <v>-2.7200000000040063</v>
      </c>
      <c r="J111" s="635">
        <f t="shared" si="32"/>
        <v>0</v>
      </c>
      <c r="K111" s="636">
        <f t="shared" si="24"/>
        <v>0</v>
      </c>
      <c r="M111" s="317"/>
      <c r="N111" s="2">
        <v>27.22</v>
      </c>
      <c r="O111" s="15"/>
      <c r="P111" s="69">
        <f t="shared" si="20"/>
        <v>0</v>
      </c>
      <c r="Q111" s="325"/>
      <c r="R111" s="69">
        <f t="shared" si="21"/>
        <v>0</v>
      </c>
      <c r="S111" s="70"/>
      <c r="T111" s="71"/>
      <c r="U111" s="634">
        <f t="shared" si="30"/>
        <v>12028.599999999997</v>
      </c>
      <c r="V111" s="635">
        <f t="shared" si="33"/>
        <v>442</v>
      </c>
      <c r="W111" s="636">
        <f t="shared" si="25"/>
        <v>0</v>
      </c>
      <c r="Z111" s="317"/>
      <c r="AA111" s="2">
        <v>27.22</v>
      </c>
      <c r="AB111" s="15"/>
      <c r="AC111" s="69">
        <f t="shared" si="22"/>
        <v>0</v>
      </c>
      <c r="AD111" s="325"/>
      <c r="AE111" s="69">
        <f t="shared" si="23"/>
        <v>0</v>
      </c>
      <c r="AF111" s="70"/>
      <c r="AG111" s="71"/>
      <c r="AH111" s="634">
        <f t="shared" si="31"/>
        <v>18506.88</v>
      </c>
      <c r="AI111" s="635">
        <f t="shared" si="34"/>
        <v>680</v>
      </c>
      <c r="AJ111" s="636">
        <f t="shared" si="26"/>
        <v>0</v>
      </c>
    </row>
    <row r="112" spans="1:36" x14ac:dyDescent="0.25">
      <c r="A112" s="317"/>
      <c r="B112" s="2">
        <v>27.22</v>
      </c>
      <c r="C112" s="15"/>
      <c r="D112" s="69">
        <f t="shared" si="27"/>
        <v>0</v>
      </c>
      <c r="E112" s="325"/>
      <c r="F112" s="69">
        <f t="shared" si="28"/>
        <v>0</v>
      </c>
      <c r="G112" s="70"/>
      <c r="H112" s="71"/>
      <c r="I112" s="634">
        <f t="shared" si="29"/>
        <v>-2.7200000000040063</v>
      </c>
      <c r="J112" s="635">
        <f t="shared" si="32"/>
        <v>0</v>
      </c>
      <c r="K112" s="636">
        <f t="shared" si="24"/>
        <v>0</v>
      </c>
      <c r="M112" s="317"/>
      <c r="N112" s="2">
        <v>27.22</v>
      </c>
      <c r="O112" s="15"/>
      <c r="P112" s="69">
        <f t="shared" si="20"/>
        <v>0</v>
      </c>
      <c r="Q112" s="325"/>
      <c r="R112" s="69">
        <f t="shared" si="21"/>
        <v>0</v>
      </c>
      <c r="S112" s="70"/>
      <c r="T112" s="71"/>
      <c r="U112" s="634">
        <f t="shared" si="30"/>
        <v>12028.599999999997</v>
      </c>
      <c r="V112" s="635">
        <f t="shared" si="33"/>
        <v>442</v>
      </c>
      <c r="W112" s="636">
        <f t="shared" si="25"/>
        <v>0</v>
      </c>
      <c r="Z112" s="317"/>
      <c r="AA112" s="2">
        <v>27.22</v>
      </c>
      <c r="AB112" s="15"/>
      <c r="AC112" s="69">
        <f t="shared" si="22"/>
        <v>0</v>
      </c>
      <c r="AD112" s="325"/>
      <c r="AE112" s="69">
        <f t="shared" si="23"/>
        <v>0</v>
      </c>
      <c r="AF112" s="70"/>
      <c r="AG112" s="71"/>
      <c r="AH112" s="634">
        <f t="shared" si="31"/>
        <v>18506.88</v>
      </c>
      <c r="AI112" s="635">
        <f t="shared" si="34"/>
        <v>680</v>
      </c>
      <c r="AJ112" s="636">
        <f t="shared" si="26"/>
        <v>0</v>
      </c>
    </row>
    <row r="113" spans="1:36" ht="15.75" thickBot="1" x14ac:dyDescent="0.3">
      <c r="A113">
        <f>SUM(A59:A60)</f>
        <v>0</v>
      </c>
      <c r="B113" s="2">
        <v>27.22</v>
      </c>
      <c r="C113" s="15"/>
      <c r="D113" s="69">
        <f t="shared" si="27"/>
        <v>0</v>
      </c>
      <c r="E113" s="325"/>
      <c r="F113" s="69">
        <f t="shared" si="28"/>
        <v>0</v>
      </c>
      <c r="G113" s="70"/>
      <c r="H113" s="71"/>
      <c r="I113" s="634">
        <f t="shared" si="29"/>
        <v>-2.7200000000040063</v>
      </c>
      <c r="J113" s="635">
        <f t="shared" si="32"/>
        <v>0</v>
      </c>
      <c r="K113" s="638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25"/>
      <c r="R113" s="69">
        <f t="shared" si="21"/>
        <v>0</v>
      </c>
      <c r="S113" s="70"/>
      <c r="T113" s="71"/>
      <c r="U113" s="634">
        <f t="shared" si="30"/>
        <v>12028.599999999997</v>
      </c>
      <c r="V113" s="635">
        <f t="shared" si="33"/>
        <v>442</v>
      </c>
      <c r="W113" s="638">
        <f t="shared" si="25"/>
        <v>0</v>
      </c>
      <c r="Z113">
        <f>SUM(Z59:Z60)</f>
        <v>0</v>
      </c>
      <c r="AA113" s="2">
        <v>27.22</v>
      </c>
      <c r="AB113" s="15"/>
      <c r="AC113" s="69">
        <f t="shared" si="22"/>
        <v>0</v>
      </c>
      <c r="AD113" s="325"/>
      <c r="AE113" s="69">
        <f t="shared" si="23"/>
        <v>0</v>
      </c>
      <c r="AF113" s="70"/>
      <c r="AG113" s="71"/>
      <c r="AH113" s="634">
        <f t="shared" si="31"/>
        <v>18506.88</v>
      </c>
      <c r="AI113" s="635">
        <f t="shared" si="34"/>
        <v>680</v>
      </c>
      <c r="AJ113" s="638">
        <f t="shared" si="26"/>
        <v>0</v>
      </c>
    </row>
    <row r="114" spans="1:36" ht="16.5" thickTop="1" thickBot="1" x14ac:dyDescent="0.3">
      <c r="B114" s="2">
        <v>27.22</v>
      </c>
      <c r="C114" s="36"/>
      <c r="D114" s="69">
        <f t="shared" si="27"/>
        <v>0</v>
      </c>
      <c r="E114" s="162"/>
      <c r="F114" s="155">
        <f t="shared" si="28"/>
        <v>0</v>
      </c>
      <c r="G114" s="139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2"/>
      <c r="R114" s="155">
        <f t="shared" si="21"/>
        <v>0</v>
      </c>
      <c r="S114" s="139"/>
      <c r="T114" s="71"/>
      <c r="W114" s="71">
        <f t="shared" si="25"/>
        <v>0</v>
      </c>
      <c r="AA114" s="2">
        <v>27.22</v>
      </c>
      <c r="AB114" s="36"/>
      <c r="AC114" s="69">
        <f t="shared" si="22"/>
        <v>0</v>
      </c>
      <c r="AD114" s="162"/>
      <c r="AE114" s="155">
        <f t="shared" si="23"/>
        <v>0</v>
      </c>
      <c r="AF114" s="139"/>
      <c r="AG114" s="71"/>
      <c r="AJ114" s="71">
        <f t="shared" si="26"/>
        <v>0</v>
      </c>
    </row>
    <row r="115" spans="1:36" x14ac:dyDescent="0.25">
      <c r="C115" s="53">
        <f>SUM(C9:C114)</f>
        <v>680</v>
      </c>
      <c r="D115" s="6">
        <f>SUM(D9:D114)</f>
        <v>18509.599999999995</v>
      </c>
      <c r="F115" s="6">
        <f>SUM(F9:F114)</f>
        <v>18509.599999999995</v>
      </c>
      <c r="O115" s="53">
        <f>SUM(O9:O114)</f>
        <v>171</v>
      </c>
      <c r="P115" s="6">
        <f>SUM(P9:P114)</f>
        <v>4654.62</v>
      </c>
      <c r="R115" s="6">
        <f>SUM(R9:R114)</f>
        <v>4654.62</v>
      </c>
      <c r="AB115" s="53">
        <f>SUM(AB9:AB114)</f>
        <v>0</v>
      </c>
      <c r="AC115" s="6">
        <f>SUM(AC9:AC114)</f>
        <v>0</v>
      </c>
      <c r="AE115" s="6">
        <f>SUM(AE9:AE114)</f>
        <v>0</v>
      </c>
    </row>
    <row r="117" spans="1:36" ht="15.75" thickBot="1" x14ac:dyDescent="0.3"/>
    <row r="118" spans="1:36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442</v>
      </c>
      <c r="AC118" s="45" t="s">
        <v>4</v>
      </c>
      <c r="AD118" s="56">
        <f>AE5-AB115+AE4+AE6</f>
        <v>680</v>
      </c>
    </row>
    <row r="119" spans="1:36" ht="15.75" thickBot="1" x14ac:dyDescent="0.3"/>
    <row r="120" spans="1:36" ht="15.75" thickBot="1" x14ac:dyDescent="0.3">
      <c r="C120" s="1254" t="s">
        <v>11</v>
      </c>
      <c r="D120" s="1255"/>
      <c r="E120" s="57">
        <f>E4+E5+E6-F115</f>
        <v>-2.7199999999938882</v>
      </c>
      <c r="G120" s="47"/>
      <c r="H120" s="91"/>
      <c r="O120" s="1254" t="s">
        <v>11</v>
      </c>
      <c r="P120" s="1255"/>
      <c r="Q120" s="57">
        <f>Q4+Q5+Q6-R115</f>
        <v>12028.600000000002</v>
      </c>
      <c r="S120" s="47"/>
      <c r="T120" s="91"/>
      <c r="AB120" s="1254" t="s">
        <v>11</v>
      </c>
      <c r="AC120" s="1255"/>
      <c r="AD120" s="57">
        <f>AD4+AD5+AD6-AE115</f>
        <v>18506.88</v>
      </c>
      <c r="AF120" s="47"/>
      <c r="AG120" s="91"/>
    </row>
  </sheetData>
  <mergeCells count="6">
    <mergeCell ref="A1:J1"/>
    <mergeCell ref="C120:D120"/>
    <mergeCell ref="M1:V1"/>
    <mergeCell ref="O120:P120"/>
    <mergeCell ref="Z1:AI1"/>
    <mergeCell ref="AB120:AC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47"/>
  <sheetViews>
    <sheetView zoomScaleNormal="100" workbookViewId="0">
      <pane ySplit="8" topLeftCell="A12" activePane="bottomLeft" state="frozen"/>
      <selection activeCell="B1" sqref="B1"/>
      <selection pane="bottomLeft" activeCell="G21" sqref="G2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56" t="s">
        <v>269</v>
      </c>
      <c r="B1" s="1256"/>
      <c r="C1" s="1256"/>
      <c r="D1" s="1256"/>
      <c r="E1" s="1256"/>
      <c r="F1" s="1256"/>
      <c r="G1" s="1256"/>
      <c r="H1" s="11">
        <v>1</v>
      </c>
      <c r="K1" s="1252" t="s">
        <v>281</v>
      </c>
      <c r="L1" s="1252"/>
      <c r="M1" s="1252"/>
      <c r="N1" s="1252"/>
      <c r="O1" s="1252"/>
      <c r="P1" s="1252"/>
      <c r="Q1" s="125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0"/>
      <c r="B4" s="296"/>
      <c r="C4" s="322"/>
      <c r="D4" s="248"/>
      <c r="E4" s="308"/>
      <c r="F4" s="243"/>
      <c r="G4" s="73"/>
      <c r="K4" s="240"/>
      <c r="L4" s="296"/>
      <c r="M4" s="322"/>
      <c r="N4" s="248"/>
      <c r="O4" s="308"/>
      <c r="P4" s="243"/>
      <c r="Q4" s="73"/>
    </row>
    <row r="5" spans="1:19" ht="15.75" customHeight="1" x14ac:dyDescent="0.25">
      <c r="A5" s="1250" t="s">
        <v>220</v>
      </c>
      <c r="B5" s="461" t="s">
        <v>68</v>
      </c>
      <c r="C5" s="249">
        <v>146</v>
      </c>
      <c r="D5" s="248">
        <v>44698</v>
      </c>
      <c r="E5" s="308">
        <v>1004.21</v>
      </c>
      <c r="F5" s="243">
        <v>67</v>
      </c>
      <c r="G5" s="262">
        <f>F42</f>
        <v>965.91000000000008</v>
      </c>
      <c r="H5" s="7">
        <f>E5-G5+E4+E6+E7</f>
        <v>38.299999999999955</v>
      </c>
      <c r="K5" s="1250" t="s">
        <v>286</v>
      </c>
      <c r="L5" s="461" t="s">
        <v>68</v>
      </c>
      <c r="M5" s="249">
        <v>146</v>
      </c>
      <c r="N5" s="248">
        <v>44711</v>
      </c>
      <c r="O5" s="308">
        <v>1005.44</v>
      </c>
      <c r="P5" s="243">
        <v>63</v>
      </c>
      <c r="Q5" s="262">
        <f>P42</f>
        <v>0</v>
      </c>
      <c r="R5" s="7">
        <f>O5-Q5+O4+O6+O7</f>
        <v>3017.07</v>
      </c>
    </row>
    <row r="6" spans="1:19" ht="15" customHeight="1" x14ac:dyDescent="0.25">
      <c r="A6" s="1250"/>
      <c r="B6" s="462" t="s">
        <v>69</v>
      </c>
      <c r="C6" s="249"/>
      <c r="D6" s="274"/>
      <c r="E6" s="259"/>
      <c r="F6" s="253"/>
      <c r="G6" s="240"/>
      <c r="K6" s="1250"/>
      <c r="L6" s="1034" t="s">
        <v>69</v>
      </c>
      <c r="M6" s="249">
        <v>146</v>
      </c>
      <c r="N6" s="274">
        <v>44739</v>
      </c>
      <c r="O6" s="259">
        <v>2011.63</v>
      </c>
      <c r="P6" s="253">
        <v>114</v>
      </c>
      <c r="Q6" s="240"/>
    </row>
    <row r="7" spans="1:19" ht="15.75" thickBot="1" x14ac:dyDescent="0.3">
      <c r="A7" s="240"/>
      <c r="B7" s="243"/>
      <c r="C7" s="249"/>
      <c r="D7" s="274"/>
      <c r="E7" s="275"/>
      <c r="F7" s="243"/>
      <c r="K7" s="240"/>
      <c r="L7" s="243"/>
      <c r="M7" s="249"/>
      <c r="N7" s="274"/>
      <c r="O7" s="275"/>
      <c r="P7" s="24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31">
        <v>44698</v>
      </c>
      <c r="F9" s="264">
        <f t="shared" ref="F9:F41" si="0">D9</f>
        <v>177.64</v>
      </c>
      <c r="G9" s="265" t="s">
        <v>200</v>
      </c>
      <c r="H9" s="266">
        <v>148</v>
      </c>
      <c r="I9" s="259">
        <f>E6+E5+E4-F9+E7</f>
        <v>826.57</v>
      </c>
      <c r="K9" s="55" t="s">
        <v>32</v>
      </c>
      <c r="L9" s="195">
        <f>P4+P5+P6+P7-M9</f>
        <v>177</v>
      </c>
      <c r="M9" s="53"/>
      <c r="N9" s="264"/>
      <c r="O9" s="731"/>
      <c r="P9" s="264">
        <f t="shared" ref="P9:P41" si="1">N9</f>
        <v>0</v>
      </c>
      <c r="Q9" s="265"/>
      <c r="R9" s="266"/>
      <c r="S9" s="259">
        <f>O6+O5+O4-P9+O7</f>
        <v>3017.07</v>
      </c>
    </row>
    <row r="10" spans="1:19" x14ac:dyDescent="0.25">
      <c r="A10" s="77"/>
      <c r="B10" s="195">
        <f t="shared" ref="B10:B40" si="2">B9-C10</f>
        <v>45</v>
      </c>
      <c r="C10" s="53">
        <v>10</v>
      </c>
      <c r="D10" s="264">
        <v>164.5</v>
      </c>
      <c r="E10" s="731">
        <v>44698</v>
      </c>
      <c r="F10" s="264">
        <f t="shared" si="0"/>
        <v>164.5</v>
      </c>
      <c r="G10" s="265" t="s">
        <v>182</v>
      </c>
      <c r="H10" s="266">
        <v>148</v>
      </c>
      <c r="I10" s="259">
        <f t="shared" ref="I10:I40" si="3">I9-F10</f>
        <v>662.07</v>
      </c>
      <c r="K10" s="77"/>
      <c r="L10" s="195">
        <f t="shared" ref="L10:L40" si="4">L9-M10</f>
        <v>177</v>
      </c>
      <c r="M10" s="53"/>
      <c r="N10" s="264"/>
      <c r="O10" s="731"/>
      <c r="P10" s="264">
        <f t="shared" si="1"/>
        <v>0</v>
      </c>
      <c r="Q10" s="265"/>
      <c r="R10" s="266"/>
      <c r="S10" s="259">
        <f t="shared" ref="S10:S40" si="5">S9-P10</f>
        <v>3017.07</v>
      </c>
    </row>
    <row r="11" spans="1:19" x14ac:dyDescent="0.25">
      <c r="A11" s="12"/>
      <c r="B11" s="195">
        <f t="shared" si="2"/>
        <v>43</v>
      </c>
      <c r="C11" s="53">
        <v>2</v>
      </c>
      <c r="D11" s="264">
        <v>29.31</v>
      </c>
      <c r="E11" s="731">
        <v>44701</v>
      </c>
      <c r="F11" s="264">
        <f t="shared" si="0"/>
        <v>29.31</v>
      </c>
      <c r="G11" s="265" t="s">
        <v>198</v>
      </c>
      <c r="H11" s="266">
        <v>148</v>
      </c>
      <c r="I11" s="259">
        <f t="shared" si="3"/>
        <v>632.7600000000001</v>
      </c>
      <c r="K11" s="12"/>
      <c r="L11" s="195">
        <f t="shared" si="4"/>
        <v>177</v>
      </c>
      <c r="M11" s="53"/>
      <c r="N11" s="264"/>
      <c r="O11" s="731"/>
      <c r="P11" s="264">
        <f t="shared" si="1"/>
        <v>0</v>
      </c>
      <c r="Q11" s="265"/>
      <c r="R11" s="266"/>
      <c r="S11" s="259">
        <f t="shared" si="5"/>
        <v>3017.07</v>
      </c>
    </row>
    <row r="12" spans="1:19" x14ac:dyDescent="0.25">
      <c r="A12" s="55" t="s">
        <v>33</v>
      </c>
      <c r="B12" s="195">
        <f t="shared" si="2"/>
        <v>37</v>
      </c>
      <c r="C12" s="53">
        <v>6</v>
      </c>
      <c r="D12" s="264">
        <v>90.81</v>
      </c>
      <c r="E12" s="731">
        <v>44701</v>
      </c>
      <c r="F12" s="264">
        <f t="shared" si="0"/>
        <v>90.81</v>
      </c>
      <c r="G12" s="265" t="s">
        <v>212</v>
      </c>
      <c r="H12" s="266">
        <v>148</v>
      </c>
      <c r="I12" s="259">
        <f t="shared" si="3"/>
        <v>541.95000000000005</v>
      </c>
      <c r="K12" s="55" t="s">
        <v>33</v>
      </c>
      <c r="L12" s="195">
        <f t="shared" si="4"/>
        <v>177</v>
      </c>
      <c r="M12" s="53"/>
      <c r="N12" s="264"/>
      <c r="O12" s="731"/>
      <c r="P12" s="264">
        <f t="shared" si="1"/>
        <v>0</v>
      </c>
      <c r="Q12" s="265"/>
      <c r="R12" s="266"/>
      <c r="S12" s="259">
        <f t="shared" si="5"/>
        <v>3017.07</v>
      </c>
    </row>
    <row r="13" spans="1:19" x14ac:dyDescent="0.25">
      <c r="A13" s="77"/>
      <c r="B13" s="195">
        <f t="shared" si="2"/>
        <v>32</v>
      </c>
      <c r="C13" s="53">
        <v>5</v>
      </c>
      <c r="D13" s="264">
        <v>73.62</v>
      </c>
      <c r="E13" s="731">
        <v>44701</v>
      </c>
      <c r="F13" s="264">
        <f t="shared" si="0"/>
        <v>73.62</v>
      </c>
      <c r="G13" s="265" t="s">
        <v>231</v>
      </c>
      <c r="H13" s="266">
        <v>148</v>
      </c>
      <c r="I13" s="259">
        <f t="shared" si="3"/>
        <v>468.33000000000004</v>
      </c>
      <c r="K13" s="77"/>
      <c r="L13" s="195">
        <f t="shared" si="4"/>
        <v>177</v>
      </c>
      <c r="M13" s="53"/>
      <c r="N13" s="264"/>
      <c r="O13" s="731"/>
      <c r="P13" s="264">
        <f t="shared" si="1"/>
        <v>0</v>
      </c>
      <c r="Q13" s="265"/>
      <c r="R13" s="266"/>
      <c r="S13" s="259">
        <f t="shared" si="5"/>
        <v>3017.07</v>
      </c>
    </row>
    <row r="14" spans="1:19" x14ac:dyDescent="0.25">
      <c r="A14" s="12"/>
      <c r="B14" s="195">
        <f t="shared" si="2"/>
        <v>22</v>
      </c>
      <c r="C14" s="53">
        <v>10</v>
      </c>
      <c r="D14" s="264">
        <v>149.38</v>
      </c>
      <c r="E14" s="731">
        <v>44704</v>
      </c>
      <c r="F14" s="264">
        <f t="shared" si="0"/>
        <v>149.38</v>
      </c>
      <c r="G14" s="265" t="s">
        <v>235</v>
      </c>
      <c r="H14" s="266">
        <v>148</v>
      </c>
      <c r="I14" s="259">
        <f t="shared" si="3"/>
        <v>318.95000000000005</v>
      </c>
      <c r="K14" s="12"/>
      <c r="L14" s="195">
        <f t="shared" si="4"/>
        <v>177</v>
      </c>
      <c r="M14" s="53"/>
      <c r="N14" s="264"/>
      <c r="O14" s="731"/>
      <c r="P14" s="264">
        <f t="shared" si="1"/>
        <v>0</v>
      </c>
      <c r="Q14" s="265"/>
      <c r="R14" s="266"/>
      <c r="S14" s="259">
        <f t="shared" si="5"/>
        <v>3017.07</v>
      </c>
    </row>
    <row r="15" spans="1:19" x14ac:dyDescent="0.25">
      <c r="B15" s="195">
        <f t="shared" si="2"/>
        <v>20</v>
      </c>
      <c r="C15" s="53">
        <v>2</v>
      </c>
      <c r="D15" s="264">
        <v>25.87</v>
      </c>
      <c r="E15" s="731">
        <v>44705</v>
      </c>
      <c r="F15" s="264">
        <f t="shared" si="0"/>
        <v>25.87</v>
      </c>
      <c r="G15" s="265" t="s">
        <v>239</v>
      </c>
      <c r="H15" s="266">
        <v>148</v>
      </c>
      <c r="I15" s="259">
        <f t="shared" si="3"/>
        <v>293.08000000000004</v>
      </c>
      <c r="L15" s="195">
        <f t="shared" si="4"/>
        <v>177</v>
      </c>
      <c r="M15" s="53"/>
      <c r="N15" s="264"/>
      <c r="O15" s="731"/>
      <c r="P15" s="264">
        <f t="shared" si="1"/>
        <v>0</v>
      </c>
      <c r="Q15" s="265"/>
      <c r="R15" s="266"/>
      <c r="S15" s="259">
        <f t="shared" si="5"/>
        <v>3017.07</v>
      </c>
    </row>
    <row r="16" spans="1:19" x14ac:dyDescent="0.25">
      <c r="B16" s="195">
        <f t="shared" si="2"/>
        <v>16</v>
      </c>
      <c r="C16" s="53">
        <v>4</v>
      </c>
      <c r="D16" s="264">
        <v>60.86</v>
      </c>
      <c r="E16" s="731">
        <v>44706</v>
      </c>
      <c r="F16" s="264">
        <f t="shared" si="0"/>
        <v>60.86</v>
      </c>
      <c r="G16" s="265" t="s">
        <v>242</v>
      </c>
      <c r="H16" s="266">
        <v>148</v>
      </c>
      <c r="I16" s="259">
        <f t="shared" si="3"/>
        <v>232.22000000000003</v>
      </c>
      <c r="L16" s="195">
        <f t="shared" si="4"/>
        <v>177</v>
      </c>
      <c r="M16" s="53"/>
      <c r="N16" s="264"/>
      <c r="O16" s="731"/>
      <c r="P16" s="264">
        <f t="shared" si="1"/>
        <v>0</v>
      </c>
      <c r="Q16" s="265"/>
      <c r="R16" s="266"/>
      <c r="S16" s="259">
        <f t="shared" si="5"/>
        <v>3017.07</v>
      </c>
    </row>
    <row r="17" spans="2:19" x14ac:dyDescent="0.25">
      <c r="B17" s="195">
        <f t="shared" si="2"/>
        <v>15</v>
      </c>
      <c r="C17" s="53">
        <v>1</v>
      </c>
      <c r="D17" s="264">
        <v>14.3</v>
      </c>
      <c r="E17" s="731">
        <v>44707</v>
      </c>
      <c r="F17" s="264">
        <f t="shared" si="0"/>
        <v>14.3</v>
      </c>
      <c r="G17" s="265" t="s">
        <v>250</v>
      </c>
      <c r="H17" s="266">
        <v>148</v>
      </c>
      <c r="I17" s="259">
        <f t="shared" si="3"/>
        <v>217.92000000000002</v>
      </c>
      <c r="L17" s="195">
        <f t="shared" si="4"/>
        <v>177</v>
      </c>
      <c r="M17" s="53"/>
      <c r="N17" s="264"/>
      <c r="O17" s="731"/>
      <c r="P17" s="264">
        <f t="shared" si="1"/>
        <v>0</v>
      </c>
      <c r="Q17" s="265"/>
      <c r="R17" s="266"/>
      <c r="S17" s="259">
        <f t="shared" si="5"/>
        <v>3017.07</v>
      </c>
    </row>
    <row r="18" spans="2:19" x14ac:dyDescent="0.25">
      <c r="B18" s="195">
        <f t="shared" si="2"/>
        <v>13</v>
      </c>
      <c r="C18" s="53">
        <v>2</v>
      </c>
      <c r="D18" s="264">
        <v>26.71</v>
      </c>
      <c r="E18" s="731">
        <v>44709</v>
      </c>
      <c r="F18" s="264">
        <f t="shared" si="0"/>
        <v>26.71</v>
      </c>
      <c r="G18" s="265" t="s">
        <v>259</v>
      </c>
      <c r="H18" s="266">
        <v>148</v>
      </c>
      <c r="I18" s="259">
        <f t="shared" si="3"/>
        <v>191.21</v>
      </c>
      <c r="L18" s="195">
        <f t="shared" si="4"/>
        <v>177</v>
      </c>
      <c r="M18" s="53"/>
      <c r="N18" s="264"/>
      <c r="O18" s="731"/>
      <c r="P18" s="264">
        <f t="shared" si="1"/>
        <v>0</v>
      </c>
      <c r="Q18" s="265"/>
      <c r="R18" s="266"/>
      <c r="S18" s="259">
        <f t="shared" si="5"/>
        <v>3017.07</v>
      </c>
    </row>
    <row r="19" spans="2:19" x14ac:dyDescent="0.25">
      <c r="B19" s="195">
        <f t="shared" si="2"/>
        <v>12</v>
      </c>
      <c r="C19" s="53">
        <v>1</v>
      </c>
      <c r="D19" s="858">
        <v>18.100000000000001</v>
      </c>
      <c r="E19" s="1063">
        <v>44718</v>
      </c>
      <c r="F19" s="858">
        <f t="shared" si="0"/>
        <v>18.100000000000001</v>
      </c>
      <c r="G19" s="422" t="s">
        <v>545</v>
      </c>
      <c r="H19" s="423">
        <v>148</v>
      </c>
      <c r="I19" s="259">
        <f t="shared" si="3"/>
        <v>173.11</v>
      </c>
      <c r="L19" s="195">
        <f t="shared" si="4"/>
        <v>177</v>
      </c>
      <c r="M19" s="53"/>
      <c r="N19" s="264"/>
      <c r="O19" s="731"/>
      <c r="P19" s="264">
        <f t="shared" si="1"/>
        <v>0</v>
      </c>
      <c r="Q19" s="265"/>
      <c r="R19" s="266"/>
      <c r="S19" s="259">
        <f t="shared" si="5"/>
        <v>3017.07</v>
      </c>
    </row>
    <row r="20" spans="2:19" x14ac:dyDescent="0.25">
      <c r="B20" s="195">
        <f t="shared" si="2"/>
        <v>4</v>
      </c>
      <c r="C20" s="53">
        <v>8</v>
      </c>
      <c r="D20" s="858">
        <v>134.81</v>
      </c>
      <c r="E20" s="1063">
        <v>44719</v>
      </c>
      <c r="F20" s="858">
        <f t="shared" si="0"/>
        <v>134.81</v>
      </c>
      <c r="G20" s="422" t="s">
        <v>547</v>
      </c>
      <c r="H20" s="423">
        <v>148</v>
      </c>
      <c r="I20" s="259">
        <f t="shared" si="3"/>
        <v>38.300000000000011</v>
      </c>
      <c r="L20" s="195">
        <f t="shared" si="4"/>
        <v>177</v>
      </c>
      <c r="M20" s="53"/>
      <c r="N20" s="264"/>
      <c r="O20" s="731"/>
      <c r="P20" s="264">
        <f t="shared" si="1"/>
        <v>0</v>
      </c>
      <c r="Q20" s="265"/>
      <c r="R20" s="266"/>
      <c r="S20" s="259">
        <f t="shared" si="5"/>
        <v>3017.07</v>
      </c>
    </row>
    <row r="21" spans="2:19" x14ac:dyDescent="0.25">
      <c r="B21" s="195">
        <f t="shared" si="2"/>
        <v>4</v>
      </c>
      <c r="C21" s="53"/>
      <c r="D21" s="858"/>
      <c r="E21" s="1063"/>
      <c r="F21" s="858">
        <f t="shared" si="0"/>
        <v>0</v>
      </c>
      <c r="G21" s="422"/>
      <c r="H21" s="423"/>
      <c r="I21" s="259">
        <f t="shared" si="3"/>
        <v>38.300000000000011</v>
      </c>
      <c r="L21" s="195">
        <f t="shared" si="4"/>
        <v>177</v>
      </c>
      <c r="M21" s="53"/>
      <c r="N21" s="264"/>
      <c r="O21" s="731"/>
      <c r="P21" s="264">
        <f t="shared" si="1"/>
        <v>0</v>
      </c>
      <c r="Q21" s="265"/>
      <c r="R21" s="266"/>
      <c r="S21" s="259">
        <f t="shared" si="5"/>
        <v>3017.07</v>
      </c>
    </row>
    <row r="22" spans="2:19" x14ac:dyDescent="0.25">
      <c r="B22" s="195">
        <f t="shared" si="2"/>
        <v>4</v>
      </c>
      <c r="C22" s="53"/>
      <c r="D22" s="858"/>
      <c r="E22" s="1063"/>
      <c r="F22" s="858">
        <f t="shared" si="0"/>
        <v>0</v>
      </c>
      <c r="G22" s="422"/>
      <c r="H22" s="423"/>
      <c r="I22" s="259">
        <f t="shared" si="3"/>
        <v>38.300000000000011</v>
      </c>
      <c r="L22" s="195">
        <f t="shared" si="4"/>
        <v>177</v>
      </c>
      <c r="M22" s="53"/>
      <c r="N22" s="264"/>
      <c r="O22" s="731"/>
      <c r="P22" s="264">
        <f t="shared" si="1"/>
        <v>0</v>
      </c>
      <c r="Q22" s="265"/>
      <c r="R22" s="266"/>
      <c r="S22" s="259">
        <f t="shared" si="5"/>
        <v>3017.07</v>
      </c>
    </row>
    <row r="23" spans="2:19" x14ac:dyDescent="0.25">
      <c r="B23" s="195">
        <f t="shared" si="2"/>
        <v>4</v>
      </c>
      <c r="C23" s="53"/>
      <c r="D23" s="858"/>
      <c r="E23" s="1063"/>
      <c r="F23" s="858">
        <f t="shared" si="0"/>
        <v>0</v>
      </c>
      <c r="G23" s="422"/>
      <c r="H23" s="423"/>
      <c r="I23" s="259">
        <f t="shared" si="3"/>
        <v>38.300000000000011</v>
      </c>
      <c r="L23" s="195">
        <f t="shared" si="4"/>
        <v>177</v>
      </c>
      <c r="M23" s="53"/>
      <c r="N23" s="264"/>
      <c r="O23" s="731"/>
      <c r="P23" s="264">
        <f t="shared" si="1"/>
        <v>0</v>
      </c>
      <c r="Q23" s="265"/>
      <c r="R23" s="266"/>
      <c r="S23" s="259">
        <f t="shared" si="5"/>
        <v>3017.07</v>
      </c>
    </row>
    <row r="24" spans="2:19" x14ac:dyDescent="0.25">
      <c r="B24" s="195">
        <f t="shared" si="2"/>
        <v>4</v>
      </c>
      <c r="C24" s="53"/>
      <c r="D24" s="858"/>
      <c r="E24" s="1063"/>
      <c r="F24" s="858">
        <f t="shared" si="0"/>
        <v>0</v>
      </c>
      <c r="G24" s="422"/>
      <c r="H24" s="423"/>
      <c r="I24" s="259">
        <f t="shared" si="3"/>
        <v>38.300000000000011</v>
      </c>
      <c r="L24" s="195">
        <f t="shared" si="4"/>
        <v>177</v>
      </c>
      <c r="M24" s="53"/>
      <c r="N24" s="264"/>
      <c r="O24" s="731"/>
      <c r="P24" s="264">
        <f t="shared" si="1"/>
        <v>0</v>
      </c>
      <c r="Q24" s="265"/>
      <c r="R24" s="266"/>
      <c r="S24" s="259">
        <f t="shared" si="5"/>
        <v>3017.07</v>
      </c>
    </row>
    <row r="25" spans="2:19" x14ac:dyDescent="0.25">
      <c r="B25" s="195">
        <f t="shared" si="2"/>
        <v>4</v>
      </c>
      <c r="C25" s="53"/>
      <c r="D25" s="858"/>
      <c r="E25" s="1063"/>
      <c r="F25" s="858">
        <f t="shared" si="0"/>
        <v>0</v>
      </c>
      <c r="G25" s="422"/>
      <c r="H25" s="423"/>
      <c r="I25" s="259">
        <f t="shared" si="3"/>
        <v>38.300000000000011</v>
      </c>
      <c r="L25" s="195">
        <f t="shared" si="4"/>
        <v>177</v>
      </c>
      <c r="M25" s="53"/>
      <c r="N25" s="264"/>
      <c r="O25" s="731"/>
      <c r="P25" s="264">
        <f t="shared" si="1"/>
        <v>0</v>
      </c>
      <c r="Q25" s="265"/>
      <c r="R25" s="266"/>
      <c r="S25" s="259">
        <f t="shared" si="5"/>
        <v>3017.07</v>
      </c>
    </row>
    <row r="26" spans="2:19" x14ac:dyDescent="0.25">
      <c r="B26" s="195">
        <f t="shared" si="2"/>
        <v>4</v>
      </c>
      <c r="C26" s="53"/>
      <c r="D26" s="858"/>
      <c r="E26" s="1063"/>
      <c r="F26" s="858">
        <f t="shared" si="0"/>
        <v>0</v>
      </c>
      <c r="G26" s="422"/>
      <c r="H26" s="423"/>
      <c r="I26" s="259">
        <f t="shared" si="3"/>
        <v>38.300000000000011</v>
      </c>
      <c r="L26" s="195">
        <f t="shared" si="4"/>
        <v>177</v>
      </c>
      <c r="M26" s="53"/>
      <c r="N26" s="264"/>
      <c r="O26" s="731"/>
      <c r="P26" s="264">
        <f t="shared" si="1"/>
        <v>0</v>
      </c>
      <c r="Q26" s="265"/>
      <c r="R26" s="266"/>
      <c r="S26" s="259">
        <f t="shared" si="5"/>
        <v>3017.07</v>
      </c>
    </row>
    <row r="27" spans="2:19" x14ac:dyDescent="0.25">
      <c r="B27" s="195">
        <f t="shared" si="2"/>
        <v>4</v>
      </c>
      <c r="C27" s="53"/>
      <c r="D27" s="858"/>
      <c r="E27" s="1063"/>
      <c r="F27" s="858">
        <f t="shared" si="0"/>
        <v>0</v>
      </c>
      <c r="G27" s="422"/>
      <c r="H27" s="423"/>
      <c r="I27" s="259">
        <f t="shared" si="3"/>
        <v>38.300000000000011</v>
      </c>
      <c r="L27" s="195">
        <f t="shared" si="4"/>
        <v>177</v>
      </c>
      <c r="M27" s="53"/>
      <c r="N27" s="264"/>
      <c r="O27" s="731"/>
      <c r="P27" s="264">
        <f t="shared" si="1"/>
        <v>0</v>
      </c>
      <c r="Q27" s="265"/>
      <c r="R27" s="266"/>
      <c r="S27" s="259">
        <f t="shared" si="5"/>
        <v>3017.07</v>
      </c>
    </row>
    <row r="28" spans="2:19" x14ac:dyDescent="0.25">
      <c r="B28" s="195">
        <f t="shared" si="2"/>
        <v>4</v>
      </c>
      <c r="C28" s="53"/>
      <c r="D28" s="858"/>
      <c r="E28" s="1063"/>
      <c r="F28" s="858">
        <f t="shared" si="0"/>
        <v>0</v>
      </c>
      <c r="G28" s="422"/>
      <c r="H28" s="423"/>
      <c r="I28" s="259">
        <f t="shared" si="3"/>
        <v>38.300000000000011</v>
      </c>
      <c r="L28" s="195">
        <f t="shared" si="4"/>
        <v>177</v>
      </c>
      <c r="M28" s="53"/>
      <c r="N28" s="264"/>
      <c r="O28" s="731"/>
      <c r="P28" s="264">
        <f t="shared" si="1"/>
        <v>0</v>
      </c>
      <c r="Q28" s="265"/>
      <c r="R28" s="266"/>
      <c r="S28" s="259">
        <f t="shared" si="5"/>
        <v>3017.07</v>
      </c>
    </row>
    <row r="29" spans="2:19" x14ac:dyDescent="0.25">
      <c r="B29" s="195">
        <f t="shared" si="2"/>
        <v>4</v>
      </c>
      <c r="C29" s="53"/>
      <c r="D29" s="858"/>
      <c r="E29" s="1063"/>
      <c r="F29" s="858">
        <f t="shared" si="0"/>
        <v>0</v>
      </c>
      <c r="G29" s="422"/>
      <c r="H29" s="423"/>
      <c r="I29" s="259">
        <f t="shared" si="3"/>
        <v>38.300000000000011</v>
      </c>
      <c r="L29" s="195">
        <f t="shared" si="4"/>
        <v>177</v>
      </c>
      <c r="M29" s="53"/>
      <c r="N29" s="264"/>
      <c r="O29" s="731"/>
      <c r="P29" s="264">
        <f t="shared" si="1"/>
        <v>0</v>
      </c>
      <c r="Q29" s="265"/>
      <c r="R29" s="266"/>
      <c r="S29" s="259">
        <f t="shared" si="5"/>
        <v>3017.07</v>
      </c>
    </row>
    <row r="30" spans="2:19" x14ac:dyDescent="0.25">
      <c r="B30" s="195">
        <f t="shared" si="2"/>
        <v>4</v>
      </c>
      <c r="C30" s="53"/>
      <c r="D30" s="858"/>
      <c r="E30" s="1063"/>
      <c r="F30" s="858">
        <f t="shared" si="0"/>
        <v>0</v>
      </c>
      <c r="G30" s="422"/>
      <c r="H30" s="423"/>
      <c r="I30" s="259">
        <f t="shared" si="3"/>
        <v>38.300000000000011</v>
      </c>
      <c r="L30" s="195">
        <f t="shared" si="4"/>
        <v>177</v>
      </c>
      <c r="M30" s="53"/>
      <c r="N30" s="264"/>
      <c r="O30" s="731"/>
      <c r="P30" s="264">
        <f t="shared" si="1"/>
        <v>0</v>
      </c>
      <c r="Q30" s="265"/>
      <c r="R30" s="266"/>
      <c r="S30" s="259">
        <f t="shared" si="5"/>
        <v>3017.07</v>
      </c>
    </row>
    <row r="31" spans="2:19" x14ac:dyDescent="0.25">
      <c r="B31" s="195">
        <f t="shared" si="2"/>
        <v>4</v>
      </c>
      <c r="C31" s="15"/>
      <c r="D31" s="858"/>
      <c r="E31" s="1063"/>
      <c r="F31" s="858">
        <f t="shared" si="0"/>
        <v>0</v>
      </c>
      <c r="G31" s="422"/>
      <c r="H31" s="423"/>
      <c r="I31" s="259">
        <f t="shared" si="3"/>
        <v>38.300000000000011</v>
      </c>
      <c r="L31" s="195">
        <f t="shared" si="4"/>
        <v>177</v>
      </c>
      <c r="M31" s="15"/>
      <c r="N31" s="264"/>
      <c r="O31" s="731"/>
      <c r="P31" s="264">
        <f t="shared" si="1"/>
        <v>0</v>
      </c>
      <c r="Q31" s="265"/>
      <c r="R31" s="266"/>
      <c r="S31" s="259">
        <f t="shared" si="5"/>
        <v>3017.07</v>
      </c>
    </row>
    <row r="32" spans="2:19" x14ac:dyDescent="0.25">
      <c r="B32" s="195">
        <f t="shared" si="2"/>
        <v>4</v>
      </c>
      <c r="C32" s="15"/>
      <c r="D32" s="858"/>
      <c r="E32" s="1063"/>
      <c r="F32" s="858">
        <f t="shared" si="0"/>
        <v>0</v>
      </c>
      <c r="G32" s="422"/>
      <c r="H32" s="423"/>
      <c r="I32" s="259">
        <f t="shared" si="3"/>
        <v>38.300000000000011</v>
      </c>
      <c r="L32" s="195">
        <f t="shared" si="4"/>
        <v>177</v>
      </c>
      <c r="M32" s="15"/>
      <c r="N32" s="264"/>
      <c r="O32" s="731"/>
      <c r="P32" s="264">
        <f t="shared" si="1"/>
        <v>0</v>
      </c>
      <c r="Q32" s="265"/>
      <c r="R32" s="266"/>
      <c r="S32" s="259">
        <f t="shared" si="5"/>
        <v>3017.07</v>
      </c>
    </row>
    <row r="33" spans="2:19" x14ac:dyDescent="0.25">
      <c r="B33" s="195">
        <f t="shared" si="2"/>
        <v>4</v>
      </c>
      <c r="C33" s="15"/>
      <c r="D33" s="858"/>
      <c r="E33" s="1063"/>
      <c r="F33" s="858">
        <f t="shared" si="0"/>
        <v>0</v>
      </c>
      <c r="G33" s="422"/>
      <c r="H33" s="423"/>
      <c r="I33" s="259">
        <f t="shared" si="3"/>
        <v>38.300000000000011</v>
      </c>
      <c r="L33" s="195">
        <f t="shared" si="4"/>
        <v>177</v>
      </c>
      <c r="M33" s="15"/>
      <c r="N33" s="264"/>
      <c r="O33" s="731"/>
      <c r="P33" s="264">
        <f t="shared" si="1"/>
        <v>0</v>
      </c>
      <c r="Q33" s="265"/>
      <c r="R33" s="266"/>
      <c r="S33" s="259">
        <f t="shared" si="5"/>
        <v>3017.07</v>
      </c>
    </row>
    <row r="34" spans="2:19" x14ac:dyDescent="0.25">
      <c r="B34" s="195">
        <f t="shared" si="2"/>
        <v>4</v>
      </c>
      <c r="C34" s="15"/>
      <c r="D34" s="858"/>
      <c r="E34" s="1063"/>
      <c r="F34" s="858">
        <f t="shared" si="0"/>
        <v>0</v>
      </c>
      <c r="G34" s="422"/>
      <c r="H34" s="423"/>
      <c r="I34" s="259">
        <f t="shared" si="3"/>
        <v>38.300000000000011</v>
      </c>
      <c r="L34" s="195">
        <f t="shared" si="4"/>
        <v>177</v>
      </c>
      <c r="M34" s="15"/>
      <c r="N34" s="264"/>
      <c r="O34" s="731"/>
      <c r="P34" s="264">
        <f t="shared" si="1"/>
        <v>0</v>
      </c>
      <c r="Q34" s="265"/>
      <c r="R34" s="266"/>
      <c r="S34" s="259">
        <f t="shared" si="5"/>
        <v>3017.07</v>
      </c>
    </row>
    <row r="35" spans="2:19" x14ac:dyDescent="0.25">
      <c r="B35" s="195">
        <f t="shared" si="2"/>
        <v>4</v>
      </c>
      <c r="C35" s="15"/>
      <c r="D35" s="858"/>
      <c r="E35" s="1063"/>
      <c r="F35" s="858">
        <f t="shared" si="0"/>
        <v>0</v>
      </c>
      <c r="G35" s="422"/>
      <c r="H35" s="423"/>
      <c r="I35" s="259">
        <f t="shared" si="3"/>
        <v>38.300000000000011</v>
      </c>
      <c r="L35" s="195">
        <f t="shared" si="4"/>
        <v>177</v>
      </c>
      <c r="M35" s="15"/>
      <c r="N35" s="264"/>
      <c r="O35" s="731"/>
      <c r="P35" s="264">
        <f t="shared" si="1"/>
        <v>0</v>
      </c>
      <c r="Q35" s="265"/>
      <c r="R35" s="266"/>
      <c r="S35" s="259">
        <f t="shared" si="5"/>
        <v>3017.07</v>
      </c>
    </row>
    <row r="36" spans="2:19" x14ac:dyDescent="0.25">
      <c r="B36" s="195">
        <f t="shared" si="2"/>
        <v>4</v>
      </c>
      <c r="C36" s="15"/>
      <c r="D36" s="858"/>
      <c r="E36" s="1063"/>
      <c r="F36" s="858">
        <f t="shared" si="0"/>
        <v>0</v>
      </c>
      <c r="G36" s="422"/>
      <c r="H36" s="423"/>
      <c r="I36" s="259">
        <f t="shared" si="3"/>
        <v>38.300000000000011</v>
      </c>
      <c r="L36" s="195">
        <f t="shared" si="4"/>
        <v>177</v>
      </c>
      <c r="M36" s="15"/>
      <c r="N36" s="264"/>
      <c r="O36" s="731"/>
      <c r="P36" s="264">
        <f t="shared" si="1"/>
        <v>0</v>
      </c>
      <c r="Q36" s="265"/>
      <c r="R36" s="266"/>
      <c r="S36" s="259">
        <f t="shared" si="5"/>
        <v>3017.07</v>
      </c>
    </row>
    <row r="37" spans="2:19" x14ac:dyDescent="0.25">
      <c r="B37" s="195">
        <f t="shared" si="2"/>
        <v>4</v>
      </c>
      <c r="C37" s="15"/>
      <c r="D37" s="264"/>
      <c r="E37" s="731"/>
      <c r="F37" s="264">
        <f t="shared" si="0"/>
        <v>0</v>
      </c>
      <c r="G37" s="265"/>
      <c r="H37" s="266"/>
      <c r="I37" s="259">
        <f t="shared" si="3"/>
        <v>38.300000000000011</v>
      </c>
      <c r="L37" s="195">
        <f t="shared" si="4"/>
        <v>177</v>
      </c>
      <c r="M37" s="15"/>
      <c r="N37" s="264"/>
      <c r="O37" s="731"/>
      <c r="P37" s="264">
        <f t="shared" si="1"/>
        <v>0</v>
      </c>
      <c r="Q37" s="265"/>
      <c r="R37" s="266"/>
      <c r="S37" s="259">
        <f t="shared" si="5"/>
        <v>3017.07</v>
      </c>
    </row>
    <row r="38" spans="2:19" x14ac:dyDescent="0.25">
      <c r="B38" s="195">
        <f t="shared" si="2"/>
        <v>4</v>
      </c>
      <c r="C38" s="15"/>
      <c r="D38" s="264"/>
      <c r="E38" s="731"/>
      <c r="F38" s="264">
        <f t="shared" si="0"/>
        <v>0</v>
      </c>
      <c r="G38" s="265"/>
      <c r="H38" s="266"/>
      <c r="I38" s="259">
        <f t="shared" si="3"/>
        <v>38.300000000000011</v>
      </c>
      <c r="L38" s="195">
        <f t="shared" si="4"/>
        <v>177</v>
      </c>
      <c r="M38" s="15"/>
      <c r="N38" s="264"/>
      <c r="O38" s="731"/>
      <c r="P38" s="264">
        <f t="shared" si="1"/>
        <v>0</v>
      </c>
      <c r="Q38" s="265"/>
      <c r="R38" s="266"/>
      <c r="S38" s="259">
        <f t="shared" si="5"/>
        <v>3017.07</v>
      </c>
    </row>
    <row r="39" spans="2:19" x14ac:dyDescent="0.25">
      <c r="B39" s="195">
        <f t="shared" si="2"/>
        <v>4</v>
      </c>
      <c r="C39" s="15"/>
      <c r="D39" s="264"/>
      <c r="E39" s="731"/>
      <c r="F39" s="264">
        <f t="shared" si="0"/>
        <v>0</v>
      </c>
      <c r="G39" s="265"/>
      <c r="H39" s="266"/>
      <c r="I39" s="259">
        <f t="shared" si="3"/>
        <v>38.300000000000011</v>
      </c>
      <c r="L39" s="195">
        <f t="shared" si="4"/>
        <v>177</v>
      </c>
      <c r="M39" s="15"/>
      <c r="N39" s="264"/>
      <c r="O39" s="731"/>
      <c r="P39" s="264">
        <f t="shared" si="1"/>
        <v>0</v>
      </c>
      <c r="Q39" s="265"/>
      <c r="R39" s="266"/>
      <c r="S39" s="259">
        <f t="shared" si="5"/>
        <v>3017.07</v>
      </c>
    </row>
    <row r="40" spans="2:19" x14ac:dyDescent="0.25">
      <c r="B40" s="195">
        <f t="shared" si="2"/>
        <v>4</v>
      </c>
      <c r="C40" s="15"/>
      <c r="D40" s="264"/>
      <c r="E40" s="731"/>
      <c r="F40" s="264">
        <f t="shared" si="0"/>
        <v>0</v>
      </c>
      <c r="G40" s="265"/>
      <c r="H40" s="266"/>
      <c r="I40" s="259">
        <f t="shared" si="3"/>
        <v>38.300000000000011</v>
      </c>
      <c r="L40" s="195">
        <f t="shared" si="4"/>
        <v>177</v>
      </c>
      <c r="M40" s="15"/>
      <c r="N40" s="264"/>
      <c r="O40" s="731"/>
      <c r="P40" s="264">
        <f t="shared" si="1"/>
        <v>0</v>
      </c>
      <c r="Q40" s="265"/>
      <c r="R40" s="266"/>
      <c r="S40" s="259">
        <f t="shared" si="5"/>
        <v>3017.07</v>
      </c>
    </row>
    <row r="41" spans="2:19" ht="15.75" thickBot="1" x14ac:dyDescent="0.3">
      <c r="B41" s="3"/>
      <c r="C41" s="36"/>
      <c r="D41" s="155"/>
      <c r="E41" s="335"/>
      <c r="F41" s="155">
        <f t="shared" si="0"/>
        <v>0</v>
      </c>
      <c r="G41" s="220"/>
      <c r="H41" s="75"/>
      <c r="I41" s="259"/>
      <c r="L41" s="3"/>
      <c r="M41" s="36"/>
      <c r="N41" s="155"/>
      <c r="O41" s="335"/>
      <c r="P41" s="155">
        <f t="shared" si="1"/>
        <v>0</v>
      </c>
      <c r="Q41" s="220"/>
      <c r="R41" s="75"/>
      <c r="S41" s="259" t="e">
        <f>#REF!-P41</f>
        <v>#REF!</v>
      </c>
    </row>
    <row r="42" spans="2:19" x14ac:dyDescent="0.25">
      <c r="C42" s="53">
        <f>SUM(C9:C41)</f>
        <v>63</v>
      </c>
      <c r="D42" s="124">
        <f>SUM(D9:D41)</f>
        <v>965.91000000000008</v>
      </c>
      <c r="E42" s="171"/>
      <c r="F42" s="124">
        <f>SUM(F9:F41)</f>
        <v>965.91000000000008</v>
      </c>
      <c r="G42" s="164"/>
      <c r="H42" s="164"/>
      <c r="M42" s="53">
        <f>SUM(M9:M41)</f>
        <v>0</v>
      </c>
      <c r="N42" s="124">
        <f>SUM(N9:N41)</f>
        <v>0</v>
      </c>
      <c r="O42" s="171"/>
      <c r="P42" s="124">
        <f>SUM(P9:P41)</f>
        <v>0</v>
      </c>
      <c r="Q42" s="164"/>
      <c r="R42" s="164"/>
    </row>
    <row r="43" spans="2:19" x14ac:dyDescent="0.25">
      <c r="C43" s="110"/>
      <c r="M43" s="110"/>
    </row>
    <row r="44" spans="2:19" ht="15.75" thickBot="1" x14ac:dyDescent="0.3">
      <c r="B44" s="47"/>
      <c r="L44" s="47"/>
    </row>
    <row r="45" spans="2:19" ht="15.75" thickBot="1" x14ac:dyDescent="0.3">
      <c r="B45" s="91"/>
      <c r="D45" s="45" t="s">
        <v>4</v>
      </c>
      <c r="E45" s="56">
        <f>F5-C42+F4+F6+F7</f>
        <v>4</v>
      </c>
      <c r="L45" s="91"/>
      <c r="N45" s="45" t="s">
        <v>4</v>
      </c>
      <c r="O45" s="56">
        <f>P5-M42+P4+P6+P7</f>
        <v>177</v>
      </c>
    </row>
    <row r="46" spans="2:19" ht="15.75" thickBot="1" x14ac:dyDescent="0.3">
      <c r="B46" s="125"/>
      <c r="L46" s="125"/>
    </row>
    <row r="47" spans="2:19" ht="15.75" thickBot="1" x14ac:dyDescent="0.3">
      <c r="B47" s="91"/>
      <c r="C47" s="1254" t="s">
        <v>11</v>
      </c>
      <c r="D47" s="1255"/>
      <c r="E47" s="57">
        <f>E5-F42+E4+E6+E7</f>
        <v>38.299999999999955</v>
      </c>
      <c r="L47" s="91"/>
      <c r="M47" s="1254" t="s">
        <v>11</v>
      </c>
      <c r="N47" s="1255"/>
      <c r="O47" s="57">
        <f>O5-P42+O4+O6+O7</f>
        <v>3017.07</v>
      </c>
    </row>
  </sheetData>
  <mergeCells count="6">
    <mergeCell ref="A1:G1"/>
    <mergeCell ref="A5:A6"/>
    <mergeCell ref="C47:D47"/>
    <mergeCell ref="K1:Q1"/>
    <mergeCell ref="K5:K6"/>
    <mergeCell ref="M47:N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52"/>
      <c r="B1" s="1252"/>
      <c r="C1" s="1252"/>
      <c r="D1" s="1252"/>
      <c r="E1" s="1252"/>
      <c r="F1" s="1252"/>
      <c r="G1" s="125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250"/>
      <c r="B5" s="1276" t="s">
        <v>90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250"/>
      <c r="B6" s="1276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1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1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1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1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1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1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1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1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1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1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1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1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1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1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1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1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1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1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1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1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1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1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1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1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1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1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1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1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1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1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1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1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1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1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1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54" t="s">
        <v>11</v>
      </c>
      <c r="D60" s="1255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H1" workbookViewId="0">
      <pane ySplit="9" topLeftCell="A10" activePane="bottomLeft" state="frozen"/>
      <selection pane="bottomLeft" activeCell="Q12" sqref="Q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56" t="s">
        <v>271</v>
      </c>
      <c r="B1" s="1256"/>
      <c r="C1" s="1256"/>
      <c r="D1" s="1256"/>
      <c r="E1" s="1256"/>
      <c r="F1" s="1256"/>
      <c r="G1" s="1256"/>
      <c r="H1" s="11">
        <v>1</v>
      </c>
      <c r="K1" s="1252" t="s">
        <v>279</v>
      </c>
      <c r="L1" s="1252"/>
      <c r="M1" s="1252"/>
      <c r="N1" s="1252"/>
      <c r="O1" s="1252"/>
      <c r="P1" s="1252"/>
      <c r="Q1" s="125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1250" t="s">
        <v>52</v>
      </c>
      <c r="B4" s="1277" t="s">
        <v>221</v>
      </c>
      <c r="C4" s="249">
        <v>54</v>
      </c>
      <c r="D4" s="248">
        <v>44685</v>
      </c>
      <c r="E4" s="308">
        <v>2014.17</v>
      </c>
      <c r="F4" s="243">
        <v>79</v>
      </c>
      <c r="G4" s="262">
        <f>F56</f>
        <v>7145.4</v>
      </c>
      <c r="H4" s="7">
        <f>E4-G4+E5+E6+E7+E8</f>
        <v>0</v>
      </c>
      <c r="K4" s="1250" t="s">
        <v>52</v>
      </c>
      <c r="L4" s="1277" t="s">
        <v>221</v>
      </c>
      <c r="M4" s="249"/>
      <c r="N4" s="248"/>
      <c r="O4" s="308">
        <v>360.46</v>
      </c>
      <c r="P4" s="243">
        <v>16</v>
      </c>
      <c r="Q4" s="262">
        <f>P56</f>
        <v>1364.06</v>
      </c>
      <c r="R4" s="7">
        <f>O4-Q4+O5+O6+O7+O8</f>
        <v>3700.58</v>
      </c>
    </row>
    <row r="5" spans="1:19" x14ac:dyDescent="0.25">
      <c r="A5" s="1250"/>
      <c r="B5" s="1278"/>
      <c r="C5" s="249"/>
      <c r="D5" s="274"/>
      <c r="E5" s="259">
        <v>141.44</v>
      </c>
      <c r="F5" s="253">
        <v>6</v>
      </c>
      <c r="G5" s="240"/>
      <c r="K5" s="1250"/>
      <c r="L5" s="1278"/>
      <c r="M5" s="249">
        <v>56</v>
      </c>
      <c r="N5" s="274">
        <v>44711</v>
      </c>
      <c r="O5" s="259">
        <v>1001.75</v>
      </c>
      <c r="P5" s="253">
        <v>40</v>
      </c>
      <c r="Q5" s="240"/>
    </row>
    <row r="6" spans="1:19" x14ac:dyDescent="0.25">
      <c r="A6" s="1009"/>
      <c r="B6" s="1278"/>
      <c r="C6" s="249">
        <v>54</v>
      </c>
      <c r="D6" s="274">
        <v>44695</v>
      </c>
      <c r="E6" s="259">
        <v>1995.28</v>
      </c>
      <c r="F6" s="253">
        <v>80</v>
      </c>
      <c r="G6" s="240"/>
      <c r="K6" s="1029"/>
      <c r="L6" s="1278"/>
      <c r="M6" s="249">
        <v>58</v>
      </c>
      <c r="N6" s="274">
        <v>44720</v>
      </c>
      <c r="O6" s="259">
        <v>1304.69</v>
      </c>
      <c r="P6" s="253">
        <v>52</v>
      </c>
      <c r="Q6" s="240"/>
    </row>
    <row r="7" spans="1:19" ht="15.75" x14ac:dyDescent="0.25">
      <c r="A7" s="1009"/>
      <c r="B7" s="462"/>
      <c r="C7" s="249">
        <v>54</v>
      </c>
      <c r="D7" s="274">
        <v>44700</v>
      </c>
      <c r="E7" s="259">
        <v>1006.16</v>
      </c>
      <c r="F7" s="253">
        <v>42</v>
      </c>
      <c r="G7" s="240"/>
      <c r="K7" s="1029"/>
      <c r="L7" s="1034"/>
      <c r="M7" s="249">
        <v>62</v>
      </c>
      <c r="N7" s="274">
        <v>44734</v>
      </c>
      <c r="O7" s="259">
        <v>2397.7399999999998</v>
      </c>
      <c r="P7" s="253">
        <v>98</v>
      </c>
      <c r="Q7" s="240"/>
    </row>
    <row r="8" spans="1:19" ht="16.5" thickBot="1" x14ac:dyDescent="0.3">
      <c r="A8" s="1009"/>
      <c r="B8" s="462"/>
      <c r="C8" s="249">
        <v>54</v>
      </c>
      <c r="D8" s="274">
        <v>44702</v>
      </c>
      <c r="E8" s="259">
        <v>1988.35</v>
      </c>
      <c r="F8" s="253">
        <v>80</v>
      </c>
      <c r="G8" s="240"/>
      <c r="K8" s="1029"/>
      <c r="L8" s="1034"/>
      <c r="M8" s="249"/>
      <c r="N8" s="274"/>
      <c r="O8" s="259"/>
      <c r="P8" s="253"/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610">
        <f>F4+F5-C10+F6+F7+F8</f>
        <v>276</v>
      </c>
      <c r="C10" s="53">
        <v>11</v>
      </c>
      <c r="D10" s="264">
        <v>282.44</v>
      </c>
      <c r="E10" s="731">
        <v>44687</v>
      </c>
      <c r="F10" s="264">
        <f t="shared" ref="F10:F55" si="0">D10</f>
        <v>282.44</v>
      </c>
      <c r="G10" s="265" t="s">
        <v>142</v>
      </c>
      <c r="H10" s="266">
        <v>56</v>
      </c>
      <c r="I10" s="259">
        <f>E5+E4-F10+E6+E7+E8</f>
        <v>6862.9599999999991</v>
      </c>
      <c r="K10" s="55" t="s">
        <v>32</v>
      </c>
      <c r="L10" s="610">
        <f>P4+P5-M10+P6+P7+P8</f>
        <v>176</v>
      </c>
      <c r="M10" s="53">
        <v>30</v>
      </c>
      <c r="N10" s="264">
        <v>740.34</v>
      </c>
      <c r="O10" s="731">
        <v>44716</v>
      </c>
      <c r="P10" s="264">
        <f t="shared" ref="P10:P55" si="1">N10</f>
        <v>740.34</v>
      </c>
      <c r="Q10" s="265" t="s">
        <v>529</v>
      </c>
      <c r="R10" s="266">
        <v>56</v>
      </c>
      <c r="S10" s="259">
        <f>O5+O4-P10+O6+O7+O8</f>
        <v>4324.2999999999993</v>
      </c>
    </row>
    <row r="11" spans="1:19" x14ac:dyDescent="0.25">
      <c r="A11" s="77"/>
      <c r="B11" s="195">
        <f t="shared" ref="B11:B54" si="2">B10-C11</f>
        <v>262</v>
      </c>
      <c r="C11" s="53">
        <v>14</v>
      </c>
      <c r="D11" s="264">
        <v>358.65</v>
      </c>
      <c r="E11" s="731">
        <v>44687</v>
      </c>
      <c r="F11" s="264">
        <f t="shared" si="0"/>
        <v>358.65</v>
      </c>
      <c r="G11" s="265" t="s">
        <v>145</v>
      </c>
      <c r="H11" s="266">
        <v>56</v>
      </c>
      <c r="I11" s="259">
        <f>I10-F11</f>
        <v>6504.3099999999995</v>
      </c>
      <c r="K11" s="77"/>
      <c r="L11" s="195">
        <f t="shared" ref="L11:L54" si="3">L10-M11</f>
        <v>150</v>
      </c>
      <c r="M11" s="53">
        <v>26</v>
      </c>
      <c r="N11" s="264">
        <v>623.72</v>
      </c>
      <c r="O11" s="731">
        <v>44718</v>
      </c>
      <c r="P11" s="264">
        <f t="shared" si="1"/>
        <v>623.72</v>
      </c>
      <c r="Q11" s="265" t="s">
        <v>541</v>
      </c>
      <c r="R11" s="266">
        <v>58</v>
      </c>
      <c r="S11" s="259">
        <f>S10-P11</f>
        <v>3700.579999999999</v>
      </c>
    </row>
    <row r="12" spans="1:19" x14ac:dyDescent="0.25">
      <c r="A12" s="12"/>
      <c r="B12" s="195">
        <f t="shared" si="2"/>
        <v>246</v>
      </c>
      <c r="C12" s="15">
        <v>16</v>
      </c>
      <c r="D12" s="264">
        <v>416.6</v>
      </c>
      <c r="E12" s="731">
        <v>44688</v>
      </c>
      <c r="F12" s="264">
        <f t="shared" si="0"/>
        <v>416.6</v>
      </c>
      <c r="G12" s="265" t="s">
        <v>148</v>
      </c>
      <c r="H12" s="266">
        <v>56</v>
      </c>
      <c r="I12" s="259">
        <f t="shared" ref="I12:I55" si="4">I11-F12</f>
        <v>6087.7099999999991</v>
      </c>
      <c r="K12" s="12"/>
      <c r="L12" s="195">
        <f t="shared" si="3"/>
        <v>150</v>
      </c>
      <c r="M12" s="15"/>
      <c r="N12" s="264"/>
      <c r="O12" s="731"/>
      <c r="P12" s="264">
        <f t="shared" si="1"/>
        <v>0</v>
      </c>
      <c r="Q12" s="265"/>
      <c r="R12" s="266"/>
      <c r="S12" s="259">
        <f t="shared" ref="S12:S55" si="5">S11-P12</f>
        <v>3700.579999999999</v>
      </c>
    </row>
    <row r="13" spans="1:19" x14ac:dyDescent="0.25">
      <c r="A13" s="55" t="s">
        <v>33</v>
      </c>
      <c r="B13" s="195">
        <f t="shared" si="2"/>
        <v>243</v>
      </c>
      <c r="C13" s="15">
        <v>3</v>
      </c>
      <c r="D13" s="264">
        <v>65.790000000000006</v>
      </c>
      <c r="E13" s="731">
        <v>44688</v>
      </c>
      <c r="F13" s="264">
        <f t="shared" si="0"/>
        <v>65.790000000000006</v>
      </c>
      <c r="G13" s="265" t="s">
        <v>150</v>
      </c>
      <c r="H13" s="266">
        <v>56</v>
      </c>
      <c r="I13" s="259">
        <f t="shared" si="4"/>
        <v>6021.9199999999992</v>
      </c>
      <c r="K13" s="55" t="s">
        <v>33</v>
      </c>
      <c r="L13" s="195">
        <f t="shared" si="3"/>
        <v>150</v>
      </c>
      <c r="M13" s="15"/>
      <c r="N13" s="264"/>
      <c r="O13" s="731"/>
      <c r="P13" s="264">
        <f t="shared" si="1"/>
        <v>0</v>
      </c>
      <c r="Q13" s="265"/>
      <c r="R13" s="266"/>
      <c r="S13" s="259">
        <f t="shared" si="5"/>
        <v>3700.579999999999</v>
      </c>
    </row>
    <row r="14" spans="1:19" x14ac:dyDescent="0.25">
      <c r="A14" s="77"/>
      <c r="B14" s="195">
        <f t="shared" si="2"/>
        <v>239</v>
      </c>
      <c r="C14" s="15">
        <v>4</v>
      </c>
      <c r="D14" s="264">
        <v>101.31</v>
      </c>
      <c r="E14" s="731">
        <v>44691</v>
      </c>
      <c r="F14" s="264">
        <f t="shared" si="0"/>
        <v>101.31</v>
      </c>
      <c r="G14" s="265" t="s">
        <v>158</v>
      </c>
      <c r="H14" s="266">
        <v>56</v>
      </c>
      <c r="I14" s="259">
        <f t="shared" si="4"/>
        <v>5920.6099999999988</v>
      </c>
      <c r="K14" s="77"/>
      <c r="L14" s="195">
        <f t="shared" si="3"/>
        <v>150</v>
      </c>
      <c r="M14" s="15"/>
      <c r="N14" s="264"/>
      <c r="O14" s="731"/>
      <c r="P14" s="264">
        <f t="shared" si="1"/>
        <v>0</v>
      </c>
      <c r="Q14" s="265"/>
      <c r="R14" s="266"/>
      <c r="S14" s="259">
        <f t="shared" si="5"/>
        <v>3700.579999999999</v>
      </c>
    </row>
    <row r="15" spans="1:19" x14ac:dyDescent="0.25">
      <c r="A15" s="12"/>
      <c r="B15" s="195">
        <f t="shared" si="2"/>
        <v>227</v>
      </c>
      <c r="C15" s="15">
        <v>12</v>
      </c>
      <c r="D15" s="264">
        <v>300.92</v>
      </c>
      <c r="E15" s="731">
        <v>44692</v>
      </c>
      <c r="F15" s="264">
        <f t="shared" si="0"/>
        <v>300.92</v>
      </c>
      <c r="G15" s="265" t="s">
        <v>164</v>
      </c>
      <c r="H15" s="266">
        <v>56</v>
      </c>
      <c r="I15" s="259">
        <f t="shared" si="4"/>
        <v>5619.6899999999987</v>
      </c>
      <c r="K15" s="12"/>
      <c r="L15" s="195">
        <f t="shared" si="3"/>
        <v>150</v>
      </c>
      <c r="M15" s="15"/>
      <c r="N15" s="264"/>
      <c r="O15" s="731"/>
      <c r="P15" s="264">
        <f t="shared" si="1"/>
        <v>0</v>
      </c>
      <c r="Q15" s="265"/>
      <c r="R15" s="266"/>
      <c r="S15" s="259">
        <f t="shared" si="5"/>
        <v>3700.579999999999</v>
      </c>
    </row>
    <row r="16" spans="1:19" x14ac:dyDescent="0.25">
      <c r="B16" s="195">
        <f t="shared" si="2"/>
        <v>213</v>
      </c>
      <c r="C16" s="15">
        <v>14</v>
      </c>
      <c r="D16" s="264">
        <v>353.78</v>
      </c>
      <c r="E16" s="731">
        <v>44693</v>
      </c>
      <c r="F16" s="264">
        <f t="shared" si="0"/>
        <v>353.78</v>
      </c>
      <c r="G16" s="265" t="s">
        <v>170</v>
      </c>
      <c r="H16" s="266">
        <v>56</v>
      </c>
      <c r="I16" s="259">
        <f t="shared" si="4"/>
        <v>5265.9099999999989</v>
      </c>
      <c r="L16" s="195">
        <f t="shared" si="3"/>
        <v>150</v>
      </c>
      <c r="M16" s="15"/>
      <c r="N16" s="264"/>
      <c r="O16" s="731"/>
      <c r="P16" s="264">
        <f t="shared" si="1"/>
        <v>0</v>
      </c>
      <c r="Q16" s="265"/>
      <c r="R16" s="266"/>
      <c r="S16" s="259">
        <f t="shared" si="5"/>
        <v>3700.579999999999</v>
      </c>
    </row>
    <row r="17" spans="2:19" x14ac:dyDescent="0.25">
      <c r="B17" s="195">
        <f t="shared" si="2"/>
        <v>212</v>
      </c>
      <c r="C17" s="15">
        <v>1</v>
      </c>
      <c r="D17" s="264">
        <v>28.77</v>
      </c>
      <c r="E17" s="731">
        <v>44693</v>
      </c>
      <c r="F17" s="264">
        <f t="shared" si="0"/>
        <v>28.77</v>
      </c>
      <c r="G17" s="265" t="s">
        <v>167</v>
      </c>
      <c r="H17" s="266">
        <v>56</v>
      </c>
      <c r="I17" s="259">
        <f t="shared" si="4"/>
        <v>5237.1399999999985</v>
      </c>
      <c r="L17" s="195">
        <f t="shared" si="3"/>
        <v>150</v>
      </c>
      <c r="M17" s="15"/>
      <c r="N17" s="264"/>
      <c r="O17" s="731"/>
      <c r="P17" s="264">
        <f t="shared" si="1"/>
        <v>0</v>
      </c>
      <c r="Q17" s="265"/>
      <c r="R17" s="266"/>
      <c r="S17" s="259">
        <f t="shared" si="5"/>
        <v>3700.579999999999</v>
      </c>
    </row>
    <row r="18" spans="2:19" x14ac:dyDescent="0.25">
      <c r="B18" s="195">
        <f t="shared" si="2"/>
        <v>204</v>
      </c>
      <c r="C18" s="15">
        <v>8</v>
      </c>
      <c r="D18" s="264">
        <v>198.46</v>
      </c>
      <c r="E18" s="731">
        <v>44693</v>
      </c>
      <c r="F18" s="264">
        <f t="shared" si="0"/>
        <v>198.46</v>
      </c>
      <c r="G18" s="265" t="s">
        <v>168</v>
      </c>
      <c r="H18" s="266">
        <v>56</v>
      </c>
      <c r="I18" s="259">
        <f t="shared" si="4"/>
        <v>5038.6799999999985</v>
      </c>
      <c r="L18" s="195">
        <f t="shared" si="3"/>
        <v>150</v>
      </c>
      <c r="M18" s="15"/>
      <c r="N18" s="264"/>
      <c r="O18" s="731"/>
      <c r="P18" s="264">
        <f t="shared" si="1"/>
        <v>0</v>
      </c>
      <c r="Q18" s="265"/>
      <c r="R18" s="266"/>
      <c r="S18" s="259">
        <f t="shared" si="5"/>
        <v>3700.579999999999</v>
      </c>
    </row>
    <row r="19" spans="2:19" x14ac:dyDescent="0.25">
      <c r="B19" s="195">
        <f t="shared" si="2"/>
        <v>202</v>
      </c>
      <c r="C19" s="53">
        <v>2</v>
      </c>
      <c r="D19" s="264">
        <v>49.02</v>
      </c>
      <c r="E19" s="731">
        <v>44693</v>
      </c>
      <c r="F19" s="264">
        <f t="shared" si="0"/>
        <v>49.02</v>
      </c>
      <c r="G19" s="265" t="s">
        <v>171</v>
      </c>
      <c r="H19" s="266">
        <v>56</v>
      </c>
      <c r="I19" s="259">
        <f t="shared" si="4"/>
        <v>4989.659999999998</v>
      </c>
      <c r="L19" s="195">
        <f t="shared" si="3"/>
        <v>150</v>
      </c>
      <c r="M19" s="53"/>
      <c r="N19" s="264"/>
      <c r="O19" s="731"/>
      <c r="P19" s="264">
        <f t="shared" si="1"/>
        <v>0</v>
      </c>
      <c r="Q19" s="265"/>
      <c r="R19" s="266"/>
      <c r="S19" s="259">
        <f t="shared" si="5"/>
        <v>3700.579999999999</v>
      </c>
    </row>
    <row r="20" spans="2:19" x14ac:dyDescent="0.25">
      <c r="B20" s="195">
        <f t="shared" si="2"/>
        <v>186</v>
      </c>
      <c r="C20" s="15">
        <v>16</v>
      </c>
      <c r="D20" s="264">
        <v>414.14</v>
      </c>
      <c r="E20" s="731">
        <v>44695</v>
      </c>
      <c r="F20" s="264">
        <f t="shared" si="0"/>
        <v>414.14</v>
      </c>
      <c r="G20" s="265" t="s">
        <v>226</v>
      </c>
      <c r="H20" s="266">
        <v>56</v>
      </c>
      <c r="I20" s="259">
        <f t="shared" si="4"/>
        <v>4575.5199999999977</v>
      </c>
      <c r="L20" s="195">
        <f t="shared" si="3"/>
        <v>150</v>
      </c>
      <c r="M20" s="15"/>
      <c r="N20" s="264"/>
      <c r="O20" s="731"/>
      <c r="P20" s="264">
        <f t="shared" si="1"/>
        <v>0</v>
      </c>
      <c r="Q20" s="265"/>
      <c r="R20" s="266"/>
      <c r="S20" s="259">
        <f t="shared" si="5"/>
        <v>3700.579999999999</v>
      </c>
    </row>
    <row r="21" spans="2:19" x14ac:dyDescent="0.25">
      <c r="B21" s="195">
        <f t="shared" si="2"/>
        <v>174</v>
      </c>
      <c r="C21" s="15">
        <v>12</v>
      </c>
      <c r="D21" s="264">
        <v>296.16000000000003</v>
      </c>
      <c r="E21" s="731">
        <v>44695</v>
      </c>
      <c r="F21" s="264">
        <f t="shared" si="0"/>
        <v>296.16000000000003</v>
      </c>
      <c r="G21" s="265" t="s">
        <v>190</v>
      </c>
      <c r="H21" s="266">
        <v>56</v>
      </c>
      <c r="I21" s="259">
        <f t="shared" si="4"/>
        <v>4279.3599999999979</v>
      </c>
      <c r="L21" s="195">
        <f t="shared" si="3"/>
        <v>150</v>
      </c>
      <c r="M21" s="15"/>
      <c r="N21" s="264"/>
      <c r="O21" s="731"/>
      <c r="P21" s="264">
        <f t="shared" si="1"/>
        <v>0</v>
      </c>
      <c r="Q21" s="265"/>
      <c r="R21" s="266"/>
      <c r="S21" s="259">
        <f t="shared" si="5"/>
        <v>3700.579999999999</v>
      </c>
    </row>
    <row r="22" spans="2:19" x14ac:dyDescent="0.25">
      <c r="B22" s="195">
        <f t="shared" si="2"/>
        <v>166</v>
      </c>
      <c r="C22" s="15">
        <v>8</v>
      </c>
      <c r="D22" s="264">
        <v>210.4</v>
      </c>
      <c r="E22" s="731">
        <v>44695</v>
      </c>
      <c r="F22" s="264">
        <f t="shared" si="0"/>
        <v>210.4</v>
      </c>
      <c r="G22" s="265" t="s">
        <v>227</v>
      </c>
      <c r="H22" s="266">
        <v>56</v>
      </c>
      <c r="I22" s="259">
        <f t="shared" si="4"/>
        <v>4068.9599999999978</v>
      </c>
      <c r="L22" s="195">
        <f t="shared" si="3"/>
        <v>150</v>
      </c>
      <c r="M22" s="15"/>
      <c r="N22" s="264"/>
      <c r="O22" s="731"/>
      <c r="P22" s="264">
        <f t="shared" si="1"/>
        <v>0</v>
      </c>
      <c r="Q22" s="265"/>
      <c r="R22" s="266"/>
      <c r="S22" s="259">
        <f t="shared" si="5"/>
        <v>3700.579999999999</v>
      </c>
    </row>
    <row r="23" spans="2:19" x14ac:dyDescent="0.25">
      <c r="B23" s="195">
        <f t="shared" si="2"/>
        <v>156</v>
      </c>
      <c r="C23" s="15">
        <v>10</v>
      </c>
      <c r="D23" s="264">
        <v>237.46</v>
      </c>
      <c r="E23" s="731">
        <v>44697</v>
      </c>
      <c r="F23" s="264">
        <f t="shared" si="0"/>
        <v>237.46</v>
      </c>
      <c r="G23" s="265" t="s">
        <v>228</v>
      </c>
      <c r="H23" s="266">
        <v>56</v>
      </c>
      <c r="I23" s="259">
        <f t="shared" si="4"/>
        <v>3831.4999999999977</v>
      </c>
      <c r="L23" s="195">
        <f t="shared" si="3"/>
        <v>150</v>
      </c>
      <c r="M23" s="15"/>
      <c r="N23" s="264"/>
      <c r="O23" s="731"/>
      <c r="P23" s="264">
        <f t="shared" si="1"/>
        <v>0</v>
      </c>
      <c r="Q23" s="265"/>
      <c r="R23" s="266"/>
      <c r="S23" s="259">
        <f t="shared" si="5"/>
        <v>3700.579999999999</v>
      </c>
    </row>
    <row r="24" spans="2:19" x14ac:dyDescent="0.25">
      <c r="B24" s="195">
        <f t="shared" si="2"/>
        <v>152</v>
      </c>
      <c r="C24" s="15">
        <v>4</v>
      </c>
      <c r="D24" s="264">
        <v>101.09</v>
      </c>
      <c r="E24" s="731">
        <v>44698</v>
      </c>
      <c r="F24" s="264">
        <f t="shared" si="0"/>
        <v>101.09</v>
      </c>
      <c r="G24" s="265" t="s">
        <v>229</v>
      </c>
      <c r="H24" s="266">
        <v>56</v>
      </c>
      <c r="I24" s="259">
        <f t="shared" si="4"/>
        <v>3730.4099999999976</v>
      </c>
      <c r="L24" s="195">
        <f t="shared" si="3"/>
        <v>150</v>
      </c>
      <c r="M24" s="15"/>
      <c r="N24" s="264"/>
      <c r="O24" s="731"/>
      <c r="P24" s="264">
        <f t="shared" si="1"/>
        <v>0</v>
      </c>
      <c r="Q24" s="265"/>
      <c r="R24" s="266"/>
      <c r="S24" s="259">
        <f t="shared" si="5"/>
        <v>3700.579999999999</v>
      </c>
    </row>
    <row r="25" spans="2:19" x14ac:dyDescent="0.25">
      <c r="B25" s="195">
        <f t="shared" si="2"/>
        <v>148</v>
      </c>
      <c r="C25" s="15">
        <v>4</v>
      </c>
      <c r="D25" s="264">
        <v>102.73</v>
      </c>
      <c r="E25" s="731">
        <v>44698</v>
      </c>
      <c r="F25" s="264">
        <f t="shared" si="0"/>
        <v>102.73</v>
      </c>
      <c r="G25" s="265" t="s">
        <v>230</v>
      </c>
      <c r="H25" s="266">
        <v>56</v>
      </c>
      <c r="I25" s="259">
        <f t="shared" si="4"/>
        <v>3627.6799999999976</v>
      </c>
      <c r="L25" s="195">
        <f t="shared" si="3"/>
        <v>150</v>
      </c>
      <c r="M25" s="15"/>
      <c r="N25" s="264"/>
      <c r="O25" s="731"/>
      <c r="P25" s="264">
        <f t="shared" si="1"/>
        <v>0</v>
      </c>
      <c r="Q25" s="265"/>
      <c r="R25" s="266"/>
      <c r="S25" s="259">
        <f t="shared" si="5"/>
        <v>3700.579999999999</v>
      </c>
    </row>
    <row r="26" spans="2:19" x14ac:dyDescent="0.25">
      <c r="B26" s="195">
        <f t="shared" si="2"/>
        <v>135</v>
      </c>
      <c r="C26" s="15">
        <v>13</v>
      </c>
      <c r="D26" s="264">
        <v>308.55</v>
      </c>
      <c r="E26" s="731">
        <v>44699</v>
      </c>
      <c r="F26" s="264">
        <f t="shared" si="0"/>
        <v>308.55</v>
      </c>
      <c r="G26" s="265" t="s">
        <v>206</v>
      </c>
      <c r="H26" s="266">
        <v>56</v>
      </c>
      <c r="I26" s="259">
        <f t="shared" si="4"/>
        <v>3319.1299999999974</v>
      </c>
      <c r="L26" s="195">
        <f t="shared" si="3"/>
        <v>150</v>
      </c>
      <c r="M26" s="15"/>
      <c r="N26" s="264"/>
      <c r="O26" s="731"/>
      <c r="P26" s="264">
        <f t="shared" si="1"/>
        <v>0</v>
      </c>
      <c r="Q26" s="265"/>
      <c r="R26" s="266"/>
      <c r="S26" s="259">
        <f t="shared" si="5"/>
        <v>3700.579999999999</v>
      </c>
    </row>
    <row r="27" spans="2:19" x14ac:dyDescent="0.25">
      <c r="B27" s="195">
        <f t="shared" si="2"/>
        <v>127</v>
      </c>
      <c r="C27" s="15">
        <v>8</v>
      </c>
      <c r="D27" s="264">
        <v>199.83</v>
      </c>
      <c r="E27" s="731">
        <v>44699</v>
      </c>
      <c r="F27" s="264">
        <f t="shared" si="0"/>
        <v>199.83</v>
      </c>
      <c r="G27" s="265" t="s">
        <v>183</v>
      </c>
      <c r="H27" s="266">
        <v>56</v>
      </c>
      <c r="I27" s="259">
        <f t="shared" si="4"/>
        <v>3119.2999999999975</v>
      </c>
      <c r="L27" s="195">
        <f t="shared" si="3"/>
        <v>150</v>
      </c>
      <c r="M27" s="15"/>
      <c r="N27" s="264"/>
      <c r="O27" s="731"/>
      <c r="P27" s="264">
        <f t="shared" si="1"/>
        <v>0</v>
      </c>
      <c r="Q27" s="265"/>
      <c r="R27" s="266"/>
      <c r="S27" s="259">
        <f t="shared" si="5"/>
        <v>3700.579999999999</v>
      </c>
    </row>
    <row r="28" spans="2:19" x14ac:dyDescent="0.25">
      <c r="B28" s="195">
        <f t="shared" si="2"/>
        <v>123</v>
      </c>
      <c r="C28" s="15">
        <v>4</v>
      </c>
      <c r="D28" s="264">
        <v>99.71</v>
      </c>
      <c r="E28" s="731">
        <v>44702</v>
      </c>
      <c r="F28" s="264">
        <f t="shared" si="0"/>
        <v>99.71</v>
      </c>
      <c r="G28" s="265" t="s">
        <v>232</v>
      </c>
      <c r="H28" s="266">
        <v>56</v>
      </c>
      <c r="I28" s="259">
        <f t="shared" si="4"/>
        <v>3019.5899999999974</v>
      </c>
      <c r="L28" s="195">
        <f t="shared" si="3"/>
        <v>150</v>
      </c>
      <c r="M28" s="15"/>
      <c r="N28" s="264"/>
      <c r="O28" s="731"/>
      <c r="P28" s="264">
        <f t="shared" si="1"/>
        <v>0</v>
      </c>
      <c r="Q28" s="265"/>
      <c r="R28" s="266"/>
      <c r="S28" s="259">
        <f t="shared" si="5"/>
        <v>3700.579999999999</v>
      </c>
    </row>
    <row r="29" spans="2:19" x14ac:dyDescent="0.25">
      <c r="B29" s="195">
        <f t="shared" si="2"/>
        <v>122</v>
      </c>
      <c r="C29" s="15">
        <v>1</v>
      </c>
      <c r="D29" s="264">
        <v>25.21</v>
      </c>
      <c r="E29" s="731">
        <v>44702</v>
      </c>
      <c r="F29" s="264">
        <f t="shared" si="0"/>
        <v>25.21</v>
      </c>
      <c r="G29" s="265" t="s">
        <v>233</v>
      </c>
      <c r="H29" s="266">
        <v>56</v>
      </c>
      <c r="I29" s="259">
        <f t="shared" si="4"/>
        <v>2994.3799999999974</v>
      </c>
      <c r="L29" s="195">
        <f t="shared" si="3"/>
        <v>150</v>
      </c>
      <c r="M29" s="15"/>
      <c r="N29" s="264"/>
      <c r="O29" s="731"/>
      <c r="P29" s="264">
        <f t="shared" si="1"/>
        <v>0</v>
      </c>
      <c r="Q29" s="265"/>
      <c r="R29" s="266"/>
      <c r="S29" s="259">
        <f t="shared" si="5"/>
        <v>3700.579999999999</v>
      </c>
    </row>
    <row r="30" spans="2:19" x14ac:dyDescent="0.25">
      <c r="B30" s="195">
        <f t="shared" si="2"/>
        <v>113</v>
      </c>
      <c r="C30" s="15">
        <v>9</v>
      </c>
      <c r="D30" s="264">
        <v>215.94</v>
      </c>
      <c r="E30" s="731">
        <v>44704</v>
      </c>
      <c r="F30" s="264">
        <f t="shared" si="0"/>
        <v>215.94</v>
      </c>
      <c r="G30" s="265" t="s">
        <v>235</v>
      </c>
      <c r="H30" s="266">
        <v>56</v>
      </c>
      <c r="I30" s="259">
        <f t="shared" si="4"/>
        <v>2778.4399999999973</v>
      </c>
      <c r="L30" s="195">
        <f t="shared" si="3"/>
        <v>150</v>
      </c>
      <c r="M30" s="15"/>
      <c r="N30" s="264"/>
      <c r="O30" s="731"/>
      <c r="P30" s="264">
        <f t="shared" si="1"/>
        <v>0</v>
      </c>
      <c r="Q30" s="265"/>
      <c r="R30" s="266"/>
      <c r="S30" s="259">
        <f t="shared" si="5"/>
        <v>3700.579999999999</v>
      </c>
    </row>
    <row r="31" spans="2:19" x14ac:dyDescent="0.25">
      <c r="B31" s="195">
        <f t="shared" si="2"/>
        <v>101</v>
      </c>
      <c r="C31" s="15">
        <v>12</v>
      </c>
      <c r="D31" s="264">
        <v>301.39</v>
      </c>
      <c r="E31" s="731">
        <v>44706</v>
      </c>
      <c r="F31" s="264">
        <f t="shared" si="0"/>
        <v>301.39</v>
      </c>
      <c r="G31" s="265" t="s">
        <v>242</v>
      </c>
      <c r="H31" s="266">
        <v>56</v>
      </c>
      <c r="I31" s="259">
        <f t="shared" si="4"/>
        <v>2477.0499999999975</v>
      </c>
      <c r="L31" s="195">
        <f t="shared" si="3"/>
        <v>150</v>
      </c>
      <c r="M31" s="15"/>
      <c r="N31" s="264"/>
      <c r="O31" s="731"/>
      <c r="P31" s="264">
        <f t="shared" si="1"/>
        <v>0</v>
      </c>
      <c r="Q31" s="265"/>
      <c r="R31" s="266"/>
      <c r="S31" s="259">
        <f t="shared" si="5"/>
        <v>3700.579999999999</v>
      </c>
    </row>
    <row r="32" spans="2:19" x14ac:dyDescent="0.25">
      <c r="B32" s="195">
        <f t="shared" si="2"/>
        <v>85</v>
      </c>
      <c r="C32" s="15">
        <v>16</v>
      </c>
      <c r="D32" s="264">
        <v>408</v>
      </c>
      <c r="E32" s="731">
        <v>44707</v>
      </c>
      <c r="F32" s="264">
        <f t="shared" si="0"/>
        <v>408</v>
      </c>
      <c r="G32" s="265" t="s">
        <v>241</v>
      </c>
      <c r="H32" s="266">
        <v>56</v>
      </c>
      <c r="I32" s="259">
        <f t="shared" si="4"/>
        <v>2069.0499999999975</v>
      </c>
      <c r="L32" s="195">
        <f t="shared" si="3"/>
        <v>150</v>
      </c>
      <c r="M32" s="15"/>
      <c r="N32" s="264"/>
      <c r="O32" s="731"/>
      <c r="P32" s="264">
        <f t="shared" si="1"/>
        <v>0</v>
      </c>
      <c r="Q32" s="265"/>
      <c r="R32" s="266"/>
      <c r="S32" s="259">
        <f t="shared" si="5"/>
        <v>3700.579999999999</v>
      </c>
    </row>
    <row r="33" spans="2:19" x14ac:dyDescent="0.25">
      <c r="B33" s="195">
        <f t="shared" si="2"/>
        <v>73</v>
      </c>
      <c r="C33" s="15">
        <v>12</v>
      </c>
      <c r="D33" s="264">
        <v>311.58999999999997</v>
      </c>
      <c r="E33" s="731">
        <v>44708</v>
      </c>
      <c r="F33" s="264">
        <f t="shared" si="0"/>
        <v>311.58999999999997</v>
      </c>
      <c r="G33" s="265" t="s">
        <v>256</v>
      </c>
      <c r="H33" s="266">
        <v>56</v>
      </c>
      <c r="I33" s="259">
        <f t="shared" si="4"/>
        <v>1757.4599999999975</v>
      </c>
      <c r="L33" s="195">
        <f t="shared" si="3"/>
        <v>150</v>
      </c>
      <c r="M33" s="15"/>
      <c r="N33" s="264"/>
      <c r="O33" s="731"/>
      <c r="P33" s="264">
        <f t="shared" si="1"/>
        <v>0</v>
      </c>
      <c r="Q33" s="265"/>
      <c r="R33" s="266"/>
      <c r="S33" s="259">
        <f t="shared" si="5"/>
        <v>3700.579999999999</v>
      </c>
    </row>
    <row r="34" spans="2:19" x14ac:dyDescent="0.25">
      <c r="B34" s="195">
        <f t="shared" si="2"/>
        <v>66</v>
      </c>
      <c r="C34" s="15">
        <v>7</v>
      </c>
      <c r="D34" s="264">
        <v>162.13</v>
      </c>
      <c r="E34" s="731">
        <v>44709</v>
      </c>
      <c r="F34" s="264">
        <f t="shared" si="0"/>
        <v>162.13</v>
      </c>
      <c r="G34" s="265" t="s">
        <v>262</v>
      </c>
      <c r="H34" s="266">
        <v>56</v>
      </c>
      <c r="I34" s="259">
        <f t="shared" si="4"/>
        <v>1595.3299999999977</v>
      </c>
      <c r="L34" s="195">
        <f t="shared" si="3"/>
        <v>150</v>
      </c>
      <c r="M34" s="15"/>
      <c r="N34" s="264"/>
      <c r="O34" s="731"/>
      <c r="P34" s="264">
        <f t="shared" si="1"/>
        <v>0</v>
      </c>
      <c r="Q34" s="265"/>
      <c r="R34" s="266"/>
      <c r="S34" s="259">
        <f t="shared" si="5"/>
        <v>3700.579999999999</v>
      </c>
    </row>
    <row r="35" spans="2:19" x14ac:dyDescent="0.25">
      <c r="B35" s="195">
        <f t="shared" si="2"/>
        <v>46</v>
      </c>
      <c r="C35" s="15">
        <v>20</v>
      </c>
      <c r="D35" s="858">
        <v>502.16</v>
      </c>
      <c r="E35" s="1063">
        <v>44715</v>
      </c>
      <c r="F35" s="858">
        <f t="shared" si="0"/>
        <v>502.16</v>
      </c>
      <c r="G35" s="422" t="s">
        <v>514</v>
      </c>
      <c r="H35" s="423">
        <v>56</v>
      </c>
      <c r="I35" s="259">
        <f t="shared" si="4"/>
        <v>1093.1699999999976</v>
      </c>
      <c r="L35" s="195">
        <f t="shared" si="3"/>
        <v>150</v>
      </c>
      <c r="M35" s="15"/>
      <c r="N35" s="858"/>
      <c r="O35" s="1063"/>
      <c r="P35" s="858">
        <f t="shared" si="1"/>
        <v>0</v>
      </c>
      <c r="Q35" s="422"/>
      <c r="R35" s="423"/>
      <c r="S35" s="259">
        <f t="shared" si="5"/>
        <v>3700.579999999999</v>
      </c>
    </row>
    <row r="36" spans="2:19" x14ac:dyDescent="0.25">
      <c r="B36" s="195">
        <f t="shared" si="2"/>
        <v>32</v>
      </c>
      <c r="C36" s="15">
        <v>14</v>
      </c>
      <c r="D36" s="858">
        <v>350.01</v>
      </c>
      <c r="E36" s="1063">
        <v>44716</v>
      </c>
      <c r="F36" s="858">
        <f t="shared" si="0"/>
        <v>350.01</v>
      </c>
      <c r="G36" s="422" t="s">
        <v>536</v>
      </c>
      <c r="H36" s="423">
        <v>56</v>
      </c>
      <c r="I36" s="259">
        <f t="shared" si="4"/>
        <v>743.15999999999758</v>
      </c>
      <c r="L36" s="195">
        <f t="shared" si="3"/>
        <v>150</v>
      </c>
      <c r="M36" s="15"/>
      <c r="N36" s="858"/>
      <c r="O36" s="1063"/>
      <c r="P36" s="858">
        <f t="shared" si="1"/>
        <v>0</v>
      </c>
      <c r="Q36" s="422"/>
      <c r="R36" s="423"/>
      <c r="S36" s="259">
        <f t="shared" si="5"/>
        <v>3700.579999999999</v>
      </c>
    </row>
    <row r="37" spans="2:19" x14ac:dyDescent="0.25">
      <c r="B37" s="195">
        <f t="shared" si="2"/>
        <v>16</v>
      </c>
      <c r="C37" s="15">
        <v>16</v>
      </c>
      <c r="D37" s="858">
        <v>382.7</v>
      </c>
      <c r="E37" s="1063">
        <v>44716</v>
      </c>
      <c r="F37" s="858">
        <f t="shared" si="0"/>
        <v>382.7</v>
      </c>
      <c r="G37" s="422" t="s">
        <v>537</v>
      </c>
      <c r="H37" s="423">
        <v>56</v>
      </c>
      <c r="I37" s="259">
        <f t="shared" si="4"/>
        <v>360.45999999999759</v>
      </c>
      <c r="L37" s="195">
        <f t="shared" si="3"/>
        <v>150</v>
      </c>
      <c r="M37" s="15"/>
      <c r="N37" s="858"/>
      <c r="O37" s="1063"/>
      <c r="P37" s="858">
        <f t="shared" si="1"/>
        <v>0</v>
      </c>
      <c r="Q37" s="422"/>
      <c r="R37" s="423"/>
      <c r="S37" s="259">
        <f t="shared" si="5"/>
        <v>3700.579999999999</v>
      </c>
    </row>
    <row r="38" spans="2:19" x14ac:dyDescent="0.25">
      <c r="B38" s="195">
        <f t="shared" si="2"/>
        <v>16</v>
      </c>
      <c r="C38" s="15"/>
      <c r="D38" s="227"/>
      <c r="E38" s="1062"/>
      <c r="F38" s="1170">
        <f t="shared" si="0"/>
        <v>0</v>
      </c>
      <c r="G38" s="1171"/>
      <c r="H38" s="1172"/>
      <c r="I38" s="1181">
        <f t="shared" si="4"/>
        <v>360.45999999999759</v>
      </c>
      <c r="L38" s="195">
        <f t="shared" si="3"/>
        <v>150</v>
      </c>
      <c r="M38" s="15"/>
      <c r="N38" s="227"/>
      <c r="O38" s="1062"/>
      <c r="P38" s="227">
        <f t="shared" si="1"/>
        <v>0</v>
      </c>
      <c r="Q38" s="911"/>
      <c r="R38" s="912"/>
      <c r="S38" s="259">
        <f t="shared" si="5"/>
        <v>3700.579999999999</v>
      </c>
    </row>
    <row r="39" spans="2:19" x14ac:dyDescent="0.25">
      <c r="B39" s="195">
        <f t="shared" si="2"/>
        <v>0</v>
      </c>
      <c r="C39" s="15">
        <v>16</v>
      </c>
      <c r="D39" s="227"/>
      <c r="E39" s="1062"/>
      <c r="F39" s="1170">
        <v>360.46</v>
      </c>
      <c r="G39" s="1171"/>
      <c r="H39" s="1172"/>
      <c r="I39" s="1181">
        <f t="shared" si="4"/>
        <v>-2.3874235921539366E-12</v>
      </c>
      <c r="L39" s="195">
        <f t="shared" si="3"/>
        <v>150</v>
      </c>
      <c r="M39" s="15"/>
      <c r="N39" s="227"/>
      <c r="O39" s="1062"/>
      <c r="P39" s="227">
        <f t="shared" si="1"/>
        <v>0</v>
      </c>
      <c r="Q39" s="911"/>
      <c r="R39" s="912"/>
      <c r="S39" s="259">
        <f t="shared" si="5"/>
        <v>3700.579999999999</v>
      </c>
    </row>
    <row r="40" spans="2:19" x14ac:dyDescent="0.25">
      <c r="B40" s="195">
        <f t="shared" si="2"/>
        <v>0</v>
      </c>
      <c r="C40" s="15"/>
      <c r="D40" s="227"/>
      <c r="E40" s="1062"/>
      <c r="F40" s="1170">
        <f t="shared" si="0"/>
        <v>0</v>
      </c>
      <c r="G40" s="1171"/>
      <c r="H40" s="1172"/>
      <c r="I40" s="1181">
        <f t="shared" si="4"/>
        <v>-2.3874235921539366E-12</v>
      </c>
      <c r="L40" s="195">
        <f t="shared" si="3"/>
        <v>150</v>
      </c>
      <c r="M40" s="15"/>
      <c r="N40" s="227"/>
      <c r="O40" s="1062"/>
      <c r="P40" s="227">
        <f t="shared" si="1"/>
        <v>0</v>
      </c>
      <c r="Q40" s="911"/>
      <c r="R40" s="912"/>
      <c r="S40" s="259">
        <f t="shared" si="5"/>
        <v>3700.579999999999</v>
      </c>
    </row>
    <row r="41" spans="2:19" x14ac:dyDescent="0.25">
      <c r="B41" s="195">
        <f t="shared" si="2"/>
        <v>0</v>
      </c>
      <c r="C41" s="15"/>
      <c r="D41" s="227"/>
      <c r="E41" s="1062"/>
      <c r="F41" s="1170">
        <f t="shared" si="0"/>
        <v>0</v>
      </c>
      <c r="G41" s="1171"/>
      <c r="H41" s="1172"/>
      <c r="I41" s="1181">
        <f t="shared" si="4"/>
        <v>-2.3874235921539366E-12</v>
      </c>
      <c r="L41" s="195">
        <f t="shared" si="3"/>
        <v>150</v>
      </c>
      <c r="M41" s="15"/>
      <c r="N41" s="227"/>
      <c r="O41" s="1062"/>
      <c r="P41" s="227">
        <f t="shared" si="1"/>
        <v>0</v>
      </c>
      <c r="Q41" s="911"/>
      <c r="R41" s="912"/>
      <c r="S41" s="259">
        <f t="shared" si="5"/>
        <v>3700.579999999999</v>
      </c>
    </row>
    <row r="42" spans="2:19" x14ac:dyDescent="0.25">
      <c r="B42" s="195">
        <f t="shared" si="2"/>
        <v>0</v>
      </c>
      <c r="C42" s="15"/>
      <c r="D42" s="227"/>
      <c r="E42" s="1062"/>
      <c r="F42" s="227">
        <f t="shared" si="0"/>
        <v>0</v>
      </c>
      <c r="G42" s="911"/>
      <c r="H42" s="912"/>
      <c r="I42" s="259">
        <f t="shared" si="4"/>
        <v>-2.3874235921539366E-12</v>
      </c>
      <c r="L42" s="195">
        <f t="shared" si="3"/>
        <v>150</v>
      </c>
      <c r="M42" s="15"/>
      <c r="N42" s="227"/>
      <c r="O42" s="1062"/>
      <c r="P42" s="227">
        <f t="shared" si="1"/>
        <v>0</v>
      </c>
      <c r="Q42" s="911"/>
      <c r="R42" s="912"/>
      <c r="S42" s="259">
        <f t="shared" si="5"/>
        <v>3700.579999999999</v>
      </c>
    </row>
    <row r="43" spans="2:19" x14ac:dyDescent="0.25">
      <c r="B43" s="195">
        <f t="shared" si="2"/>
        <v>0</v>
      </c>
      <c r="C43" s="15"/>
      <c r="D43" s="227"/>
      <c r="E43" s="1062"/>
      <c r="F43" s="227">
        <f t="shared" si="0"/>
        <v>0</v>
      </c>
      <c r="G43" s="911"/>
      <c r="H43" s="912"/>
      <c r="I43" s="259">
        <f t="shared" si="4"/>
        <v>-2.3874235921539366E-12</v>
      </c>
      <c r="L43" s="195">
        <f t="shared" si="3"/>
        <v>150</v>
      </c>
      <c r="M43" s="15"/>
      <c r="N43" s="227"/>
      <c r="O43" s="1062"/>
      <c r="P43" s="227">
        <f t="shared" si="1"/>
        <v>0</v>
      </c>
      <c r="Q43" s="911"/>
      <c r="R43" s="912"/>
      <c r="S43" s="259">
        <f t="shared" si="5"/>
        <v>3700.579999999999</v>
      </c>
    </row>
    <row r="44" spans="2:19" x14ac:dyDescent="0.25">
      <c r="B44" s="195">
        <f t="shared" si="2"/>
        <v>0</v>
      </c>
      <c r="C44" s="15"/>
      <c r="D44" s="227"/>
      <c r="E44" s="1062"/>
      <c r="F44" s="227">
        <f t="shared" si="0"/>
        <v>0</v>
      </c>
      <c r="G44" s="911"/>
      <c r="H44" s="912"/>
      <c r="I44" s="259">
        <f t="shared" si="4"/>
        <v>-2.3874235921539366E-12</v>
      </c>
      <c r="L44" s="195">
        <f t="shared" si="3"/>
        <v>150</v>
      </c>
      <c r="M44" s="15"/>
      <c r="N44" s="227"/>
      <c r="O44" s="1062"/>
      <c r="P44" s="227">
        <f t="shared" si="1"/>
        <v>0</v>
      </c>
      <c r="Q44" s="911"/>
      <c r="R44" s="912"/>
      <c r="S44" s="259">
        <f t="shared" si="5"/>
        <v>3700.579999999999</v>
      </c>
    </row>
    <row r="45" spans="2:19" x14ac:dyDescent="0.25">
      <c r="B45" s="195">
        <f t="shared" si="2"/>
        <v>0</v>
      </c>
      <c r="C45" s="15"/>
      <c r="D45" s="227"/>
      <c r="E45" s="1062"/>
      <c r="F45" s="227">
        <f t="shared" si="0"/>
        <v>0</v>
      </c>
      <c r="G45" s="911"/>
      <c r="H45" s="912"/>
      <c r="I45" s="259">
        <f t="shared" si="4"/>
        <v>-2.3874235921539366E-12</v>
      </c>
      <c r="L45" s="195">
        <f t="shared" si="3"/>
        <v>150</v>
      </c>
      <c r="M45" s="15"/>
      <c r="N45" s="227"/>
      <c r="O45" s="1062"/>
      <c r="P45" s="227">
        <f t="shared" si="1"/>
        <v>0</v>
      </c>
      <c r="Q45" s="911"/>
      <c r="R45" s="912"/>
      <c r="S45" s="259">
        <f t="shared" si="5"/>
        <v>3700.579999999999</v>
      </c>
    </row>
    <row r="46" spans="2:19" x14ac:dyDescent="0.25">
      <c r="B46" s="195">
        <f t="shared" si="2"/>
        <v>0</v>
      </c>
      <c r="C46" s="15"/>
      <c r="D46" s="227"/>
      <c r="E46" s="1062"/>
      <c r="F46" s="227">
        <f t="shared" si="0"/>
        <v>0</v>
      </c>
      <c r="G46" s="911"/>
      <c r="H46" s="912"/>
      <c r="I46" s="259">
        <f t="shared" si="4"/>
        <v>-2.3874235921539366E-12</v>
      </c>
      <c r="L46" s="195">
        <f t="shared" si="3"/>
        <v>150</v>
      </c>
      <c r="M46" s="15"/>
      <c r="N46" s="227"/>
      <c r="O46" s="1062"/>
      <c r="P46" s="227">
        <f t="shared" si="1"/>
        <v>0</v>
      </c>
      <c r="Q46" s="911"/>
      <c r="R46" s="912"/>
      <c r="S46" s="259">
        <f t="shared" si="5"/>
        <v>3700.579999999999</v>
      </c>
    </row>
    <row r="47" spans="2:19" x14ac:dyDescent="0.25">
      <c r="B47" s="195">
        <f t="shared" si="2"/>
        <v>0</v>
      </c>
      <c r="C47" s="15"/>
      <c r="D47" s="227"/>
      <c r="E47" s="1062"/>
      <c r="F47" s="227">
        <f t="shared" si="0"/>
        <v>0</v>
      </c>
      <c r="G47" s="911"/>
      <c r="H47" s="912"/>
      <c r="I47" s="259">
        <f t="shared" si="4"/>
        <v>-2.3874235921539366E-12</v>
      </c>
      <c r="L47" s="195">
        <f t="shared" si="3"/>
        <v>150</v>
      </c>
      <c r="M47" s="15"/>
      <c r="N47" s="227"/>
      <c r="O47" s="1062"/>
      <c r="P47" s="227">
        <f t="shared" si="1"/>
        <v>0</v>
      </c>
      <c r="Q47" s="911"/>
      <c r="R47" s="912"/>
      <c r="S47" s="259">
        <f t="shared" si="5"/>
        <v>3700.579999999999</v>
      </c>
    </row>
    <row r="48" spans="2:19" x14ac:dyDescent="0.25">
      <c r="B48" s="195">
        <f t="shared" si="2"/>
        <v>0</v>
      </c>
      <c r="C48" s="15"/>
      <c r="D48" s="227"/>
      <c r="E48" s="1062"/>
      <c r="F48" s="227">
        <f t="shared" si="0"/>
        <v>0</v>
      </c>
      <c r="G48" s="911"/>
      <c r="H48" s="912"/>
      <c r="I48" s="259">
        <f t="shared" si="4"/>
        <v>-2.3874235921539366E-12</v>
      </c>
      <c r="L48" s="195">
        <f t="shared" si="3"/>
        <v>150</v>
      </c>
      <c r="M48" s="15"/>
      <c r="N48" s="227"/>
      <c r="O48" s="1062"/>
      <c r="P48" s="227">
        <f t="shared" si="1"/>
        <v>0</v>
      </c>
      <c r="Q48" s="911"/>
      <c r="R48" s="912"/>
      <c r="S48" s="259">
        <f t="shared" si="5"/>
        <v>3700.579999999999</v>
      </c>
    </row>
    <row r="49" spans="2:19" x14ac:dyDescent="0.25">
      <c r="B49" s="195">
        <f t="shared" si="2"/>
        <v>0</v>
      </c>
      <c r="C49" s="15"/>
      <c r="D49" s="227"/>
      <c r="E49" s="1062"/>
      <c r="F49" s="227">
        <f t="shared" si="0"/>
        <v>0</v>
      </c>
      <c r="G49" s="911"/>
      <c r="H49" s="912"/>
      <c r="I49" s="259">
        <f t="shared" si="4"/>
        <v>-2.3874235921539366E-12</v>
      </c>
      <c r="L49" s="195">
        <f t="shared" si="3"/>
        <v>150</v>
      </c>
      <c r="M49" s="15"/>
      <c r="N49" s="227"/>
      <c r="O49" s="1062"/>
      <c r="P49" s="227">
        <f t="shared" si="1"/>
        <v>0</v>
      </c>
      <c r="Q49" s="911"/>
      <c r="R49" s="912"/>
      <c r="S49" s="259">
        <f t="shared" si="5"/>
        <v>3700.579999999999</v>
      </c>
    </row>
    <row r="50" spans="2:19" x14ac:dyDescent="0.25">
      <c r="B50" s="195">
        <f t="shared" si="2"/>
        <v>0</v>
      </c>
      <c r="C50" s="15"/>
      <c r="D50" s="227"/>
      <c r="E50" s="1062"/>
      <c r="F50" s="227">
        <f t="shared" si="0"/>
        <v>0</v>
      </c>
      <c r="G50" s="911"/>
      <c r="H50" s="912"/>
      <c r="I50" s="259">
        <f t="shared" si="4"/>
        <v>-2.3874235921539366E-12</v>
      </c>
      <c r="L50" s="195">
        <f t="shared" si="3"/>
        <v>150</v>
      </c>
      <c r="M50" s="15"/>
      <c r="N50" s="227"/>
      <c r="O50" s="1062"/>
      <c r="P50" s="227">
        <f t="shared" si="1"/>
        <v>0</v>
      </c>
      <c r="Q50" s="911"/>
      <c r="R50" s="912"/>
      <c r="S50" s="259">
        <f t="shared" si="5"/>
        <v>3700.579999999999</v>
      </c>
    </row>
    <row r="51" spans="2:19" x14ac:dyDescent="0.25">
      <c r="B51" s="195">
        <f t="shared" si="2"/>
        <v>0</v>
      </c>
      <c r="C51" s="15"/>
      <c r="D51" s="227"/>
      <c r="E51" s="1062"/>
      <c r="F51" s="227">
        <f t="shared" si="0"/>
        <v>0</v>
      </c>
      <c r="G51" s="911"/>
      <c r="H51" s="912"/>
      <c r="I51" s="259">
        <f t="shared" si="4"/>
        <v>-2.3874235921539366E-12</v>
      </c>
      <c r="L51" s="195">
        <f t="shared" si="3"/>
        <v>150</v>
      </c>
      <c r="M51" s="15"/>
      <c r="N51" s="227"/>
      <c r="O51" s="1062"/>
      <c r="P51" s="227">
        <f t="shared" si="1"/>
        <v>0</v>
      </c>
      <c r="Q51" s="911"/>
      <c r="R51" s="912"/>
      <c r="S51" s="259">
        <f t="shared" si="5"/>
        <v>3700.579999999999</v>
      </c>
    </row>
    <row r="52" spans="2:19" x14ac:dyDescent="0.25">
      <c r="B52" s="195">
        <f t="shared" si="2"/>
        <v>0</v>
      </c>
      <c r="C52" s="15"/>
      <c r="D52" s="227"/>
      <c r="E52" s="1062"/>
      <c r="F52" s="227">
        <f t="shared" si="0"/>
        <v>0</v>
      </c>
      <c r="G52" s="911"/>
      <c r="H52" s="912"/>
      <c r="I52" s="259">
        <f t="shared" si="4"/>
        <v>-2.3874235921539366E-12</v>
      </c>
      <c r="L52" s="195">
        <f t="shared" si="3"/>
        <v>150</v>
      </c>
      <c r="M52" s="15"/>
      <c r="N52" s="227"/>
      <c r="O52" s="1062"/>
      <c r="P52" s="227">
        <f t="shared" si="1"/>
        <v>0</v>
      </c>
      <c r="Q52" s="911"/>
      <c r="R52" s="912"/>
      <c r="S52" s="259">
        <f t="shared" si="5"/>
        <v>3700.579999999999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4"/>
        <v>-2.3874235921539366E-12</v>
      </c>
      <c r="L53" s="195">
        <f t="shared" si="3"/>
        <v>150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5"/>
        <v>3700.579999999999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0"/>
        <v>0</v>
      </c>
      <c r="G54" s="70"/>
      <c r="H54" s="71"/>
      <c r="I54" s="259">
        <f t="shared" si="4"/>
        <v>-2.3874235921539366E-12</v>
      </c>
      <c r="L54" s="195">
        <f t="shared" si="3"/>
        <v>150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5"/>
        <v>3700.579999999999</v>
      </c>
    </row>
    <row r="55" spans="2:19" ht="15.75" thickBot="1" x14ac:dyDescent="0.3">
      <c r="B55" s="3"/>
      <c r="C55" s="36"/>
      <c r="D55" s="155"/>
      <c r="E55" s="335"/>
      <c r="F55" s="155">
        <f t="shared" si="0"/>
        <v>0</v>
      </c>
      <c r="G55" s="220"/>
      <c r="H55" s="75"/>
      <c r="I55" s="259">
        <f t="shared" si="4"/>
        <v>-2.3874235921539366E-12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5"/>
        <v>3700.579999999999</v>
      </c>
    </row>
    <row r="56" spans="2:19" x14ac:dyDescent="0.25">
      <c r="C56" s="53">
        <f>SUM(C10:C55)</f>
        <v>287</v>
      </c>
      <c r="D56" s="124">
        <f>SUM(D10:D55)</f>
        <v>6784.94</v>
      </c>
      <c r="E56" s="171"/>
      <c r="F56" s="124">
        <f>SUM(F10:F55)</f>
        <v>7145.4</v>
      </c>
      <c r="G56" s="164"/>
      <c r="H56" s="164"/>
      <c r="M56" s="53">
        <f>SUM(M10:M55)</f>
        <v>56</v>
      </c>
      <c r="N56" s="124">
        <f>SUM(N10:N55)</f>
        <v>1364.06</v>
      </c>
      <c r="O56" s="171"/>
      <c r="P56" s="124">
        <f>SUM(P10:P55)</f>
        <v>1364.06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54" t="s">
        <v>11</v>
      </c>
      <c r="D61" s="1255"/>
      <c r="E61" s="57" t="e">
        <f>E4-F56+#REF!+E5+#REF!</f>
        <v>#REF!</v>
      </c>
      <c r="L61" s="91"/>
      <c r="M61" s="1254" t="s">
        <v>11</v>
      </c>
      <c r="N61" s="1255"/>
      <c r="O61" s="57" t="e">
        <f>O4-P56+#REF!+O5+#REF!</f>
        <v>#REF!</v>
      </c>
    </row>
  </sheetData>
  <mergeCells count="8">
    <mergeCell ref="A1:G1"/>
    <mergeCell ref="A4:A5"/>
    <mergeCell ref="C61:D61"/>
    <mergeCell ref="B4:B6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52"/>
      <c r="B1" s="1252"/>
      <c r="C1" s="1252"/>
      <c r="D1" s="1252"/>
      <c r="E1" s="1252"/>
      <c r="F1" s="1252"/>
      <c r="G1" s="1252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279"/>
      <c r="B5" s="1281" t="s">
        <v>80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280"/>
      <c r="B6" s="1282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83" t="s">
        <v>11</v>
      </c>
      <c r="D56" s="1284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S83"/>
  <sheetViews>
    <sheetView tabSelected="1" workbookViewId="0">
      <selection activeCell="C14" sqref="C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52" t="s">
        <v>267</v>
      </c>
      <c r="B1" s="1252"/>
      <c r="C1" s="1252"/>
      <c r="D1" s="1252"/>
      <c r="E1" s="1252"/>
      <c r="F1" s="1252"/>
      <c r="G1" s="1252"/>
      <c r="H1" s="11">
        <v>1</v>
      </c>
      <c r="K1" s="1252" t="s">
        <v>267</v>
      </c>
      <c r="L1" s="1252"/>
      <c r="M1" s="1252"/>
      <c r="N1" s="1252"/>
      <c r="O1" s="1252"/>
      <c r="P1" s="1252"/>
      <c r="Q1" s="1252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x14ac:dyDescent="0.25">
      <c r="A5" s="250" t="s">
        <v>223</v>
      </c>
      <c r="B5" s="1253" t="s">
        <v>225</v>
      </c>
      <c r="C5" s="563">
        <v>57</v>
      </c>
      <c r="D5" s="248">
        <v>44710</v>
      </c>
      <c r="E5" s="267">
        <v>1499.1</v>
      </c>
      <c r="F5" s="253">
        <v>2</v>
      </c>
      <c r="G5" s="260"/>
      <c r="K5" s="250" t="s">
        <v>223</v>
      </c>
      <c r="L5" s="1253" t="s">
        <v>225</v>
      </c>
      <c r="M5" s="563">
        <v>57</v>
      </c>
      <c r="N5" s="248">
        <v>44712</v>
      </c>
      <c r="O5" s="267">
        <v>2060</v>
      </c>
      <c r="P5" s="253">
        <v>2</v>
      </c>
      <c r="Q5" s="260"/>
    </row>
    <row r="6" spans="1:19" x14ac:dyDescent="0.25">
      <c r="A6" s="580" t="s">
        <v>224</v>
      </c>
      <c r="B6" s="1253"/>
      <c r="C6" s="322">
        <v>57</v>
      </c>
      <c r="D6" s="248">
        <v>44714</v>
      </c>
      <c r="E6" s="259">
        <v>2060.5</v>
      </c>
      <c r="F6" s="253">
        <v>2</v>
      </c>
      <c r="G6" s="262">
        <f>F78</f>
        <v>5565.1</v>
      </c>
      <c r="H6" s="7">
        <f>E6-G6+E7+E5-G5</f>
        <v>-4.5474735088646412E-13</v>
      </c>
      <c r="K6" s="580" t="s">
        <v>224</v>
      </c>
      <c r="L6" s="1253"/>
      <c r="M6" s="271"/>
      <c r="N6" s="248"/>
      <c r="O6" s="259"/>
      <c r="P6" s="253"/>
      <c r="Q6" s="262">
        <f>P78</f>
        <v>0</v>
      </c>
      <c r="R6" s="7">
        <f>O6-Q6+O7+O5-Q5</f>
        <v>2060</v>
      </c>
    </row>
    <row r="7" spans="1:19" ht="15.75" thickBot="1" x14ac:dyDescent="0.3">
      <c r="A7" s="240"/>
      <c r="B7" s="272"/>
      <c r="C7" s="575">
        <v>57</v>
      </c>
      <c r="D7" s="248">
        <v>44714</v>
      </c>
      <c r="E7" s="59">
        <v>2005.5</v>
      </c>
      <c r="F7" s="62">
        <v>2</v>
      </c>
      <c r="G7" s="240"/>
      <c r="K7" s="240"/>
      <c r="L7" s="272"/>
      <c r="M7" s="735"/>
      <c r="N7" s="248"/>
      <c r="O7" s="69"/>
      <c r="P7" s="7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4</v>
      </c>
      <c r="C9" s="263">
        <v>2</v>
      </c>
      <c r="D9" s="264">
        <v>1499.1</v>
      </c>
      <c r="E9" s="293">
        <v>44711</v>
      </c>
      <c r="F9" s="264">
        <f t="shared" ref="F9:F10" si="0">D9</f>
        <v>1499.1</v>
      </c>
      <c r="G9" s="265" t="s">
        <v>478</v>
      </c>
      <c r="H9" s="266">
        <v>58</v>
      </c>
      <c r="I9" s="275">
        <f>E6-F9+E5+E7+E4</f>
        <v>4066</v>
      </c>
      <c r="K9" s="80" t="s">
        <v>32</v>
      </c>
      <c r="L9" s="83">
        <f>P6-M9+P5+P7+P4</f>
        <v>2</v>
      </c>
      <c r="M9" s="15"/>
      <c r="N9" s="264"/>
      <c r="O9" s="293"/>
      <c r="P9" s="264">
        <f t="shared" ref="P9:P10" si="1">N9</f>
        <v>0</v>
      </c>
      <c r="Q9" s="265"/>
      <c r="R9" s="266"/>
      <c r="S9" s="275">
        <f>O6-P9+O5+O7+O4</f>
        <v>2060</v>
      </c>
    </row>
    <row r="10" spans="1:19" x14ac:dyDescent="0.25">
      <c r="A10" s="207"/>
      <c r="B10" s="83">
        <f>B9-C10</f>
        <v>2</v>
      </c>
      <c r="C10" s="15">
        <v>2</v>
      </c>
      <c r="D10" s="264">
        <v>2005.5</v>
      </c>
      <c r="E10" s="293">
        <v>44715</v>
      </c>
      <c r="F10" s="264">
        <f t="shared" si="0"/>
        <v>2005.5</v>
      </c>
      <c r="G10" s="265" t="s">
        <v>518</v>
      </c>
      <c r="H10" s="266">
        <v>58</v>
      </c>
      <c r="I10" s="275">
        <f>I9-F10</f>
        <v>2060.5</v>
      </c>
      <c r="K10" s="207"/>
      <c r="L10" s="83">
        <f>L9-M10</f>
        <v>2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2060</v>
      </c>
    </row>
    <row r="11" spans="1:19" x14ac:dyDescent="0.25">
      <c r="A11" s="195"/>
      <c r="B11" s="83">
        <f t="shared" ref="B11:B54" si="2">B10-C11</f>
        <v>0</v>
      </c>
      <c r="C11" s="15">
        <v>2</v>
      </c>
      <c r="D11" s="264">
        <v>2060.5</v>
      </c>
      <c r="E11" s="293">
        <v>44715</v>
      </c>
      <c r="F11" s="264">
        <f>D11</f>
        <v>2060.5</v>
      </c>
      <c r="G11" s="265" t="s">
        <v>532</v>
      </c>
      <c r="H11" s="266">
        <v>58</v>
      </c>
      <c r="I11" s="275">
        <f t="shared" ref="I11:I74" si="3">I10-F11</f>
        <v>0</v>
      </c>
      <c r="K11" s="195"/>
      <c r="L11" s="83">
        <f t="shared" ref="L11:L54" si="4">L10-M11</f>
        <v>2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74" si="5">S10-P11</f>
        <v>2060</v>
      </c>
    </row>
    <row r="12" spans="1:19" x14ac:dyDescent="0.25">
      <c r="A12" s="195"/>
      <c r="B12" s="83">
        <f t="shared" si="2"/>
        <v>0</v>
      </c>
      <c r="C12" s="15"/>
      <c r="D12" s="264"/>
      <c r="E12" s="293"/>
      <c r="F12" s="1178">
        <f>D12</f>
        <v>0</v>
      </c>
      <c r="G12" s="1179"/>
      <c r="H12" s="1007"/>
      <c r="I12" s="1173">
        <f t="shared" si="3"/>
        <v>0</v>
      </c>
      <c r="K12" s="195"/>
      <c r="L12" s="83">
        <f t="shared" si="4"/>
        <v>2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2060</v>
      </c>
    </row>
    <row r="13" spans="1:19" x14ac:dyDescent="0.25">
      <c r="A13" s="82" t="s">
        <v>33</v>
      </c>
      <c r="B13" s="83">
        <f t="shared" si="2"/>
        <v>0</v>
      </c>
      <c r="C13" s="15"/>
      <c r="D13" s="264"/>
      <c r="E13" s="293"/>
      <c r="F13" s="1178">
        <f t="shared" ref="F13:F73" si="6">D13</f>
        <v>0</v>
      </c>
      <c r="G13" s="1179"/>
      <c r="H13" s="1007"/>
      <c r="I13" s="1173">
        <f t="shared" si="3"/>
        <v>0</v>
      </c>
      <c r="K13" s="82" t="s">
        <v>33</v>
      </c>
      <c r="L13" s="83">
        <f t="shared" si="4"/>
        <v>2</v>
      </c>
      <c r="M13" s="15"/>
      <c r="N13" s="264"/>
      <c r="O13" s="293"/>
      <c r="P13" s="264">
        <f t="shared" ref="P13:P73" si="7">N13</f>
        <v>0</v>
      </c>
      <c r="Q13" s="265"/>
      <c r="R13" s="266"/>
      <c r="S13" s="275">
        <f t="shared" si="5"/>
        <v>2060</v>
      </c>
    </row>
    <row r="14" spans="1:19" x14ac:dyDescent="0.25">
      <c r="A14" s="73"/>
      <c r="B14" s="83">
        <f t="shared" si="2"/>
        <v>0</v>
      </c>
      <c r="C14" s="15"/>
      <c r="D14" s="264"/>
      <c r="E14" s="293"/>
      <c r="F14" s="1178">
        <f t="shared" si="6"/>
        <v>0</v>
      </c>
      <c r="G14" s="1179"/>
      <c r="H14" s="1007"/>
      <c r="I14" s="1173">
        <f t="shared" si="3"/>
        <v>0</v>
      </c>
      <c r="K14" s="73"/>
      <c r="L14" s="83">
        <f t="shared" si="4"/>
        <v>2</v>
      </c>
      <c r="M14" s="15"/>
      <c r="N14" s="264"/>
      <c r="O14" s="293"/>
      <c r="P14" s="264">
        <f t="shared" si="7"/>
        <v>0</v>
      </c>
      <c r="Q14" s="265"/>
      <c r="R14" s="266"/>
      <c r="S14" s="275">
        <f t="shared" si="5"/>
        <v>2060</v>
      </c>
    </row>
    <row r="15" spans="1:19" x14ac:dyDescent="0.25">
      <c r="A15" s="73"/>
      <c r="B15" s="83">
        <f t="shared" si="2"/>
        <v>0</v>
      </c>
      <c r="C15" s="15"/>
      <c r="D15" s="264"/>
      <c r="E15" s="293"/>
      <c r="F15" s="1178">
        <f t="shared" si="6"/>
        <v>0</v>
      </c>
      <c r="G15" s="1179"/>
      <c r="H15" s="1007"/>
      <c r="I15" s="1173">
        <f t="shared" si="3"/>
        <v>0</v>
      </c>
      <c r="K15" s="73"/>
      <c r="L15" s="83">
        <f t="shared" si="4"/>
        <v>2</v>
      </c>
      <c r="M15" s="15"/>
      <c r="N15" s="264"/>
      <c r="O15" s="293"/>
      <c r="P15" s="264">
        <f t="shared" si="7"/>
        <v>0</v>
      </c>
      <c r="Q15" s="265"/>
      <c r="R15" s="266"/>
      <c r="S15" s="275">
        <f t="shared" si="5"/>
        <v>2060</v>
      </c>
    </row>
    <row r="16" spans="1:19" x14ac:dyDescent="0.25">
      <c r="B16" s="83">
        <f t="shared" si="2"/>
        <v>0</v>
      </c>
      <c r="C16" s="15"/>
      <c r="D16" s="264"/>
      <c r="E16" s="293"/>
      <c r="F16" s="264">
        <f t="shared" si="6"/>
        <v>0</v>
      </c>
      <c r="G16" s="265"/>
      <c r="H16" s="266"/>
      <c r="I16" s="275">
        <f t="shared" si="3"/>
        <v>0</v>
      </c>
      <c r="L16" s="83">
        <f t="shared" si="4"/>
        <v>2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2060</v>
      </c>
    </row>
    <row r="17" spans="1:19" x14ac:dyDescent="0.25">
      <c r="B17" s="83">
        <f t="shared" si="2"/>
        <v>0</v>
      </c>
      <c r="C17" s="15"/>
      <c r="D17" s="264"/>
      <c r="E17" s="293"/>
      <c r="F17" s="264">
        <f t="shared" si="6"/>
        <v>0</v>
      </c>
      <c r="G17" s="265"/>
      <c r="H17" s="266"/>
      <c r="I17" s="275">
        <f t="shared" si="3"/>
        <v>0</v>
      </c>
      <c r="L17" s="83">
        <f t="shared" si="4"/>
        <v>2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2060</v>
      </c>
    </row>
    <row r="18" spans="1:19" x14ac:dyDescent="0.25">
      <c r="A18" s="122"/>
      <c r="B18" s="83">
        <f t="shared" si="2"/>
        <v>0</v>
      </c>
      <c r="C18" s="15"/>
      <c r="D18" s="264"/>
      <c r="E18" s="293"/>
      <c r="F18" s="264">
        <f t="shared" si="6"/>
        <v>0</v>
      </c>
      <c r="G18" s="265"/>
      <c r="H18" s="266"/>
      <c r="I18" s="275">
        <f t="shared" si="3"/>
        <v>0</v>
      </c>
      <c r="K18" s="122"/>
      <c r="L18" s="83">
        <f t="shared" si="4"/>
        <v>2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2060</v>
      </c>
    </row>
    <row r="19" spans="1:19" x14ac:dyDescent="0.25">
      <c r="A19" s="122"/>
      <c r="B19" s="83">
        <f t="shared" si="2"/>
        <v>0</v>
      </c>
      <c r="C19" s="15"/>
      <c r="D19" s="264"/>
      <c r="E19" s="293"/>
      <c r="F19" s="264">
        <f t="shared" si="6"/>
        <v>0</v>
      </c>
      <c r="G19" s="265"/>
      <c r="H19" s="266"/>
      <c r="I19" s="275">
        <f t="shared" si="3"/>
        <v>0</v>
      </c>
      <c r="K19" s="122"/>
      <c r="L19" s="83">
        <f t="shared" si="4"/>
        <v>2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2060</v>
      </c>
    </row>
    <row r="20" spans="1:19" x14ac:dyDescent="0.25">
      <c r="A20" s="122"/>
      <c r="B20" s="83">
        <f t="shared" si="2"/>
        <v>0</v>
      </c>
      <c r="C20" s="15"/>
      <c r="D20" s="264"/>
      <c r="E20" s="293"/>
      <c r="F20" s="264">
        <f t="shared" si="6"/>
        <v>0</v>
      </c>
      <c r="G20" s="265"/>
      <c r="H20" s="266"/>
      <c r="I20" s="275">
        <f t="shared" si="3"/>
        <v>0</v>
      </c>
      <c r="K20" s="122"/>
      <c r="L20" s="83">
        <f t="shared" si="4"/>
        <v>2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2060</v>
      </c>
    </row>
    <row r="21" spans="1:19" x14ac:dyDescent="0.25">
      <c r="A21" s="122"/>
      <c r="B21" s="83">
        <f t="shared" si="2"/>
        <v>0</v>
      </c>
      <c r="C21" s="15"/>
      <c r="D21" s="264"/>
      <c r="E21" s="293"/>
      <c r="F21" s="264">
        <f t="shared" si="6"/>
        <v>0</v>
      </c>
      <c r="G21" s="265"/>
      <c r="H21" s="266"/>
      <c r="I21" s="275">
        <f t="shared" si="3"/>
        <v>0</v>
      </c>
      <c r="K21" s="122"/>
      <c r="L21" s="83">
        <f t="shared" si="4"/>
        <v>2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2060</v>
      </c>
    </row>
    <row r="22" spans="1:19" x14ac:dyDescent="0.25">
      <c r="A22" s="122"/>
      <c r="B22" s="281">
        <f t="shared" si="2"/>
        <v>0</v>
      </c>
      <c r="C22" s="15"/>
      <c r="D22" s="264"/>
      <c r="E22" s="293"/>
      <c r="F22" s="264">
        <f t="shared" si="6"/>
        <v>0</v>
      </c>
      <c r="G22" s="265"/>
      <c r="H22" s="266"/>
      <c r="I22" s="275">
        <f t="shared" si="3"/>
        <v>0</v>
      </c>
      <c r="K22" s="122"/>
      <c r="L22" s="281">
        <f t="shared" si="4"/>
        <v>2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2060</v>
      </c>
    </row>
    <row r="23" spans="1:19" x14ac:dyDescent="0.25">
      <c r="A23" s="123"/>
      <c r="B23" s="281">
        <f t="shared" si="2"/>
        <v>0</v>
      </c>
      <c r="C23" s="15"/>
      <c r="D23" s="264"/>
      <c r="E23" s="293"/>
      <c r="F23" s="264">
        <f t="shared" si="6"/>
        <v>0</v>
      </c>
      <c r="G23" s="265"/>
      <c r="H23" s="266"/>
      <c r="I23" s="275">
        <f t="shared" si="3"/>
        <v>0</v>
      </c>
      <c r="K23" s="123"/>
      <c r="L23" s="281">
        <f t="shared" si="4"/>
        <v>2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2060</v>
      </c>
    </row>
    <row r="24" spans="1:19" x14ac:dyDescent="0.25">
      <c r="A24" s="122"/>
      <c r="B24" s="281">
        <f t="shared" si="2"/>
        <v>0</v>
      </c>
      <c r="C24" s="15"/>
      <c r="D24" s="264"/>
      <c r="E24" s="293"/>
      <c r="F24" s="264">
        <f t="shared" si="6"/>
        <v>0</v>
      </c>
      <c r="G24" s="265"/>
      <c r="H24" s="266"/>
      <c r="I24" s="275">
        <f t="shared" si="3"/>
        <v>0</v>
      </c>
      <c r="K24" s="122"/>
      <c r="L24" s="281">
        <f t="shared" si="4"/>
        <v>2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2060</v>
      </c>
    </row>
    <row r="25" spans="1:19" x14ac:dyDescent="0.25">
      <c r="A25" s="122"/>
      <c r="B25" s="281">
        <f t="shared" si="2"/>
        <v>0</v>
      </c>
      <c r="C25" s="15"/>
      <c r="D25" s="264"/>
      <c r="E25" s="293"/>
      <c r="F25" s="264">
        <f t="shared" si="6"/>
        <v>0</v>
      </c>
      <c r="G25" s="265"/>
      <c r="H25" s="266"/>
      <c r="I25" s="275">
        <f t="shared" si="3"/>
        <v>0</v>
      </c>
      <c r="K25" s="122"/>
      <c r="L25" s="281">
        <f t="shared" si="4"/>
        <v>2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2060</v>
      </c>
    </row>
    <row r="26" spans="1:19" x14ac:dyDescent="0.25">
      <c r="A26" s="122"/>
      <c r="B26" s="195">
        <f t="shared" si="2"/>
        <v>0</v>
      </c>
      <c r="C26" s="15"/>
      <c r="D26" s="264"/>
      <c r="E26" s="293"/>
      <c r="F26" s="264">
        <f t="shared" si="6"/>
        <v>0</v>
      </c>
      <c r="G26" s="265"/>
      <c r="H26" s="266"/>
      <c r="I26" s="275">
        <f t="shared" si="3"/>
        <v>0</v>
      </c>
      <c r="K26" s="122"/>
      <c r="L26" s="195">
        <f t="shared" si="4"/>
        <v>2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2060</v>
      </c>
    </row>
    <row r="27" spans="1:19" x14ac:dyDescent="0.25">
      <c r="A27" s="122"/>
      <c r="B27" s="281">
        <f t="shared" si="2"/>
        <v>0</v>
      </c>
      <c r="C27" s="15"/>
      <c r="D27" s="264"/>
      <c r="E27" s="293"/>
      <c r="F27" s="264">
        <f t="shared" si="6"/>
        <v>0</v>
      </c>
      <c r="G27" s="265"/>
      <c r="H27" s="266"/>
      <c r="I27" s="275">
        <f t="shared" si="3"/>
        <v>0</v>
      </c>
      <c r="K27" s="122"/>
      <c r="L27" s="281">
        <f t="shared" si="4"/>
        <v>2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2060</v>
      </c>
    </row>
    <row r="28" spans="1:19" x14ac:dyDescent="0.25">
      <c r="A28" s="122"/>
      <c r="B28" s="195">
        <f t="shared" si="2"/>
        <v>0</v>
      </c>
      <c r="C28" s="15"/>
      <c r="D28" s="264"/>
      <c r="E28" s="293"/>
      <c r="F28" s="264">
        <f t="shared" si="6"/>
        <v>0</v>
      </c>
      <c r="G28" s="265"/>
      <c r="H28" s="266"/>
      <c r="I28" s="275">
        <f t="shared" si="3"/>
        <v>0</v>
      </c>
      <c r="K28" s="122"/>
      <c r="L28" s="195">
        <f t="shared" si="4"/>
        <v>2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2060</v>
      </c>
    </row>
    <row r="29" spans="1:19" x14ac:dyDescent="0.25">
      <c r="A29" s="122"/>
      <c r="B29" s="281">
        <f t="shared" si="2"/>
        <v>0</v>
      </c>
      <c r="C29" s="15"/>
      <c r="D29" s="264"/>
      <c r="E29" s="293"/>
      <c r="F29" s="264">
        <f t="shared" si="6"/>
        <v>0</v>
      </c>
      <c r="G29" s="265"/>
      <c r="H29" s="266"/>
      <c r="I29" s="275">
        <f t="shared" si="3"/>
        <v>0</v>
      </c>
      <c r="K29" s="122"/>
      <c r="L29" s="281">
        <f t="shared" si="4"/>
        <v>2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2060</v>
      </c>
    </row>
    <row r="30" spans="1:19" x14ac:dyDescent="0.25">
      <c r="A30" s="122"/>
      <c r="B30" s="281">
        <f t="shared" si="2"/>
        <v>0</v>
      </c>
      <c r="C30" s="15"/>
      <c r="D30" s="264"/>
      <c r="E30" s="293"/>
      <c r="F30" s="264">
        <f t="shared" si="6"/>
        <v>0</v>
      </c>
      <c r="G30" s="265"/>
      <c r="H30" s="266"/>
      <c r="I30" s="275">
        <f t="shared" si="3"/>
        <v>0</v>
      </c>
      <c r="K30" s="122"/>
      <c r="L30" s="281">
        <f t="shared" si="4"/>
        <v>2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2060</v>
      </c>
    </row>
    <row r="31" spans="1:19" x14ac:dyDescent="0.25">
      <c r="A31" s="122"/>
      <c r="B31" s="281">
        <f t="shared" si="2"/>
        <v>0</v>
      </c>
      <c r="C31" s="15"/>
      <c r="D31" s="264"/>
      <c r="E31" s="293"/>
      <c r="F31" s="264">
        <f t="shared" si="6"/>
        <v>0</v>
      </c>
      <c r="G31" s="265"/>
      <c r="H31" s="266"/>
      <c r="I31" s="275">
        <f t="shared" si="3"/>
        <v>0</v>
      </c>
      <c r="K31" s="122"/>
      <c r="L31" s="281">
        <f t="shared" si="4"/>
        <v>2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2060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0</v>
      </c>
      <c r="K32" s="122"/>
      <c r="L32" s="281">
        <f t="shared" si="4"/>
        <v>2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2060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0</v>
      </c>
      <c r="K33" s="122"/>
      <c r="L33" s="281">
        <f t="shared" si="4"/>
        <v>2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2060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0</v>
      </c>
      <c r="K34" s="122"/>
      <c r="L34" s="281">
        <f t="shared" si="4"/>
        <v>2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2060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0</v>
      </c>
      <c r="K35" s="122"/>
      <c r="L35" s="281">
        <f t="shared" si="4"/>
        <v>2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2060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2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2060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0</v>
      </c>
      <c r="K37" s="123"/>
      <c r="L37" s="281">
        <f t="shared" si="4"/>
        <v>2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2060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0</v>
      </c>
      <c r="K38" s="122"/>
      <c r="L38" s="281">
        <f t="shared" si="4"/>
        <v>2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2060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0</v>
      </c>
      <c r="K39" s="122"/>
      <c r="L39" s="83">
        <f t="shared" si="4"/>
        <v>2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2060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0</v>
      </c>
      <c r="K40" s="122"/>
      <c r="L40" s="83">
        <f t="shared" si="4"/>
        <v>2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2060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0</v>
      </c>
      <c r="K41" s="122"/>
      <c r="L41" s="83">
        <f t="shared" si="4"/>
        <v>2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2060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0</v>
      </c>
      <c r="K42" s="122"/>
      <c r="L42" s="83">
        <f t="shared" si="4"/>
        <v>2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2060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0</v>
      </c>
      <c r="K43" s="122"/>
      <c r="L43" s="83">
        <f t="shared" si="4"/>
        <v>2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2060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0</v>
      </c>
      <c r="K44" s="122"/>
      <c r="L44" s="83">
        <f t="shared" si="4"/>
        <v>2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2060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0</v>
      </c>
      <c r="K45" s="122"/>
      <c r="L45" s="83">
        <f t="shared" si="4"/>
        <v>2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2060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6"/>
        <v>0</v>
      </c>
      <c r="G46" s="265"/>
      <c r="H46" s="266"/>
      <c r="I46" s="275">
        <f t="shared" si="3"/>
        <v>0</v>
      </c>
      <c r="K46" s="122"/>
      <c r="L46" s="83">
        <f t="shared" si="4"/>
        <v>2</v>
      </c>
      <c r="M46" s="15"/>
      <c r="N46" s="264"/>
      <c r="O46" s="293"/>
      <c r="P46" s="264">
        <f t="shared" si="7"/>
        <v>0</v>
      </c>
      <c r="Q46" s="265"/>
      <c r="R46" s="266"/>
      <c r="S46" s="275">
        <f t="shared" si="5"/>
        <v>2060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6"/>
        <v>0</v>
      </c>
      <c r="G47" s="265"/>
      <c r="H47" s="266"/>
      <c r="I47" s="275">
        <f t="shared" si="3"/>
        <v>0</v>
      </c>
      <c r="K47" s="122"/>
      <c r="L47" s="83">
        <f t="shared" si="4"/>
        <v>2</v>
      </c>
      <c r="M47" s="15"/>
      <c r="N47" s="264"/>
      <c r="O47" s="293"/>
      <c r="P47" s="264">
        <f t="shared" si="7"/>
        <v>0</v>
      </c>
      <c r="Q47" s="265"/>
      <c r="R47" s="266"/>
      <c r="S47" s="275">
        <f t="shared" si="5"/>
        <v>2060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6"/>
        <v>0</v>
      </c>
      <c r="G48" s="265"/>
      <c r="H48" s="266"/>
      <c r="I48" s="275">
        <f t="shared" si="3"/>
        <v>0</v>
      </c>
      <c r="K48" s="122"/>
      <c r="L48" s="83">
        <f t="shared" si="4"/>
        <v>2</v>
      </c>
      <c r="M48" s="15"/>
      <c r="N48" s="264"/>
      <c r="O48" s="293"/>
      <c r="P48" s="264">
        <f t="shared" si="7"/>
        <v>0</v>
      </c>
      <c r="Q48" s="265"/>
      <c r="R48" s="266"/>
      <c r="S48" s="275">
        <f t="shared" si="5"/>
        <v>2060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6"/>
        <v>0</v>
      </c>
      <c r="G49" s="265"/>
      <c r="H49" s="266"/>
      <c r="I49" s="275">
        <f t="shared" si="3"/>
        <v>0</v>
      </c>
      <c r="K49" s="122"/>
      <c r="L49" s="83">
        <f t="shared" si="4"/>
        <v>2</v>
      </c>
      <c r="M49" s="15"/>
      <c r="N49" s="264"/>
      <c r="O49" s="293"/>
      <c r="P49" s="264">
        <f t="shared" si="7"/>
        <v>0</v>
      </c>
      <c r="Q49" s="265"/>
      <c r="R49" s="266"/>
      <c r="S49" s="275">
        <f t="shared" si="5"/>
        <v>2060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6"/>
        <v>0</v>
      </c>
      <c r="G50" s="265"/>
      <c r="H50" s="266"/>
      <c r="I50" s="275">
        <f t="shared" si="3"/>
        <v>0</v>
      </c>
      <c r="K50" s="122"/>
      <c r="L50" s="83">
        <f t="shared" si="4"/>
        <v>2</v>
      </c>
      <c r="M50" s="15"/>
      <c r="N50" s="264"/>
      <c r="O50" s="293"/>
      <c r="P50" s="264">
        <f t="shared" si="7"/>
        <v>0</v>
      </c>
      <c r="Q50" s="265"/>
      <c r="R50" s="266"/>
      <c r="S50" s="275">
        <f t="shared" si="5"/>
        <v>2060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6"/>
        <v>0</v>
      </c>
      <c r="G51" s="265"/>
      <c r="H51" s="266"/>
      <c r="I51" s="275">
        <f t="shared" si="3"/>
        <v>0</v>
      </c>
      <c r="K51" s="122"/>
      <c r="L51" s="83">
        <f t="shared" si="4"/>
        <v>2</v>
      </c>
      <c r="M51" s="15"/>
      <c r="N51" s="264"/>
      <c r="O51" s="293"/>
      <c r="P51" s="264">
        <f t="shared" si="7"/>
        <v>0</v>
      </c>
      <c r="Q51" s="265"/>
      <c r="R51" s="266"/>
      <c r="S51" s="275">
        <f t="shared" si="5"/>
        <v>2060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6"/>
        <v>0</v>
      </c>
      <c r="G52" s="265"/>
      <c r="H52" s="266"/>
      <c r="I52" s="275">
        <f t="shared" si="3"/>
        <v>0</v>
      </c>
      <c r="K52" s="122"/>
      <c r="L52" s="83">
        <f t="shared" si="4"/>
        <v>2</v>
      </c>
      <c r="M52" s="15"/>
      <c r="N52" s="264"/>
      <c r="O52" s="293"/>
      <c r="P52" s="264">
        <f t="shared" si="7"/>
        <v>0</v>
      </c>
      <c r="Q52" s="265"/>
      <c r="R52" s="266"/>
      <c r="S52" s="275">
        <f t="shared" si="5"/>
        <v>2060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6"/>
        <v>0</v>
      </c>
      <c r="G53" s="265"/>
      <c r="H53" s="266"/>
      <c r="I53" s="275">
        <f t="shared" si="3"/>
        <v>0</v>
      </c>
      <c r="K53" s="122"/>
      <c r="L53" s="83">
        <f t="shared" si="4"/>
        <v>2</v>
      </c>
      <c r="M53" s="15"/>
      <c r="N53" s="264"/>
      <c r="O53" s="293"/>
      <c r="P53" s="264">
        <f t="shared" si="7"/>
        <v>0</v>
      </c>
      <c r="Q53" s="265"/>
      <c r="R53" s="266"/>
      <c r="S53" s="275">
        <f t="shared" si="5"/>
        <v>2060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6"/>
        <v>0</v>
      </c>
      <c r="G54" s="265"/>
      <c r="H54" s="266"/>
      <c r="I54" s="275">
        <f t="shared" si="3"/>
        <v>0</v>
      </c>
      <c r="K54" s="122"/>
      <c r="L54" s="83">
        <f t="shared" si="4"/>
        <v>2</v>
      </c>
      <c r="M54" s="15"/>
      <c r="N54" s="264"/>
      <c r="O54" s="293"/>
      <c r="P54" s="264">
        <f t="shared" si="7"/>
        <v>0</v>
      </c>
      <c r="Q54" s="265"/>
      <c r="R54" s="266"/>
      <c r="S54" s="275">
        <f t="shared" si="5"/>
        <v>2060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6"/>
        <v>0</v>
      </c>
      <c r="G55" s="265"/>
      <c r="H55" s="266"/>
      <c r="I55" s="275">
        <f t="shared" si="3"/>
        <v>0</v>
      </c>
      <c r="K55" s="122"/>
      <c r="L55" s="12">
        <f>L54-M55</f>
        <v>2</v>
      </c>
      <c r="M55" s="15"/>
      <c r="N55" s="264"/>
      <c r="O55" s="293"/>
      <c r="P55" s="264">
        <f t="shared" si="7"/>
        <v>0</v>
      </c>
      <c r="Q55" s="265"/>
      <c r="R55" s="266"/>
      <c r="S55" s="275">
        <f t="shared" si="5"/>
        <v>2060</v>
      </c>
    </row>
    <row r="56" spans="1:19" x14ac:dyDescent="0.25">
      <c r="A56" s="122"/>
      <c r="B56" s="12">
        <f t="shared" ref="B56:B75" si="8">B55-C56</f>
        <v>0</v>
      </c>
      <c r="C56" s="15"/>
      <c r="D56" s="264"/>
      <c r="E56" s="293"/>
      <c r="F56" s="264">
        <f t="shared" si="6"/>
        <v>0</v>
      </c>
      <c r="G56" s="265"/>
      <c r="H56" s="266"/>
      <c r="I56" s="275">
        <f t="shared" si="3"/>
        <v>0</v>
      </c>
      <c r="K56" s="122"/>
      <c r="L56" s="12">
        <f t="shared" ref="L56:L75" si="9">L55-M56</f>
        <v>2</v>
      </c>
      <c r="M56" s="15"/>
      <c r="N56" s="264"/>
      <c r="O56" s="293"/>
      <c r="P56" s="264">
        <f t="shared" si="7"/>
        <v>0</v>
      </c>
      <c r="Q56" s="265"/>
      <c r="R56" s="266"/>
      <c r="S56" s="275">
        <f t="shared" si="5"/>
        <v>2060</v>
      </c>
    </row>
    <row r="57" spans="1:19" x14ac:dyDescent="0.25">
      <c r="A57" s="122"/>
      <c r="B57" s="12">
        <f t="shared" si="8"/>
        <v>0</v>
      </c>
      <c r="C57" s="15"/>
      <c r="D57" s="264"/>
      <c r="E57" s="293"/>
      <c r="F57" s="264">
        <f t="shared" si="6"/>
        <v>0</v>
      </c>
      <c r="G57" s="265"/>
      <c r="H57" s="266"/>
      <c r="I57" s="275">
        <f t="shared" si="3"/>
        <v>0</v>
      </c>
      <c r="K57" s="122"/>
      <c r="L57" s="12">
        <f t="shared" si="9"/>
        <v>2</v>
      </c>
      <c r="M57" s="15"/>
      <c r="N57" s="264"/>
      <c r="O57" s="293"/>
      <c r="P57" s="264">
        <f t="shared" si="7"/>
        <v>0</v>
      </c>
      <c r="Q57" s="265"/>
      <c r="R57" s="266"/>
      <c r="S57" s="275">
        <f t="shared" si="5"/>
        <v>2060</v>
      </c>
    </row>
    <row r="58" spans="1:19" x14ac:dyDescent="0.25">
      <c r="A58" s="122"/>
      <c r="B58" s="12">
        <f t="shared" si="8"/>
        <v>0</v>
      </c>
      <c r="C58" s="15"/>
      <c r="D58" s="264"/>
      <c r="E58" s="293"/>
      <c r="F58" s="264">
        <f t="shared" si="6"/>
        <v>0</v>
      </c>
      <c r="G58" s="265"/>
      <c r="H58" s="266"/>
      <c r="I58" s="275">
        <f t="shared" si="3"/>
        <v>0</v>
      </c>
      <c r="K58" s="122"/>
      <c r="L58" s="12">
        <f t="shared" si="9"/>
        <v>2</v>
      </c>
      <c r="M58" s="15"/>
      <c r="N58" s="264"/>
      <c r="O58" s="293"/>
      <c r="P58" s="264">
        <f t="shared" si="7"/>
        <v>0</v>
      </c>
      <c r="Q58" s="265"/>
      <c r="R58" s="266"/>
      <c r="S58" s="275">
        <f t="shared" si="5"/>
        <v>2060</v>
      </c>
    </row>
    <row r="59" spans="1:19" x14ac:dyDescent="0.25">
      <c r="A59" s="122"/>
      <c r="B59" s="12">
        <f t="shared" si="8"/>
        <v>0</v>
      </c>
      <c r="C59" s="15"/>
      <c r="D59" s="264"/>
      <c r="E59" s="293"/>
      <c r="F59" s="264">
        <f t="shared" si="6"/>
        <v>0</v>
      </c>
      <c r="G59" s="265"/>
      <c r="H59" s="266"/>
      <c r="I59" s="275">
        <f t="shared" si="3"/>
        <v>0</v>
      </c>
      <c r="K59" s="122"/>
      <c r="L59" s="12">
        <f t="shared" si="9"/>
        <v>2</v>
      </c>
      <c r="M59" s="15"/>
      <c r="N59" s="264"/>
      <c r="O59" s="293"/>
      <c r="P59" s="264">
        <f t="shared" si="7"/>
        <v>0</v>
      </c>
      <c r="Q59" s="265"/>
      <c r="R59" s="266"/>
      <c r="S59" s="275">
        <f t="shared" si="5"/>
        <v>2060</v>
      </c>
    </row>
    <row r="60" spans="1:19" x14ac:dyDescent="0.25">
      <c r="A60" s="122"/>
      <c r="B60" s="12">
        <f t="shared" si="8"/>
        <v>0</v>
      </c>
      <c r="C60" s="15"/>
      <c r="D60" s="264"/>
      <c r="E60" s="293"/>
      <c r="F60" s="264">
        <f t="shared" si="6"/>
        <v>0</v>
      </c>
      <c r="G60" s="265"/>
      <c r="H60" s="266"/>
      <c r="I60" s="275">
        <f t="shared" si="3"/>
        <v>0</v>
      </c>
      <c r="K60" s="122"/>
      <c r="L60" s="12">
        <f t="shared" si="9"/>
        <v>2</v>
      </c>
      <c r="M60" s="15"/>
      <c r="N60" s="264"/>
      <c r="O60" s="293"/>
      <c r="P60" s="264">
        <f t="shared" si="7"/>
        <v>0</v>
      </c>
      <c r="Q60" s="265"/>
      <c r="R60" s="266"/>
      <c r="S60" s="275">
        <f t="shared" si="5"/>
        <v>2060</v>
      </c>
    </row>
    <row r="61" spans="1:19" x14ac:dyDescent="0.25">
      <c r="A61" s="122"/>
      <c r="B61" s="12">
        <f t="shared" si="8"/>
        <v>0</v>
      </c>
      <c r="C61" s="15"/>
      <c r="D61" s="264"/>
      <c r="E61" s="293"/>
      <c r="F61" s="264">
        <f t="shared" si="6"/>
        <v>0</v>
      </c>
      <c r="G61" s="265"/>
      <c r="H61" s="266"/>
      <c r="I61" s="275">
        <f t="shared" si="3"/>
        <v>0</v>
      </c>
      <c r="K61" s="122"/>
      <c r="L61" s="12">
        <f t="shared" si="9"/>
        <v>2</v>
      </c>
      <c r="M61" s="15"/>
      <c r="N61" s="264"/>
      <c r="O61" s="293"/>
      <c r="P61" s="264">
        <f t="shared" si="7"/>
        <v>0</v>
      </c>
      <c r="Q61" s="265"/>
      <c r="R61" s="266"/>
      <c r="S61" s="275">
        <f t="shared" si="5"/>
        <v>2060</v>
      </c>
    </row>
    <row r="62" spans="1:19" x14ac:dyDescent="0.25">
      <c r="A62" s="122"/>
      <c r="B62" s="12">
        <f t="shared" si="8"/>
        <v>0</v>
      </c>
      <c r="C62" s="15"/>
      <c r="D62" s="264"/>
      <c r="E62" s="293"/>
      <c r="F62" s="264">
        <f t="shared" si="6"/>
        <v>0</v>
      </c>
      <c r="G62" s="265"/>
      <c r="H62" s="266"/>
      <c r="I62" s="275">
        <f t="shared" si="3"/>
        <v>0</v>
      </c>
      <c r="K62" s="122"/>
      <c r="L62" s="12">
        <f t="shared" si="9"/>
        <v>2</v>
      </c>
      <c r="M62" s="15"/>
      <c r="N62" s="264"/>
      <c r="O62" s="293"/>
      <c r="P62" s="264">
        <f t="shared" si="7"/>
        <v>0</v>
      </c>
      <c r="Q62" s="265"/>
      <c r="R62" s="266"/>
      <c r="S62" s="275">
        <f t="shared" si="5"/>
        <v>2060</v>
      </c>
    </row>
    <row r="63" spans="1:19" x14ac:dyDescent="0.25">
      <c r="A63" s="122"/>
      <c r="B63" s="12">
        <f t="shared" si="8"/>
        <v>0</v>
      </c>
      <c r="C63" s="15"/>
      <c r="D63" s="264"/>
      <c r="E63" s="293"/>
      <c r="F63" s="264">
        <f t="shared" si="6"/>
        <v>0</v>
      </c>
      <c r="G63" s="265"/>
      <c r="H63" s="266"/>
      <c r="I63" s="275">
        <f t="shared" si="3"/>
        <v>0</v>
      </c>
      <c r="K63" s="122"/>
      <c r="L63" s="12">
        <f t="shared" si="9"/>
        <v>2</v>
      </c>
      <c r="M63" s="15"/>
      <c r="N63" s="264"/>
      <c r="O63" s="293"/>
      <c r="P63" s="264">
        <f t="shared" si="7"/>
        <v>0</v>
      </c>
      <c r="Q63" s="265"/>
      <c r="R63" s="266"/>
      <c r="S63" s="275">
        <f t="shared" si="5"/>
        <v>2060</v>
      </c>
    </row>
    <row r="64" spans="1:19" x14ac:dyDescent="0.25">
      <c r="A64" s="122"/>
      <c r="B64" s="12">
        <f t="shared" si="8"/>
        <v>0</v>
      </c>
      <c r="C64" s="15"/>
      <c r="D64" s="264"/>
      <c r="E64" s="293"/>
      <c r="F64" s="264">
        <f t="shared" si="6"/>
        <v>0</v>
      </c>
      <c r="G64" s="265"/>
      <c r="H64" s="266"/>
      <c r="I64" s="275">
        <f t="shared" si="3"/>
        <v>0</v>
      </c>
      <c r="K64" s="122"/>
      <c r="L64" s="12">
        <f t="shared" si="9"/>
        <v>2</v>
      </c>
      <c r="M64" s="15"/>
      <c r="N64" s="264"/>
      <c r="O64" s="293"/>
      <c r="P64" s="264">
        <f t="shared" si="7"/>
        <v>0</v>
      </c>
      <c r="Q64" s="265"/>
      <c r="R64" s="266"/>
      <c r="S64" s="275">
        <f t="shared" si="5"/>
        <v>2060</v>
      </c>
    </row>
    <row r="65" spans="1:19" x14ac:dyDescent="0.25">
      <c r="A65" s="122"/>
      <c r="B65" s="12">
        <f t="shared" si="8"/>
        <v>0</v>
      </c>
      <c r="C65" s="15"/>
      <c r="D65" s="264"/>
      <c r="E65" s="293"/>
      <c r="F65" s="264">
        <f t="shared" si="6"/>
        <v>0</v>
      </c>
      <c r="G65" s="265"/>
      <c r="H65" s="266"/>
      <c r="I65" s="275">
        <f t="shared" si="3"/>
        <v>0</v>
      </c>
      <c r="K65" s="122"/>
      <c r="L65" s="12">
        <f t="shared" si="9"/>
        <v>2</v>
      </c>
      <c r="M65" s="15"/>
      <c r="N65" s="264"/>
      <c r="O65" s="293"/>
      <c r="P65" s="264">
        <f t="shared" si="7"/>
        <v>0</v>
      </c>
      <c r="Q65" s="265"/>
      <c r="R65" s="266"/>
      <c r="S65" s="275">
        <f t="shared" si="5"/>
        <v>2060</v>
      </c>
    </row>
    <row r="66" spans="1:19" x14ac:dyDescent="0.25">
      <c r="A66" s="122"/>
      <c r="B66" s="12">
        <f t="shared" si="8"/>
        <v>0</v>
      </c>
      <c r="C66" s="15"/>
      <c r="D66" s="264"/>
      <c r="E66" s="293"/>
      <c r="F66" s="264">
        <f t="shared" si="6"/>
        <v>0</v>
      </c>
      <c r="G66" s="265"/>
      <c r="H66" s="266"/>
      <c r="I66" s="275">
        <f t="shared" si="3"/>
        <v>0</v>
      </c>
      <c r="K66" s="122"/>
      <c r="L66" s="12">
        <f t="shared" si="9"/>
        <v>2</v>
      </c>
      <c r="M66" s="15"/>
      <c r="N66" s="264"/>
      <c r="O66" s="293"/>
      <c r="P66" s="264">
        <f t="shared" si="7"/>
        <v>0</v>
      </c>
      <c r="Q66" s="265"/>
      <c r="R66" s="266"/>
      <c r="S66" s="275">
        <f t="shared" si="5"/>
        <v>2060</v>
      </c>
    </row>
    <row r="67" spans="1:19" x14ac:dyDescent="0.25">
      <c r="A67" s="122"/>
      <c r="B67" s="12">
        <f t="shared" si="8"/>
        <v>0</v>
      </c>
      <c r="C67" s="15"/>
      <c r="D67" s="69"/>
      <c r="E67" s="216"/>
      <c r="F67" s="69">
        <f t="shared" si="6"/>
        <v>0</v>
      </c>
      <c r="G67" s="70"/>
      <c r="H67" s="71"/>
      <c r="I67" s="105">
        <f t="shared" si="3"/>
        <v>0</v>
      </c>
      <c r="K67" s="122"/>
      <c r="L67" s="12">
        <f t="shared" si="9"/>
        <v>2</v>
      </c>
      <c r="M67" s="15"/>
      <c r="N67" s="69"/>
      <c r="O67" s="216"/>
      <c r="P67" s="69">
        <f t="shared" si="7"/>
        <v>0</v>
      </c>
      <c r="Q67" s="70"/>
      <c r="R67" s="71"/>
      <c r="S67" s="105">
        <f t="shared" si="5"/>
        <v>2060</v>
      </c>
    </row>
    <row r="68" spans="1:19" x14ac:dyDescent="0.25">
      <c r="A68" s="122"/>
      <c r="B68" s="12">
        <f t="shared" si="8"/>
        <v>0</v>
      </c>
      <c r="C68" s="15"/>
      <c r="D68" s="59"/>
      <c r="E68" s="223"/>
      <c r="F68" s="69">
        <f t="shared" si="6"/>
        <v>0</v>
      </c>
      <c r="G68" s="70"/>
      <c r="H68" s="71"/>
      <c r="I68" s="105">
        <f t="shared" si="3"/>
        <v>0</v>
      </c>
      <c r="K68" s="122"/>
      <c r="L68" s="12">
        <f t="shared" si="9"/>
        <v>2</v>
      </c>
      <c r="M68" s="15"/>
      <c r="N68" s="59"/>
      <c r="O68" s="223"/>
      <c r="P68" s="69">
        <f t="shared" si="7"/>
        <v>0</v>
      </c>
      <c r="Q68" s="70"/>
      <c r="R68" s="71"/>
      <c r="S68" s="105">
        <f t="shared" si="5"/>
        <v>2060</v>
      </c>
    </row>
    <row r="69" spans="1:19" x14ac:dyDescent="0.25">
      <c r="A69" s="122"/>
      <c r="B69" s="12">
        <f t="shared" si="8"/>
        <v>0</v>
      </c>
      <c r="C69" s="15"/>
      <c r="D69" s="59"/>
      <c r="E69" s="223"/>
      <c r="F69" s="69">
        <f t="shared" si="6"/>
        <v>0</v>
      </c>
      <c r="G69" s="70"/>
      <c r="H69" s="71"/>
      <c r="I69" s="105">
        <f t="shared" si="3"/>
        <v>0</v>
      </c>
      <c r="K69" s="122"/>
      <c r="L69" s="12">
        <f t="shared" si="9"/>
        <v>2</v>
      </c>
      <c r="M69" s="15"/>
      <c r="N69" s="59"/>
      <c r="O69" s="223"/>
      <c r="P69" s="69">
        <f t="shared" si="7"/>
        <v>0</v>
      </c>
      <c r="Q69" s="70"/>
      <c r="R69" s="71"/>
      <c r="S69" s="105">
        <f t="shared" si="5"/>
        <v>2060</v>
      </c>
    </row>
    <row r="70" spans="1:19" x14ac:dyDescent="0.25">
      <c r="A70" s="122"/>
      <c r="B70" s="12">
        <f t="shared" si="8"/>
        <v>0</v>
      </c>
      <c r="C70" s="15"/>
      <c r="D70" s="59"/>
      <c r="E70" s="223"/>
      <c r="F70" s="69">
        <f t="shared" si="6"/>
        <v>0</v>
      </c>
      <c r="G70" s="70"/>
      <c r="H70" s="71"/>
      <c r="I70" s="105">
        <f t="shared" si="3"/>
        <v>0</v>
      </c>
      <c r="K70" s="122"/>
      <c r="L70" s="12">
        <f t="shared" si="9"/>
        <v>2</v>
      </c>
      <c r="M70" s="15"/>
      <c r="N70" s="59"/>
      <c r="O70" s="223"/>
      <c r="P70" s="69">
        <f t="shared" si="7"/>
        <v>0</v>
      </c>
      <c r="Q70" s="70"/>
      <c r="R70" s="71"/>
      <c r="S70" s="105">
        <f t="shared" si="5"/>
        <v>2060</v>
      </c>
    </row>
    <row r="71" spans="1:19" x14ac:dyDescent="0.25">
      <c r="A71" s="122"/>
      <c r="B71" s="12">
        <f t="shared" si="8"/>
        <v>0</v>
      </c>
      <c r="C71" s="15"/>
      <c r="D71" s="59"/>
      <c r="E71" s="223"/>
      <c r="F71" s="69">
        <f t="shared" si="6"/>
        <v>0</v>
      </c>
      <c r="G71" s="70"/>
      <c r="H71" s="71"/>
      <c r="I71" s="105">
        <f t="shared" si="3"/>
        <v>0</v>
      </c>
      <c r="K71" s="122"/>
      <c r="L71" s="12">
        <f t="shared" si="9"/>
        <v>2</v>
      </c>
      <c r="M71" s="15"/>
      <c r="N71" s="59"/>
      <c r="O71" s="223"/>
      <c r="P71" s="69">
        <f t="shared" si="7"/>
        <v>0</v>
      </c>
      <c r="Q71" s="70"/>
      <c r="R71" s="71"/>
      <c r="S71" s="105">
        <f t="shared" si="5"/>
        <v>2060</v>
      </c>
    </row>
    <row r="72" spans="1:19" x14ac:dyDescent="0.25">
      <c r="A72" s="122"/>
      <c r="B72" s="12">
        <f t="shared" si="8"/>
        <v>0</v>
      </c>
      <c r="C72" s="15"/>
      <c r="D72" s="59"/>
      <c r="E72" s="223"/>
      <c r="F72" s="69">
        <f t="shared" si="6"/>
        <v>0</v>
      </c>
      <c r="G72" s="70"/>
      <c r="H72" s="71"/>
      <c r="I72" s="105">
        <f t="shared" si="3"/>
        <v>0</v>
      </c>
      <c r="K72" s="122"/>
      <c r="L72" s="12">
        <f t="shared" si="9"/>
        <v>2</v>
      </c>
      <c r="M72" s="15"/>
      <c r="N72" s="59"/>
      <c r="O72" s="223"/>
      <c r="P72" s="69">
        <f t="shared" si="7"/>
        <v>0</v>
      </c>
      <c r="Q72" s="70"/>
      <c r="R72" s="71"/>
      <c r="S72" s="105">
        <f t="shared" si="5"/>
        <v>2060</v>
      </c>
    </row>
    <row r="73" spans="1:19" x14ac:dyDescent="0.25">
      <c r="A73" s="122"/>
      <c r="B73" s="12">
        <f t="shared" si="8"/>
        <v>0</v>
      </c>
      <c r="C73" s="15"/>
      <c r="D73" s="59"/>
      <c r="E73" s="223"/>
      <c r="F73" s="69">
        <f t="shared" si="6"/>
        <v>0</v>
      </c>
      <c r="G73" s="70"/>
      <c r="H73" s="71"/>
      <c r="I73" s="105">
        <f t="shared" si="3"/>
        <v>0</v>
      </c>
      <c r="K73" s="122"/>
      <c r="L73" s="12">
        <f t="shared" si="9"/>
        <v>2</v>
      </c>
      <c r="M73" s="15"/>
      <c r="N73" s="59"/>
      <c r="O73" s="223"/>
      <c r="P73" s="69">
        <f t="shared" si="7"/>
        <v>0</v>
      </c>
      <c r="Q73" s="70"/>
      <c r="R73" s="71"/>
      <c r="S73" s="105">
        <f t="shared" si="5"/>
        <v>2060</v>
      </c>
    </row>
    <row r="74" spans="1:19" x14ac:dyDescent="0.25">
      <c r="A74" s="122"/>
      <c r="B74" s="12">
        <f t="shared" si="8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3"/>
        <v>0</v>
      </c>
      <c r="K74" s="122"/>
      <c r="L74" s="12">
        <f t="shared" si="9"/>
        <v>2</v>
      </c>
      <c r="M74" s="15"/>
      <c r="N74" s="59"/>
      <c r="O74" s="223"/>
      <c r="P74" s="69">
        <f>N74</f>
        <v>0</v>
      </c>
      <c r="Q74" s="70"/>
      <c r="R74" s="71"/>
      <c r="S74" s="105">
        <f t="shared" si="5"/>
        <v>2060</v>
      </c>
    </row>
    <row r="75" spans="1:19" x14ac:dyDescent="0.25">
      <c r="A75" s="122"/>
      <c r="B75" s="12">
        <f t="shared" si="8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0">I74-F75</f>
        <v>0</v>
      </c>
      <c r="K75" s="122"/>
      <c r="L75" s="12">
        <f t="shared" si="9"/>
        <v>2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1">S74-P75</f>
        <v>2060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0"/>
        <v>0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1"/>
        <v>2060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6</v>
      </c>
      <c r="D78" s="6">
        <f>SUM(D9:D77)</f>
        <v>5565.1</v>
      </c>
      <c r="F78" s="6">
        <f>SUM(F9:F77)</f>
        <v>5565.1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2</v>
      </c>
    </row>
    <row r="82" spans="3:16" ht="15.75" thickBot="1" x14ac:dyDescent="0.3"/>
    <row r="83" spans="3:16" ht="15.75" thickBot="1" x14ac:dyDescent="0.3">
      <c r="C83" s="1254" t="s">
        <v>11</v>
      </c>
      <c r="D83" s="1255"/>
      <c r="E83" s="57">
        <f>E5+E6-F78+E7</f>
        <v>0</v>
      </c>
      <c r="F83" s="73"/>
      <c r="M83" s="1254" t="s">
        <v>11</v>
      </c>
      <c r="N83" s="1255"/>
      <c r="O83" s="57">
        <f>O5+O6-P78+O7</f>
        <v>2060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45"/>
      <c r="B1" s="1245"/>
      <c r="C1" s="1245"/>
      <c r="D1" s="1245"/>
      <c r="E1" s="1245"/>
      <c r="F1" s="1245"/>
      <c r="G1" s="124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85"/>
      <c r="C4" s="453"/>
      <c r="D4" s="262"/>
      <c r="E4" s="337"/>
      <c r="F4" s="313"/>
      <c r="G4" s="240"/>
    </row>
    <row r="5" spans="1:10" ht="15" customHeight="1" x14ac:dyDescent="0.25">
      <c r="A5" s="1279"/>
      <c r="B5" s="1286"/>
      <c r="C5" s="514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280"/>
      <c r="B6" s="1287"/>
      <c r="C6" s="515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89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89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09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09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09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793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793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794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89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89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89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09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09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09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09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09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09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09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09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09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09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09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09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09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09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09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09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09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1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83" t="s">
        <v>11</v>
      </c>
      <c r="D55" s="1284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zoomScaleNormal="100" workbookViewId="0">
      <pane ySplit="8" topLeftCell="A42" activePane="bottomLeft" state="frozen"/>
      <selection pane="bottomLeft" activeCell="G49" sqref="G4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56" t="s">
        <v>277</v>
      </c>
      <c r="B1" s="1256"/>
      <c r="C1" s="1256"/>
      <c r="D1" s="1256"/>
      <c r="E1" s="1256"/>
      <c r="F1" s="1256"/>
      <c r="G1" s="1256"/>
      <c r="H1" s="11">
        <v>1</v>
      </c>
      <c r="I1" s="132"/>
      <c r="J1" s="73"/>
      <c r="M1" s="1252" t="s">
        <v>360</v>
      </c>
      <c r="N1" s="1252"/>
      <c r="O1" s="1252"/>
      <c r="P1" s="1252"/>
      <c r="Q1" s="1252"/>
      <c r="R1" s="1252"/>
      <c r="S1" s="1252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/>
      <c r="F4" s="73"/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55</v>
      </c>
      <c r="B5" s="1288" t="s">
        <v>43</v>
      </c>
      <c r="C5" s="212">
        <v>59</v>
      </c>
      <c r="D5" s="154">
        <v>44690</v>
      </c>
      <c r="E5" s="105">
        <v>1003.34</v>
      </c>
      <c r="F5" s="73">
        <v>221</v>
      </c>
      <c r="G5" s="5">
        <f>F109</f>
        <v>2442.52</v>
      </c>
      <c r="H5" s="7">
        <f>E4+E5-G5+E6+E7</f>
        <v>86.260000000000218</v>
      </c>
      <c r="I5" s="203"/>
      <c r="J5" s="73"/>
      <c r="M5" s="73" t="s">
        <v>55</v>
      </c>
      <c r="N5" s="1288" t="s">
        <v>43</v>
      </c>
      <c r="O5" s="212">
        <v>54</v>
      </c>
      <c r="P5" s="154">
        <v>44719</v>
      </c>
      <c r="Q5" s="105">
        <v>1003.34</v>
      </c>
      <c r="R5" s="73">
        <v>221</v>
      </c>
      <c r="S5" s="5">
        <f>R109</f>
        <v>0</v>
      </c>
      <c r="T5" s="7">
        <f>Q4+Q5-S5+Q6+Q7</f>
        <v>3005.48</v>
      </c>
      <c r="U5" s="203"/>
      <c r="V5" s="73"/>
    </row>
    <row r="6" spans="1:23" x14ac:dyDescent="0.25">
      <c r="B6" s="1288"/>
      <c r="C6" s="212">
        <v>0</v>
      </c>
      <c r="D6" s="154"/>
      <c r="E6" s="105">
        <v>22.7</v>
      </c>
      <c r="F6" s="73">
        <v>5</v>
      </c>
      <c r="I6" s="204"/>
      <c r="J6" s="73"/>
      <c r="N6" s="1288"/>
      <c r="O6" s="212">
        <v>52</v>
      </c>
      <c r="P6" s="154">
        <v>44732</v>
      </c>
      <c r="Q6" s="105">
        <v>2002.14</v>
      </c>
      <c r="R6" s="73">
        <v>441</v>
      </c>
      <c r="U6" s="204"/>
      <c r="V6" s="73"/>
    </row>
    <row r="7" spans="1:23" ht="15.75" thickBot="1" x14ac:dyDescent="0.3">
      <c r="B7" s="12"/>
      <c r="C7" s="128">
        <v>56</v>
      </c>
      <c r="D7" s="154">
        <v>44705</v>
      </c>
      <c r="E7" s="105">
        <v>1502.74</v>
      </c>
      <c r="F7" s="73">
        <v>331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50</v>
      </c>
      <c r="D9" s="69">
        <f t="shared" ref="D9:D108" si="0">C9*B9</f>
        <v>227</v>
      </c>
      <c r="E9" s="208">
        <v>44695</v>
      </c>
      <c r="F9" s="69">
        <f t="shared" ref="F9:F31" si="1">D9</f>
        <v>227</v>
      </c>
      <c r="G9" s="70" t="s">
        <v>166</v>
      </c>
      <c r="H9" s="71">
        <v>62</v>
      </c>
      <c r="I9" s="203">
        <f>E5+E4+E6+E7-F9</f>
        <v>2301.7799999999997</v>
      </c>
      <c r="J9" s="73">
        <f>F5-C9+F6+F4+F7</f>
        <v>507</v>
      </c>
      <c r="K9" s="60">
        <f>H9*F9</f>
        <v>14074</v>
      </c>
      <c r="M9" s="73"/>
      <c r="N9" s="133">
        <v>4.54</v>
      </c>
      <c r="O9" s="15"/>
      <c r="P9" s="69">
        <f t="shared" ref="P9:P108" si="2">O9*N9</f>
        <v>0</v>
      </c>
      <c r="Q9" s="208"/>
      <c r="R9" s="69">
        <f t="shared" ref="R9:R31" si="3">P9</f>
        <v>0</v>
      </c>
      <c r="S9" s="70"/>
      <c r="T9" s="71"/>
      <c r="U9" s="203">
        <f>Q5+Q4+Q6+Q7-R9</f>
        <v>3005.48</v>
      </c>
      <c r="V9" s="73">
        <f>R5-O9+R6+R4+R7</f>
        <v>662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208">
        <v>44695</v>
      </c>
      <c r="F10" s="69">
        <f t="shared" si="1"/>
        <v>45.4</v>
      </c>
      <c r="G10" s="70" t="s">
        <v>187</v>
      </c>
      <c r="H10" s="71">
        <v>62</v>
      </c>
      <c r="I10" s="203">
        <f>I9-F10</f>
        <v>2256.3799999999997</v>
      </c>
      <c r="J10" s="73">
        <f>J9-C10</f>
        <v>497</v>
      </c>
      <c r="K10" s="60">
        <f t="shared" ref="K10:K83" si="4">H10*F10</f>
        <v>2814.7999999999997</v>
      </c>
      <c r="N10" s="133">
        <v>4.54</v>
      </c>
      <c r="O10" s="15"/>
      <c r="P10" s="69">
        <f t="shared" si="2"/>
        <v>0</v>
      </c>
      <c r="Q10" s="208"/>
      <c r="R10" s="69">
        <f t="shared" si="3"/>
        <v>0</v>
      </c>
      <c r="S10" s="70"/>
      <c r="T10" s="71"/>
      <c r="U10" s="203">
        <f>U9-R10</f>
        <v>3005.48</v>
      </c>
      <c r="V10" s="73">
        <f>V9-O10</f>
        <v>662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2</v>
      </c>
      <c r="D11" s="69">
        <f t="shared" si="0"/>
        <v>9.08</v>
      </c>
      <c r="E11" s="208">
        <v>44697</v>
      </c>
      <c r="F11" s="69">
        <f t="shared" si="1"/>
        <v>9.08</v>
      </c>
      <c r="G11" s="265" t="s">
        <v>193</v>
      </c>
      <c r="H11" s="266">
        <v>62</v>
      </c>
      <c r="I11" s="280">
        <f t="shared" ref="I11:I74" si="6">I10-F11</f>
        <v>2247.2999999999997</v>
      </c>
      <c r="J11" s="243">
        <f t="shared" ref="J11:J74" si="7">J10-C11</f>
        <v>495</v>
      </c>
      <c r="K11" s="60">
        <f t="shared" si="4"/>
        <v>562.96</v>
      </c>
      <c r="M11" s="55" t="s">
        <v>32</v>
      </c>
      <c r="N11" s="133">
        <v>4.54</v>
      </c>
      <c r="O11" s="15"/>
      <c r="P11" s="69">
        <f t="shared" si="2"/>
        <v>0</v>
      </c>
      <c r="Q11" s="208"/>
      <c r="R11" s="69">
        <f t="shared" si="3"/>
        <v>0</v>
      </c>
      <c r="S11" s="265"/>
      <c r="T11" s="266"/>
      <c r="U11" s="280">
        <f t="shared" ref="U11:U74" si="8">U10-R11</f>
        <v>3005.48</v>
      </c>
      <c r="V11" s="243">
        <f t="shared" ref="V11:V74" si="9">V10-O11</f>
        <v>662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1</v>
      </c>
      <c r="D12" s="69">
        <f t="shared" si="0"/>
        <v>4.54</v>
      </c>
      <c r="E12" s="208">
        <v>44697</v>
      </c>
      <c r="F12" s="69">
        <f t="shared" si="1"/>
        <v>4.54</v>
      </c>
      <c r="G12" s="265" t="s">
        <v>194</v>
      </c>
      <c r="H12" s="266">
        <v>62</v>
      </c>
      <c r="I12" s="280">
        <f t="shared" si="6"/>
        <v>2242.7599999999998</v>
      </c>
      <c r="J12" s="243">
        <f t="shared" si="7"/>
        <v>494</v>
      </c>
      <c r="K12" s="60">
        <f t="shared" si="4"/>
        <v>281.48</v>
      </c>
      <c r="M12" s="85"/>
      <c r="N12" s="133">
        <v>4.54</v>
      </c>
      <c r="O12" s="15"/>
      <c r="P12" s="69">
        <f t="shared" si="2"/>
        <v>0</v>
      </c>
      <c r="Q12" s="208"/>
      <c r="R12" s="69">
        <f t="shared" si="3"/>
        <v>0</v>
      </c>
      <c r="S12" s="265"/>
      <c r="T12" s="266"/>
      <c r="U12" s="280">
        <f t="shared" si="8"/>
        <v>3005.48</v>
      </c>
      <c r="V12" s="243">
        <f t="shared" si="9"/>
        <v>662</v>
      </c>
      <c r="W12" s="60">
        <f t="shared" si="5"/>
        <v>0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44697</v>
      </c>
      <c r="F13" s="69">
        <f t="shared" si="1"/>
        <v>136.19999999999999</v>
      </c>
      <c r="G13" s="265" t="s">
        <v>197</v>
      </c>
      <c r="H13" s="266">
        <v>62</v>
      </c>
      <c r="I13" s="280">
        <f t="shared" si="6"/>
        <v>2106.56</v>
      </c>
      <c r="J13" s="243">
        <f t="shared" si="7"/>
        <v>464</v>
      </c>
      <c r="K13" s="60">
        <f t="shared" si="4"/>
        <v>8444.4</v>
      </c>
      <c r="N13" s="133">
        <v>4.54</v>
      </c>
      <c r="O13" s="15"/>
      <c r="P13" s="69">
        <f t="shared" si="2"/>
        <v>0</v>
      </c>
      <c r="Q13" s="208"/>
      <c r="R13" s="69">
        <f t="shared" si="3"/>
        <v>0</v>
      </c>
      <c r="S13" s="265"/>
      <c r="T13" s="266"/>
      <c r="U13" s="280">
        <f t="shared" si="8"/>
        <v>3005.48</v>
      </c>
      <c r="V13" s="243">
        <f t="shared" si="9"/>
        <v>662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44698</v>
      </c>
      <c r="F14" s="69">
        <f t="shared" si="1"/>
        <v>45.4</v>
      </c>
      <c r="G14" s="265" t="s">
        <v>182</v>
      </c>
      <c r="H14" s="266">
        <v>62</v>
      </c>
      <c r="I14" s="280">
        <f t="shared" si="6"/>
        <v>2061.16</v>
      </c>
      <c r="J14" s="243">
        <f t="shared" si="7"/>
        <v>454</v>
      </c>
      <c r="K14" s="60">
        <f t="shared" si="4"/>
        <v>2814.7999999999997</v>
      </c>
      <c r="M14" s="55" t="s">
        <v>33</v>
      </c>
      <c r="N14" s="133">
        <v>4.54</v>
      </c>
      <c r="O14" s="15"/>
      <c r="P14" s="69">
        <f t="shared" si="2"/>
        <v>0</v>
      </c>
      <c r="Q14" s="208"/>
      <c r="R14" s="69">
        <f t="shared" si="3"/>
        <v>0</v>
      </c>
      <c r="S14" s="265"/>
      <c r="T14" s="266"/>
      <c r="U14" s="280">
        <f t="shared" si="8"/>
        <v>3005.48</v>
      </c>
      <c r="V14" s="243">
        <f t="shared" si="9"/>
        <v>662</v>
      </c>
      <c r="W14" s="60">
        <f t="shared" si="5"/>
        <v>0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44700</v>
      </c>
      <c r="F15" s="69">
        <f t="shared" si="1"/>
        <v>136.19999999999999</v>
      </c>
      <c r="G15" s="265" t="s">
        <v>184</v>
      </c>
      <c r="H15" s="266">
        <v>62</v>
      </c>
      <c r="I15" s="280">
        <f t="shared" si="6"/>
        <v>1924.9599999999998</v>
      </c>
      <c r="J15" s="243">
        <f t="shared" si="7"/>
        <v>424</v>
      </c>
      <c r="K15" s="60">
        <f t="shared" si="4"/>
        <v>8444.4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65"/>
      <c r="T15" s="266"/>
      <c r="U15" s="280">
        <f t="shared" si="8"/>
        <v>3005.48</v>
      </c>
      <c r="V15" s="243">
        <f t="shared" si="9"/>
        <v>662</v>
      </c>
      <c r="W15" s="60">
        <f t="shared" si="5"/>
        <v>0</v>
      </c>
    </row>
    <row r="16" spans="1:23" x14ac:dyDescent="0.25">
      <c r="B16" s="133">
        <v>4.54</v>
      </c>
      <c r="C16" s="15">
        <v>2</v>
      </c>
      <c r="D16" s="69">
        <f t="shared" si="0"/>
        <v>9.08</v>
      </c>
      <c r="E16" s="208">
        <v>44701</v>
      </c>
      <c r="F16" s="69">
        <f t="shared" si="1"/>
        <v>9.08</v>
      </c>
      <c r="G16" s="265" t="s">
        <v>198</v>
      </c>
      <c r="H16" s="266">
        <v>62</v>
      </c>
      <c r="I16" s="280">
        <f t="shared" si="6"/>
        <v>1915.8799999999999</v>
      </c>
      <c r="J16" s="243">
        <f t="shared" si="7"/>
        <v>422</v>
      </c>
      <c r="K16" s="60">
        <f t="shared" si="4"/>
        <v>562.96</v>
      </c>
      <c r="N16" s="133">
        <v>4.54</v>
      </c>
      <c r="O16" s="15"/>
      <c r="P16" s="69">
        <f t="shared" si="2"/>
        <v>0</v>
      </c>
      <c r="Q16" s="208"/>
      <c r="R16" s="69">
        <f t="shared" si="3"/>
        <v>0</v>
      </c>
      <c r="S16" s="265"/>
      <c r="T16" s="266"/>
      <c r="U16" s="280">
        <f t="shared" si="8"/>
        <v>3005.48</v>
      </c>
      <c r="V16" s="243">
        <f t="shared" si="9"/>
        <v>662</v>
      </c>
      <c r="W16" s="60">
        <f t="shared" si="5"/>
        <v>0</v>
      </c>
    </row>
    <row r="17" spans="2:23" x14ac:dyDescent="0.25">
      <c r="B17" s="133">
        <v>4.54</v>
      </c>
      <c r="C17" s="15">
        <v>10</v>
      </c>
      <c r="D17" s="69">
        <f t="shared" si="0"/>
        <v>45.4</v>
      </c>
      <c r="E17" s="208">
        <v>44701</v>
      </c>
      <c r="F17" s="69">
        <f t="shared" si="1"/>
        <v>45.4</v>
      </c>
      <c r="G17" s="265" t="s">
        <v>198</v>
      </c>
      <c r="H17" s="266">
        <v>62</v>
      </c>
      <c r="I17" s="280">
        <f t="shared" si="6"/>
        <v>1870.4799999999998</v>
      </c>
      <c r="J17" s="243">
        <f t="shared" si="7"/>
        <v>412</v>
      </c>
      <c r="K17" s="60">
        <f t="shared" si="4"/>
        <v>2814.7999999999997</v>
      </c>
      <c r="N17" s="133">
        <v>4.54</v>
      </c>
      <c r="O17" s="15"/>
      <c r="P17" s="69">
        <f t="shared" si="2"/>
        <v>0</v>
      </c>
      <c r="Q17" s="208"/>
      <c r="R17" s="69">
        <f t="shared" si="3"/>
        <v>0</v>
      </c>
      <c r="S17" s="265"/>
      <c r="T17" s="266"/>
      <c r="U17" s="280">
        <f t="shared" si="8"/>
        <v>3005.48</v>
      </c>
      <c r="V17" s="243">
        <f t="shared" si="9"/>
        <v>662</v>
      </c>
      <c r="W17" s="60">
        <f t="shared" si="5"/>
        <v>0</v>
      </c>
    </row>
    <row r="18" spans="2:23" x14ac:dyDescent="0.25">
      <c r="B18" s="133">
        <v>4.54</v>
      </c>
      <c r="C18" s="15">
        <v>6</v>
      </c>
      <c r="D18" s="69">
        <f t="shared" si="0"/>
        <v>27.240000000000002</v>
      </c>
      <c r="E18" s="208">
        <v>44701</v>
      </c>
      <c r="F18" s="69">
        <f t="shared" si="1"/>
        <v>27.240000000000002</v>
      </c>
      <c r="G18" s="265" t="s">
        <v>189</v>
      </c>
      <c r="H18" s="266">
        <v>62</v>
      </c>
      <c r="I18" s="280">
        <f t="shared" si="6"/>
        <v>1843.2399999999998</v>
      </c>
      <c r="J18" s="243">
        <f t="shared" si="7"/>
        <v>406</v>
      </c>
      <c r="K18" s="60">
        <f t="shared" si="4"/>
        <v>1688.88</v>
      </c>
      <c r="N18" s="133">
        <v>4.54</v>
      </c>
      <c r="O18" s="15"/>
      <c r="P18" s="69">
        <f t="shared" si="2"/>
        <v>0</v>
      </c>
      <c r="Q18" s="208"/>
      <c r="R18" s="69">
        <f t="shared" si="3"/>
        <v>0</v>
      </c>
      <c r="S18" s="265"/>
      <c r="T18" s="266"/>
      <c r="U18" s="280">
        <f t="shared" si="8"/>
        <v>3005.48</v>
      </c>
      <c r="V18" s="243">
        <f t="shared" si="9"/>
        <v>662</v>
      </c>
      <c r="W18" s="60">
        <f t="shared" si="5"/>
        <v>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208">
        <v>44702</v>
      </c>
      <c r="F19" s="69">
        <f t="shared" si="1"/>
        <v>136.19999999999999</v>
      </c>
      <c r="G19" s="265" t="s">
        <v>217</v>
      </c>
      <c r="H19" s="266">
        <v>62</v>
      </c>
      <c r="I19" s="280">
        <f t="shared" si="6"/>
        <v>1707.0399999999997</v>
      </c>
      <c r="J19" s="243">
        <f t="shared" si="7"/>
        <v>376</v>
      </c>
      <c r="K19" s="60">
        <f t="shared" si="4"/>
        <v>8444.4</v>
      </c>
      <c r="N19" s="133">
        <v>4.54</v>
      </c>
      <c r="O19" s="15"/>
      <c r="P19" s="69">
        <f t="shared" si="2"/>
        <v>0</v>
      </c>
      <c r="Q19" s="208"/>
      <c r="R19" s="69">
        <f t="shared" si="3"/>
        <v>0</v>
      </c>
      <c r="S19" s="265"/>
      <c r="T19" s="266"/>
      <c r="U19" s="280">
        <f t="shared" si="8"/>
        <v>3005.48</v>
      </c>
      <c r="V19" s="243">
        <f t="shared" si="9"/>
        <v>662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44704</v>
      </c>
      <c r="F20" s="69">
        <f t="shared" si="1"/>
        <v>136.19999999999999</v>
      </c>
      <c r="G20" s="70" t="s">
        <v>235</v>
      </c>
      <c r="H20" s="71">
        <v>62</v>
      </c>
      <c r="I20" s="203">
        <f t="shared" si="6"/>
        <v>1570.8399999999997</v>
      </c>
      <c r="J20" s="73">
        <f t="shared" si="7"/>
        <v>346</v>
      </c>
      <c r="K20" s="60">
        <f t="shared" si="4"/>
        <v>8444.4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3005.48</v>
      </c>
      <c r="V20" s="73">
        <f t="shared" si="9"/>
        <v>662</v>
      </c>
      <c r="W20" s="60">
        <f t="shared" si="5"/>
        <v>0</v>
      </c>
    </row>
    <row r="21" spans="2:23" x14ac:dyDescent="0.25">
      <c r="B21" s="133">
        <v>4.54</v>
      </c>
      <c r="C21" s="15">
        <v>12</v>
      </c>
      <c r="D21" s="69">
        <f t="shared" si="0"/>
        <v>54.480000000000004</v>
      </c>
      <c r="E21" s="208">
        <v>44705</v>
      </c>
      <c r="F21" s="69">
        <f t="shared" si="1"/>
        <v>54.480000000000004</v>
      </c>
      <c r="G21" s="70" t="s">
        <v>238</v>
      </c>
      <c r="H21" s="71">
        <v>62</v>
      </c>
      <c r="I21" s="203">
        <f t="shared" si="6"/>
        <v>1516.3599999999997</v>
      </c>
      <c r="J21" s="73">
        <f t="shared" si="7"/>
        <v>334</v>
      </c>
      <c r="K21" s="60">
        <f t="shared" si="4"/>
        <v>3377.76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3005.48</v>
      </c>
      <c r="V21" s="73">
        <f t="shared" si="9"/>
        <v>662</v>
      </c>
      <c r="W21" s="60">
        <f t="shared" si="5"/>
        <v>0</v>
      </c>
    </row>
    <row r="22" spans="2:23" x14ac:dyDescent="0.25">
      <c r="B22" s="133">
        <v>4.54</v>
      </c>
      <c r="C22" s="15">
        <v>4</v>
      </c>
      <c r="D22" s="69">
        <f t="shared" si="0"/>
        <v>18.16</v>
      </c>
      <c r="E22" s="208">
        <v>44705</v>
      </c>
      <c r="F22" s="69">
        <f t="shared" si="1"/>
        <v>18.16</v>
      </c>
      <c r="G22" s="70" t="s">
        <v>238</v>
      </c>
      <c r="H22" s="71">
        <v>62</v>
      </c>
      <c r="I22" s="203">
        <f t="shared" si="6"/>
        <v>1498.1999999999996</v>
      </c>
      <c r="J22" s="73">
        <f t="shared" si="7"/>
        <v>330</v>
      </c>
      <c r="K22" s="60">
        <f t="shared" si="4"/>
        <v>1125.92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3005.48</v>
      </c>
      <c r="V22" s="73">
        <f t="shared" si="9"/>
        <v>662</v>
      </c>
      <c r="W22" s="60">
        <f t="shared" si="5"/>
        <v>0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208">
        <v>44705</v>
      </c>
      <c r="F23" s="69">
        <f t="shared" si="1"/>
        <v>45.4</v>
      </c>
      <c r="G23" s="70" t="s">
        <v>239</v>
      </c>
      <c r="H23" s="71">
        <v>62</v>
      </c>
      <c r="I23" s="203">
        <f t="shared" si="6"/>
        <v>1452.7999999999995</v>
      </c>
      <c r="J23" s="73">
        <f t="shared" si="7"/>
        <v>320</v>
      </c>
      <c r="K23" s="60">
        <f t="shared" si="4"/>
        <v>2814.7999999999997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3005.48</v>
      </c>
      <c r="V23" s="73">
        <f t="shared" si="9"/>
        <v>662</v>
      </c>
      <c r="W23" s="60">
        <f t="shared" si="5"/>
        <v>0</v>
      </c>
    </row>
    <row r="24" spans="2:23" x14ac:dyDescent="0.25">
      <c r="B24" s="133">
        <v>4.54</v>
      </c>
      <c r="C24" s="15">
        <v>3</v>
      </c>
      <c r="D24" s="69">
        <f t="shared" si="0"/>
        <v>13.620000000000001</v>
      </c>
      <c r="E24" s="208">
        <v>44706</v>
      </c>
      <c r="F24" s="69">
        <f t="shared" si="1"/>
        <v>13.620000000000001</v>
      </c>
      <c r="G24" s="70" t="s">
        <v>244</v>
      </c>
      <c r="H24" s="71">
        <v>62</v>
      </c>
      <c r="I24" s="203">
        <f t="shared" si="6"/>
        <v>1439.1799999999996</v>
      </c>
      <c r="J24" s="73">
        <f t="shared" si="7"/>
        <v>317</v>
      </c>
      <c r="K24" s="60">
        <f t="shared" si="4"/>
        <v>844.44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3005.48</v>
      </c>
      <c r="V24" s="73">
        <f t="shared" si="9"/>
        <v>662</v>
      </c>
      <c r="W24" s="60">
        <f t="shared" si="5"/>
        <v>0</v>
      </c>
    </row>
    <row r="25" spans="2:23" x14ac:dyDescent="0.25">
      <c r="B25" s="133">
        <v>4.54</v>
      </c>
      <c r="C25" s="15">
        <v>40</v>
      </c>
      <c r="D25" s="69">
        <f t="shared" si="0"/>
        <v>181.6</v>
      </c>
      <c r="E25" s="208">
        <v>44707</v>
      </c>
      <c r="F25" s="69">
        <f t="shared" si="1"/>
        <v>181.6</v>
      </c>
      <c r="G25" s="70" t="s">
        <v>246</v>
      </c>
      <c r="H25" s="71">
        <v>62</v>
      </c>
      <c r="I25" s="203">
        <f t="shared" si="6"/>
        <v>1257.5799999999997</v>
      </c>
      <c r="J25" s="73">
        <f t="shared" si="7"/>
        <v>277</v>
      </c>
      <c r="K25" s="60">
        <f t="shared" si="4"/>
        <v>11259.199999999999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3005.48</v>
      </c>
      <c r="V25" s="73">
        <f t="shared" si="9"/>
        <v>662</v>
      </c>
      <c r="W25" s="60">
        <f t="shared" si="5"/>
        <v>0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208">
        <v>44707</v>
      </c>
      <c r="F26" s="69">
        <f t="shared" si="1"/>
        <v>4.54</v>
      </c>
      <c r="G26" s="70" t="s">
        <v>247</v>
      </c>
      <c r="H26" s="71">
        <v>62</v>
      </c>
      <c r="I26" s="203">
        <f t="shared" si="6"/>
        <v>1253.0399999999997</v>
      </c>
      <c r="J26" s="73">
        <f t="shared" si="7"/>
        <v>276</v>
      </c>
      <c r="K26" s="60">
        <f t="shared" si="4"/>
        <v>281.48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3005.48</v>
      </c>
      <c r="V26" s="73">
        <f t="shared" si="9"/>
        <v>662</v>
      </c>
      <c r="W26" s="60">
        <f t="shared" si="5"/>
        <v>0</v>
      </c>
    </row>
    <row r="27" spans="2:23" x14ac:dyDescent="0.25">
      <c r="B27" s="133">
        <v>4.54</v>
      </c>
      <c r="C27" s="15">
        <v>8</v>
      </c>
      <c r="D27" s="69">
        <f t="shared" si="0"/>
        <v>36.32</v>
      </c>
      <c r="E27" s="208">
        <v>44707</v>
      </c>
      <c r="F27" s="69">
        <f t="shared" si="1"/>
        <v>36.32</v>
      </c>
      <c r="G27" s="70" t="s">
        <v>248</v>
      </c>
      <c r="H27" s="71">
        <v>58</v>
      </c>
      <c r="I27" s="203">
        <f t="shared" si="6"/>
        <v>1216.7199999999998</v>
      </c>
      <c r="J27" s="73">
        <f t="shared" si="7"/>
        <v>268</v>
      </c>
      <c r="K27" s="60">
        <f t="shared" si="4"/>
        <v>2106.56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3005.48</v>
      </c>
      <c r="V27" s="73">
        <f t="shared" si="9"/>
        <v>662</v>
      </c>
      <c r="W27" s="60">
        <f t="shared" si="5"/>
        <v>0</v>
      </c>
    </row>
    <row r="28" spans="2:23" x14ac:dyDescent="0.25">
      <c r="B28" s="133">
        <v>4.54</v>
      </c>
      <c r="C28" s="15">
        <v>1</v>
      </c>
      <c r="D28" s="69">
        <f t="shared" si="0"/>
        <v>4.54</v>
      </c>
      <c r="E28" s="208">
        <v>44708</v>
      </c>
      <c r="F28" s="69">
        <f t="shared" si="1"/>
        <v>4.54</v>
      </c>
      <c r="G28" s="70" t="s">
        <v>253</v>
      </c>
      <c r="H28" s="71">
        <v>58</v>
      </c>
      <c r="I28" s="203">
        <f t="shared" si="6"/>
        <v>1212.1799999999998</v>
      </c>
      <c r="J28" s="73">
        <f t="shared" si="7"/>
        <v>267</v>
      </c>
      <c r="K28" s="60">
        <f t="shared" si="4"/>
        <v>263.32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3005.48</v>
      </c>
      <c r="V28" s="73">
        <f t="shared" si="9"/>
        <v>662</v>
      </c>
      <c r="W28" s="60">
        <f t="shared" si="5"/>
        <v>0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44708</v>
      </c>
      <c r="F29" s="69">
        <f t="shared" si="1"/>
        <v>45.4</v>
      </c>
      <c r="G29" s="70" t="s">
        <v>254</v>
      </c>
      <c r="H29" s="71">
        <v>58</v>
      </c>
      <c r="I29" s="203">
        <f t="shared" si="6"/>
        <v>1166.7799999999997</v>
      </c>
      <c r="J29" s="73">
        <f t="shared" si="7"/>
        <v>257</v>
      </c>
      <c r="K29" s="60">
        <f t="shared" si="4"/>
        <v>2633.2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3005.48</v>
      </c>
      <c r="V29" s="73">
        <f t="shared" si="9"/>
        <v>662</v>
      </c>
      <c r="W29" s="60">
        <f t="shared" si="5"/>
        <v>0</v>
      </c>
    </row>
    <row r="30" spans="2:23" x14ac:dyDescent="0.25">
      <c r="B30" s="133">
        <v>4.54</v>
      </c>
      <c r="C30" s="15">
        <v>30</v>
      </c>
      <c r="D30" s="69">
        <f t="shared" si="0"/>
        <v>136.19999999999999</v>
      </c>
      <c r="E30" s="208">
        <v>44708</v>
      </c>
      <c r="F30" s="69">
        <f t="shared" si="1"/>
        <v>136.19999999999999</v>
      </c>
      <c r="G30" s="70" t="s">
        <v>255</v>
      </c>
      <c r="H30" s="71">
        <v>58</v>
      </c>
      <c r="I30" s="203">
        <f t="shared" si="6"/>
        <v>1030.5799999999997</v>
      </c>
      <c r="J30" s="73">
        <f t="shared" si="7"/>
        <v>227</v>
      </c>
      <c r="K30" s="60">
        <f t="shared" si="4"/>
        <v>7899.5999999999995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3005.48</v>
      </c>
      <c r="V30" s="73">
        <f t="shared" si="9"/>
        <v>662</v>
      </c>
      <c r="W30" s="60">
        <f t="shared" si="5"/>
        <v>0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208">
        <v>44709</v>
      </c>
      <c r="F31" s="69">
        <f t="shared" si="1"/>
        <v>45.4</v>
      </c>
      <c r="G31" s="70" t="s">
        <v>261</v>
      </c>
      <c r="H31" s="71">
        <v>58</v>
      </c>
      <c r="I31" s="203">
        <f t="shared" si="6"/>
        <v>985.17999999999972</v>
      </c>
      <c r="J31" s="73">
        <f t="shared" si="7"/>
        <v>217</v>
      </c>
      <c r="K31" s="60">
        <f t="shared" si="4"/>
        <v>2633.2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3005.48</v>
      </c>
      <c r="V31" s="73">
        <f t="shared" si="9"/>
        <v>662</v>
      </c>
      <c r="W31" s="60">
        <f t="shared" si="5"/>
        <v>0</v>
      </c>
    </row>
    <row r="32" spans="2:23" x14ac:dyDescent="0.25">
      <c r="B32" s="133">
        <v>4.54</v>
      </c>
      <c r="C32" s="15">
        <v>30</v>
      </c>
      <c r="D32" s="227">
        <f t="shared" si="0"/>
        <v>136.19999999999999</v>
      </c>
      <c r="E32" s="928">
        <v>44711</v>
      </c>
      <c r="F32" s="227">
        <f>D32</f>
        <v>136.19999999999999</v>
      </c>
      <c r="G32" s="911" t="s">
        <v>474</v>
      </c>
      <c r="H32" s="912">
        <v>58</v>
      </c>
      <c r="I32" s="203">
        <f t="shared" si="6"/>
        <v>848.97999999999979</v>
      </c>
      <c r="J32" s="73">
        <f t="shared" si="7"/>
        <v>187</v>
      </c>
      <c r="K32" s="60">
        <f t="shared" si="4"/>
        <v>7899.5999999999995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3005.48</v>
      </c>
      <c r="V32" s="73">
        <f t="shared" si="9"/>
        <v>662</v>
      </c>
      <c r="W32" s="60">
        <f t="shared" si="5"/>
        <v>0</v>
      </c>
    </row>
    <row r="33" spans="1:23" x14ac:dyDescent="0.25">
      <c r="B33" s="133">
        <v>4.54</v>
      </c>
      <c r="C33" s="15">
        <v>20</v>
      </c>
      <c r="D33" s="227">
        <f t="shared" si="0"/>
        <v>90.8</v>
      </c>
      <c r="E33" s="1064">
        <v>44712</v>
      </c>
      <c r="F33" s="227">
        <f>D33</f>
        <v>90.8</v>
      </c>
      <c r="G33" s="911" t="s">
        <v>482</v>
      </c>
      <c r="H33" s="912">
        <v>58</v>
      </c>
      <c r="I33" s="203">
        <f t="shared" si="6"/>
        <v>758.17999999999984</v>
      </c>
      <c r="J33" s="73">
        <f t="shared" si="7"/>
        <v>167</v>
      </c>
      <c r="K33" s="60">
        <f t="shared" si="4"/>
        <v>5266.4</v>
      </c>
      <c r="N33" s="133">
        <v>4.54</v>
      </c>
      <c r="O33" s="15"/>
      <c r="P33" s="69">
        <f t="shared" si="2"/>
        <v>0</v>
      </c>
      <c r="Q33" s="1109"/>
      <c r="R33" s="69">
        <f>P33</f>
        <v>0</v>
      </c>
      <c r="S33" s="70"/>
      <c r="T33" s="71"/>
      <c r="U33" s="203">
        <f t="shared" si="8"/>
        <v>3005.48</v>
      </c>
      <c r="V33" s="73">
        <f t="shared" si="9"/>
        <v>662</v>
      </c>
      <c r="W33" s="60">
        <f t="shared" si="5"/>
        <v>0</v>
      </c>
    </row>
    <row r="34" spans="1:23" x14ac:dyDescent="0.25">
      <c r="B34" s="133">
        <v>4.54</v>
      </c>
      <c r="C34" s="15">
        <v>10</v>
      </c>
      <c r="D34" s="227">
        <f t="shared" si="0"/>
        <v>45.4</v>
      </c>
      <c r="E34" s="1065">
        <v>44712</v>
      </c>
      <c r="F34" s="227">
        <f t="shared" ref="F34:F108" si="10">D34</f>
        <v>45.4</v>
      </c>
      <c r="G34" s="911" t="s">
        <v>484</v>
      </c>
      <c r="H34" s="912">
        <v>58</v>
      </c>
      <c r="I34" s="203">
        <f t="shared" si="6"/>
        <v>712.77999999999986</v>
      </c>
      <c r="J34" s="73">
        <f t="shared" si="7"/>
        <v>157</v>
      </c>
      <c r="K34" s="60">
        <f t="shared" si="4"/>
        <v>2633.2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3005.48</v>
      </c>
      <c r="V34" s="73">
        <f t="shared" si="9"/>
        <v>662</v>
      </c>
      <c r="W34" s="60">
        <f t="shared" si="5"/>
        <v>0</v>
      </c>
    </row>
    <row r="35" spans="1:23" x14ac:dyDescent="0.25">
      <c r="B35" s="133">
        <v>4.54</v>
      </c>
      <c r="C35" s="15">
        <v>1</v>
      </c>
      <c r="D35" s="227">
        <f t="shared" si="0"/>
        <v>4.54</v>
      </c>
      <c r="E35" s="1065">
        <v>44712</v>
      </c>
      <c r="F35" s="227">
        <f t="shared" si="10"/>
        <v>4.54</v>
      </c>
      <c r="G35" s="911" t="s">
        <v>489</v>
      </c>
      <c r="H35" s="912">
        <v>58</v>
      </c>
      <c r="I35" s="203">
        <f t="shared" si="6"/>
        <v>708.2399999999999</v>
      </c>
      <c r="J35" s="73">
        <f t="shared" si="7"/>
        <v>156</v>
      </c>
      <c r="K35" s="60">
        <f t="shared" si="4"/>
        <v>263.32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3005.48</v>
      </c>
      <c r="V35" s="73">
        <f t="shared" si="9"/>
        <v>662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227">
        <f t="shared" si="0"/>
        <v>4.54</v>
      </c>
      <c r="E36" s="1065">
        <v>44711</v>
      </c>
      <c r="F36" s="227">
        <f t="shared" si="10"/>
        <v>4.54</v>
      </c>
      <c r="G36" s="911" t="s">
        <v>491</v>
      </c>
      <c r="H36" s="912">
        <v>58</v>
      </c>
      <c r="I36" s="203">
        <f t="shared" si="6"/>
        <v>703.69999999999993</v>
      </c>
      <c r="J36" s="73">
        <f t="shared" si="7"/>
        <v>155</v>
      </c>
      <c r="K36" s="60">
        <f t="shared" si="4"/>
        <v>263.32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3005.48</v>
      </c>
      <c r="V36" s="73">
        <f t="shared" si="9"/>
        <v>662</v>
      </c>
      <c r="W36" s="60">
        <f t="shared" si="5"/>
        <v>0</v>
      </c>
    </row>
    <row r="37" spans="1:23" x14ac:dyDescent="0.25">
      <c r="B37" s="133">
        <v>4.54</v>
      </c>
      <c r="C37" s="15">
        <v>6</v>
      </c>
      <c r="D37" s="227">
        <f t="shared" si="0"/>
        <v>27.240000000000002</v>
      </c>
      <c r="E37" s="1065">
        <v>44713</v>
      </c>
      <c r="F37" s="227">
        <f t="shared" si="10"/>
        <v>27.240000000000002</v>
      </c>
      <c r="G37" s="911" t="s">
        <v>495</v>
      </c>
      <c r="H37" s="912">
        <v>58</v>
      </c>
      <c r="I37" s="203">
        <f t="shared" si="6"/>
        <v>676.45999999999992</v>
      </c>
      <c r="J37" s="73">
        <f t="shared" si="7"/>
        <v>149</v>
      </c>
      <c r="K37" s="60">
        <f t="shared" si="4"/>
        <v>1579.92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3005.48</v>
      </c>
      <c r="V37" s="73">
        <f t="shared" si="9"/>
        <v>662</v>
      </c>
      <c r="W37" s="60">
        <f t="shared" si="5"/>
        <v>0</v>
      </c>
    </row>
    <row r="38" spans="1:23" x14ac:dyDescent="0.25">
      <c r="B38" s="133">
        <v>4.54</v>
      </c>
      <c r="C38" s="15">
        <v>2</v>
      </c>
      <c r="D38" s="227">
        <f t="shared" si="0"/>
        <v>9.08</v>
      </c>
      <c r="E38" s="928">
        <v>44713</v>
      </c>
      <c r="F38" s="227">
        <f t="shared" si="10"/>
        <v>9.08</v>
      </c>
      <c r="G38" s="911" t="s">
        <v>497</v>
      </c>
      <c r="H38" s="912">
        <v>58</v>
      </c>
      <c r="I38" s="203">
        <f t="shared" si="6"/>
        <v>667.37999999999988</v>
      </c>
      <c r="J38" s="73">
        <f t="shared" si="7"/>
        <v>147</v>
      </c>
      <c r="K38" s="60">
        <f t="shared" si="4"/>
        <v>526.64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3005.48</v>
      </c>
      <c r="V38" s="73">
        <f t="shared" si="9"/>
        <v>662</v>
      </c>
      <c r="W38" s="60">
        <f t="shared" si="5"/>
        <v>0</v>
      </c>
    </row>
    <row r="39" spans="1:23" x14ac:dyDescent="0.25">
      <c r="B39" s="133">
        <v>4.54</v>
      </c>
      <c r="C39" s="15">
        <v>2</v>
      </c>
      <c r="D39" s="227">
        <f t="shared" si="0"/>
        <v>9.08</v>
      </c>
      <c r="E39" s="928">
        <v>44714</v>
      </c>
      <c r="F39" s="227">
        <f t="shared" si="10"/>
        <v>9.08</v>
      </c>
      <c r="G39" s="911" t="s">
        <v>504</v>
      </c>
      <c r="H39" s="912">
        <v>58</v>
      </c>
      <c r="I39" s="203">
        <f t="shared" si="6"/>
        <v>658.29999999999984</v>
      </c>
      <c r="J39" s="73">
        <f t="shared" si="7"/>
        <v>145</v>
      </c>
      <c r="K39" s="60">
        <f t="shared" si="4"/>
        <v>526.64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3005.48</v>
      </c>
      <c r="V39" s="73">
        <f t="shared" si="9"/>
        <v>662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227">
        <f t="shared" si="0"/>
        <v>45.4</v>
      </c>
      <c r="E40" s="928">
        <v>44714</v>
      </c>
      <c r="F40" s="227">
        <f t="shared" si="10"/>
        <v>45.4</v>
      </c>
      <c r="G40" s="911" t="s">
        <v>505</v>
      </c>
      <c r="H40" s="912">
        <v>58</v>
      </c>
      <c r="I40" s="203">
        <f t="shared" si="6"/>
        <v>612.89999999999986</v>
      </c>
      <c r="J40" s="73">
        <f t="shared" si="7"/>
        <v>135</v>
      </c>
      <c r="K40" s="60">
        <f t="shared" si="4"/>
        <v>2633.2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3005.48</v>
      </c>
      <c r="V40" s="73">
        <f t="shared" si="9"/>
        <v>662</v>
      </c>
      <c r="W40" s="60">
        <f t="shared" si="5"/>
        <v>0</v>
      </c>
    </row>
    <row r="41" spans="1:23" x14ac:dyDescent="0.25">
      <c r="B41" s="133">
        <v>4.54</v>
      </c>
      <c r="C41" s="15">
        <v>10</v>
      </c>
      <c r="D41" s="227">
        <f t="shared" si="0"/>
        <v>45.4</v>
      </c>
      <c r="E41" s="928">
        <v>44714</v>
      </c>
      <c r="F41" s="227">
        <f t="shared" si="10"/>
        <v>45.4</v>
      </c>
      <c r="G41" s="911" t="s">
        <v>505</v>
      </c>
      <c r="H41" s="912">
        <v>58</v>
      </c>
      <c r="I41" s="203">
        <f t="shared" si="6"/>
        <v>567.49999999999989</v>
      </c>
      <c r="J41" s="73">
        <f t="shared" si="7"/>
        <v>125</v>
      </c>
      <c r="K41" s="60">
        <f t="shared" si="4"/>
        <v>2633.2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3005.48</v>
      </c>
      <c r="V41" s="73">
        <f t="shared" si="9"/>
        <v>662</v>
      </c>
      <c r="W41" s="60">
        <f t="shared" si="5"/>
        <v>0</v>
      </c>
    </row>
    <row r="42" spans="1:23" x14ac:dyDescent="0.25">
      <c r="B42" s="133">
        <v>4.54</v>
      </c>
      <c r="C42" s="15">
        <v>30</v>
      </c>
      <c r="D42" s="227">
        <f t="shared" si="0"/>
        <v>136.19999999999999</v>
      </c>
      <c r="E42" s="928">
        <v>44714</v>
      </c>
      <c r="F42" s="227">
        <f t="shared" si="10"/>
        <v>136.19999999999999</v>
      </c>
      <c r="G42" s="911" t="s">
        <v>508</v>
      </c>
      <c r="H42" s="912">
        <v>58</v>
      </c>
      <c r="I42" s="203">
        <f t="shared" si="6"/>
        <v>431.2999999999999</v>
      </c>
      <c r="J42" s="73">
        <f t="shared" si="7"/>
        <v>95</v>
      </c>
      <c r="K42" s="60">
        <f t="shared" si="4"/>
        <v>7899.5999999999995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3005.48</v>
      </c>
      <c r="V42" s="73">
        <f t="shared" si="9"/>
        <v>662</v>
      </c>
      <c r="W42" s="60">
        <f t="shared" si="5"/>
        <v>0</v>
      </c>
    </row>
    <row r="43" spans="1:23" x14ac:dyDescent="0.25">
      <c r="B43" s="133">
        <v>4.54</v>
      </c>
      <c r="C43" s="15">
        <v>20</v>
      </c>
      <c r="D43" s="227">
        <f t="shared" si="0"/>
        <v>90.8</v>
      </c>
      <c r="E43" s="928">
        <v>44716</v>
      </c>
      <c r="F43" s="227">
        <f t="shared" si="10"/>
        <v>90.8</v>
      </c>
      <c r="G43" s="911" t="s">
        <v>533</v>
      </c>
      <c r="H43" s="912">
        <v>58</v>
      </c>
      <c r="I43" s="203">
        <f t="shared" si="6"/>
        <v>340.49999999999989</v>
      </c>
      <c r="J43" s="73">
        <f t="shared" si="7"/>
        <v>75</v>
      </c>
      <c r="K43" s="60">
        <f t="shared" si="4"/>
        <v>5266.4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3005.48</v>
      </c>
      <c r="V43" s="73">
        <f t="shared" si="9"/>
        <v>662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227">
        <f t="shared" si="0"/>
        <v>45.4</v>
      </c>
      <c r="E44" s="928">
        <v>44716</v>
      </c>
      <c r="F44" s="227">
        <f t="shared" si="10"/>
        <v>45.4</v>
      </c>
      <c r="G44" s="911" t="s">
        <v>534</v>
      </c>
      <c r="H44" s="912">
        <v>65</v>
      </c>
      <c r="I44" s="203">
        <f t="shared" si="6"/>
        <v>295.09999999999991</v>
      </c>
      <c r="J44" s="73">
        <f t="shared" si="7"/>
        <v>65</v>
      </c>
      <c r="K44" s="60">
        <f t="shared" si="4"/>
        <v>2951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3005.48</v>
      </c>
      <c r="V44" s="73">
        <f t="shared" si="9"/>
        <v>662</v>
      </c>
      <c r="W44" s="60">
        <f t="shared" si="5"/>
        <v>0</v>
      </c>
    </row>
    <row r="45" spans="1:23" x14ac:dyDescent="0.25">
      <c r="B45" s="133">
        <v>4.54</v>
      </c>
      <c r="C45" s="15">
        <v>10</v>
      </c>
      <c r="D45" s="227">
        <f t="shared" si="0"/>
        <v>45.4</v>
      </c>
      <c r="E45" s="928">
        <v>44718</v>
      </c>
      <c r="F45" s="227">
        <f t="shared" si="10"/>
        <v>45.4</v>
      </c>
      <c r="G45" s="911" t="s">
        <v>539</v>
      </c>
      <c r="H45" s="912">
        <v>58</v>
      </c>
      <c r="I45" s="203">
        <f t="shared" si="6"/>
        <v>249.6999999999999</v>
      </c>
      <c r="J45" s="73">
        <f t="shared" si="7"/>
        <v>55</v>
      </c>
      <c r="K45" s="60">
        <f t="shared" si="4"/>
        <v>2633.2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3005.48</v>
      </c>
      <c r="V45" s="73">
        <f t="shared" si="9"/>
        <v>662</v>
      </c>
      <c r="W45" s="60">
        <f t="shared" si="5"/>
        <v>0</v>
      </c>
    </row>
    <row r="46" spans="1:23" x14ac:dyDescent="0.25">
      <c r="B46" s="133">
        <v>4.54</v>
      </c>
      <c r="C46" s="15">
        <v>30</v>
      </c>
      <c r="D46" s="227">
        <f t="shared" si="0"/>
        <v>136.19999999999999</v>
      </c>
      <c r="E46" s="928">
        <v>44718</v>
      </c>
      <c r="F46" s="227">
        <f t="shared" si="10"/>
        <v>136.19999999999999</v>
      </c>
      <c r="G46" s="911" t="s">
        <v>541</v>
      </c>
      <c r="H46" s="912">
        <v>58</v>
      </c>
      <c r="I46" s="203">
        <f t="shared" si="6"/>
        <v>113.49999999999991</v>
      </c>
      <c r="J46" s="73">
        <f t="shared" si="7"/>
        <v>25</v>
      </c>
      <c r="K46" s="60">
        <f t="shared" si="4"/>
        <v>7899.5999999999995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3005.48</v>
      </c>
      <c r="V46" s="73">
        <f t="shared" si="9"/>
        <v>662</v>
      </c>
      <c r="W46" s="60">
        <f t="shared" si="5"/>
        <v>0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928">
        <v>44718</v>
      </c>
      <c r="F47" s="227">
        <f t="shared" si="10"/>
        <v>4.54</v>
      </c>
      <c r="G47" s="911" t="s">
        <v>530</v>
      </c>
      <c r="H47" s="912">
        <v>58</v>
      </c>
      <c r="I47" s="203">
        <f t="shared" si="6"/>
        <v>108.95999999999991</v>
      </c>
      <c r="J47" s="73">
        <f t="shared" si="7"/>
        <v>24</v>
      </c>
      <c r="K47" s="60">
        <f t="shared" si="4"/>
        <v>263.32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3005.48</v>
      </c>
      <c r="V47" s="73">
        <f t="shared" si="9"/>
        <v>662</v>
      </c>
      <c r="W47" s="60">
        <f t="shared" si="5"/>
        <v>0</v>
      </c>
    </row>
    <row r="48" spans="1:23" x14ac:dyDescent="0.25">
      <c r="B48" s="133">
        <v>4.54</v>
      </c>
      <c r="C48" s="15">
        <v>5</v>
      </c>
      <c r="D48" s="227">
        <f t="shared" si="0"/>
        <v>22.7</v>
      </c>
      <c r="E48" s="928">
        <v>44718</v>
      </c>
      <c r="F48" s="227">
        <f t="shared" si="10"/>
        <v>22.7</v>
      </c>
      <c r="G48" s="911" t="s">
        <v>545</v>
      </c>
      <c r="H48" s="912">
        <v>58</v>
      </c>
      <c r="I48" s="203">
        <f t="shared" si="6"/>
        <v>86.259999999999906</v>
      </c>
      <c r="J48" s="73">
        <f t="shared" si="7"/>
        <v>19</v>
      </c>
      <c r="K48" s="60">
        <f t="shared" si="4"/>
        <v>1316.6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3005.48</v>
      </c>
      <c r="V48" s="73">
        <f t="shared" si="9"/>
        <v>662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928"/>
      <c r="F49" s="227">
        <f t="shared" si="10"/>
        <v>0</v>
      </c>
      <c r="G49" s="911"/>
      <c r="H49" s="912"/>
      <c r="I49" s="203">
        <f t="shared" si="6"/>
        <v>86.259999999999906</v>
      </c>
      <c r="J49" s="73">
        <f t="shared" si="7"/>
        <v>19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3005.48</v>
      </c>
      <c r="V49" s="73">
        <f t="shared" si="9"/>
        <v>662</v>
      </c>
      <c r="W49" s="60">
        <f t="shared" si="5"/>
        <v>0</v>
      </c>
    </row>
    <row r="50" spans="2:23" x14ac:dyDescent="0.25">
      <c r="B50" s="133">
        <v>4.54</v>
      </c>
      <c r="C50" s="15"/>
      <c r="D50" s="227">
        <f t="shared" si="0"/>
        <v>0</v>
      </c>
      <c r="E50" s="928"/>
      <c r="F50" s="227">
        <f t="shared" si="10"/>
        <v>0</v>
      </c>
      <c r="G50" s="911"/>
      <c r="H50" s="912"/>
      <c r="I50" s="203">
        <f t="shared" si="6"/>
        <v>86.259999999999906</v>
      </c>
      <c r="J50" s="73">
        <f t="shared" si="7"/>
        <v>19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3005.48</v>
      </c>
      <c r="V50" s="73">
        <f t="shared" si="9"/>
        <v>662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928"/>
      <c r="F51" s="227">
        <f t="shared" si="10"/>
        <v>0</v>
      </c>
      <c r="G51" s="911"/>
      <c r="H51" s="912"/>
      <c r="I51" s="203">
        <f t="shared" si="6"/>
        <v>86.259999999999906</v>
      </c>
      <c r="J51" s="73">
        <f t="shared" si="7"/>
        <v>19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3005.48</v>
      </c>
      <c r="V51" s="73">
        <f t="shared" si="9"/>
        <v>662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928"/>
      <c r="F52" s="227">
        <f t="shared" si="10"/>
        <v>0</v>
      </c>
      <c r="G52" s="911"/>
      <c r="H52" s="912"/>
      <c r="I52" s="203">
        <f t="shared" si="6"/>
        <v>86.259999999999906</v>
      </c>
      <c r="J52" s="73">
        <f t="shared" si="7"/>
        <v>19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3005.48</v>
      </c>
      <c r="V52" s="73">
        <f t="shared" si="9"/>
        <v>662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928"/>
      <c r="F53" s="227">
        <f t="shared" si="10"/>
        <v>0</v>
      </c>
      <c r="G53" s="911"/>
      <c r="H53" s="912"/>
      <c r="I53" s="203">
        <f t="shared" si="6"/>
        <v>86.259999999999906</v>
      </c>
      <c r="J53" s="73">
        <f t="shared" si="7"/>
        <v>19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3005.48</v>
      </c>
      <c r="V53" s="73">
        <f t="shared" si="9"/>
        <v>662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928"/>
      <c r="F54" s="227">
        <f t="shared" si="10"/>
        <v>0</v>
      </c>
      <c r="G54" s="911"/>
      <c r="H54" s="912"/>
      <c r="I54" s="203">
        <f t="shared" si="6"/>
        <v>86.259999999999906</v>
      </c>
      <c r="J54" s="73">
        <f t="shared" si="7"/>
        <v>19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3005.48</v>
      </c>
      <c r="V54" s="73">
        <f t="shared" si="9"/>
        <v>662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928"/>
      <c r="F55" s="227">
        <f t="shared" si="10"/>
        <v>0</v>
      </c>
      <c r="G55" s="911"/>
      <c r="H55" s="912"/>
      <c r="I55" s="203">
        <f t="shared" si="6"/>
        <v>86.259999999999906</v>
      </c>
      <c r="J55" s="73">
        <f t="shared" si="7"/>
        <v>19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3005.48</v>
      </c>
      <c r="V55" s="73">
        <f t="shared" si="9"/>
        <v>662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928"/>
      <c r="F56" s="227">
        <f t="shared" si="10"/>
        <v>0</v>
      </c>
      <c r="G56" s="911"/>
      <c r="H56" s="912"/>
      <c r="I56" s="203">
        <f t="shared" si="6"/>
        <v>86.259999999999906</v>
      </c>
      <c r="J56" s="73">
        <f t="shared" si="7"/>
        <v>19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3005.48</v>
      </c>
      <c r="V56" s="73">
        <f t="shared" si="9"/>
        <v>662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928"/>
      <c r="F57" s="227">
        <f t="shared" si="10"/>
        <v>0</v>
      </c>
      <c r="G57" s="911"/>
      <c r="H57" s="912"/>
      <c r="I57" s="203">
        <f t="shared" si="6"/>
        <v>86.259999999999906</v>
      </c>
      <c r="J57" s="73">
        <f t="shared" si="7"/>
        <v>19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3005.48</v>
      </c>
      <c r="V57" s="73">
        <f t="shared" si="9"/>
        <v>662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928"/>
      <c r="F58" s="227">
        <f t="shared" si="10"/>
        <v>0</v>
      </c>
      <c r="G58" s="911"/>
      <c r="H58" s="912"/>
      <c r="I58" s="203">
        <f t="shared" si="6"/>
        <v>86.259999999999906</v>
      </c>
      <c r="J58" s="73">
        <f t="shared" si="7"/>
        <v>19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3005.48</v>
      </c>
      <c r="V58" s="73">
        <f t="shared" si="9"/>
        <v>662</v>
      </c>
      <c r="W58" s="60">
        <f t="shared" si="5"/>
        <v>0</v>
      </c>
    </row>
    <row r="59" spans="2:23" x14ac:dyDescent="0.25">
      <c r="B59" s="133">
        <v>4.54</v>
      </c>
      <c r="C59" s="15"/>
      <c r="D59" s="227">
        <f t="shared" si="0"/>
        <v>0</v>
      </c>
      <c r="E59" s="928"/>
      <c r="F59" s="227">
        <f t="shared" si="10"/>
        <v>0</v>
      </c>
      <c r="G59" s="911"/>
      <c r="H59" s="912"/>
      <c r="I59" s="203">
        <f t="shared" si="6"/>
        <v>86.259999999999906</v>
      </c>
      <c r="J59" s="73">
        <f t="shared" si="7"/>
        <v>19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3005.48</v>
      </c>
      <c r="V59" s="73">
        <f t="shared" si="9"/>
        <v>662</v>
      </c>
      <c r="W59" s="60">
        <f t="shared" si="5"/>
        <v>0</v>
      </c>
    </row>
    <row r="60" spans="2:23" x14ac:dyDescent="0.25">
      <c r="B60" s="133">
        <v>4.54</v>
      </c>
      <c r="C60" s="15"/>
      <c r="D60" s="227">
        <f t="shared" si="0"/>
        <v>0</v>
      </c>
      <c r="E60" s="928"/>
      <c r="F60" s="227">
        <f t="shared" si="10"/>
        <v>0</v>
      </c>
      <c r="G60" s="911"/>
      <c r="H60" s="912"/>
      <c r="I60" s="203">
        <f t="shared" si="6"/>
        <v>86.259999999999906</v>
      </c>
      <c r="J60" s="73">
        <f t="shared" si="7"/>
        <v>19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3005.48</v>
      </c>
      <c r="V60" s="73">
        <f t="shared" si="9"/>
        <v>662</v>
      </c>
      <c r="W60" s="60">
        <f t="shared" si="5"/>
        <v>0</v>
      </c>
    </row>
    <row r="61" spans="2:23" x14ac:dyDescent="0.25">
      <c r="B61" s="133">
        <v>4.54</v>
      </c>
      <c r="C61" s="15"/>
      <c r="D61" s="227">
        <f t="shared" si="0"/>
        <v>0</v>
      </c>
      <c r="E61" s="928"/>
      <c r="F61" s="227">
        <f t="shared" si="10"/>
        <v>0</v>
      </c>
      <c r="G61" s="911"/>
      <c r="H61" s="912"/>
      <c r="I61" s="203">
        <f t="shared" si="6"/>
        <v>86.259999999999906</v>
      </c>
      <c r="J61" s="73">
        <f t="shared" si="7"/>
        <v>19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3005.48</v>
      </c>
      <c r="V61" s="73">
        <f t="shared" si="9"/>
        <v>662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86.259999999999906</v>
      </c>
      <c r="J62" s="73">
        <f t="shared" si="7"/>
        <v>19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3005.48</v>
      </c>
      <c r="V62" s="73">
        <f t="shared" si="9"/>
        <v>662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28"/>
      <c r="F63" s="227">
        <f t="shared" si="10"/>
        <v>0</v>
      </c>
      <c r="G63" s="911"/>
      <c r="H63" s="912"/>
      <c r="I63" s="203">
        <f t="shared" si="6"/>
        <v>86.259999999999906</v>
      </c>
      <c r="J63" s="73">
        <f t="shared" si="7"/>
        <v>19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3005.48</v>
      </c>
      <c r="V63" s="73">
        <f t="shared" si="9"/>
        <v>662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28"/>
      <c r="F64" s="227">
        <f t="shared" si="10"/>
        <v>0</v>
      </c>
      <c r="G64" s="911"/>
      <c r="H64" s="912"/>
      <c r="I64" s="203">
        <f t="shared" si="6"/>
        <v>86.259999999999906</v>
      </c>
      <c r="J64" s="73">
        <f t="shared" si="7"/>
        <v>19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3005.48</v>
      </c>
      <c r="V64" s="73">
        <f t="shared" si="9"/>
        <v>662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28"/>
      <c r="F65" s="227">
        <f t="shared" si="10"/>
        <v>0</v>
      </c>
      <c r="G65" s="911"/>
      <c r="H65" s="912"/>
      <c r="I65" s="203">
        <f t="shared" si="6"/>
        <v>86.259999999999906</v>
      </c>
      <c r="J65" s="73">
        <f t="shared" si="7"/>
        <v>19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3005.48</v>
      </c>
      <c r="V65" s="73">
        <f t="shared" si="9"/>
        <v>662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28"/>
      <c r="F66" s="227">
        <f t="shared" si="10"/>
        <v>0</v>
      </c>
      <c r="G66" s="911"/>
      <c r="H66" s="912"/>
      <c r="I66" s="203">
        <f t="shared" si="6"/>
        <v>86.259999999999906</v>
      </c>
      <c r="J66" s="73">
        <f t="shared" si="7"/>
        <v>19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3005.48</v>
      </c>
      <c r="V66" s="73">
        <f t="shared" si="9"/>
        <v>662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28"/>
      <c r="F67" s="227">
        <f t="shared" si="10"/>
        <v>0</v>
      </c>
      <c r="G67" s="911"/>
      <c r="H67" s="912"/>
      <c r="I67" s="203">
        <f t="shared" si="6"/>
        <v>86.259999999999906</v>
      </c>
      <c r="J67" s="73">
        <f t="shared" si="7"/>
        <v>19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3005.48</v>
      </c>
      <c r="V67" s="73">
        <f t="shared" si="9"/>
        <v>662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28"/>
      <c r="F68" s="227">
        <f t="shared" si="10"/>
        <v>0</v>
      </c>
      <c r="G68" s="911"/>
      <c r="H68" s="912"/>
      <c r="I68" s="203">
        <f t="shared" si="6"/>
        <v>86.259999999999906</v>
      </c>
      <c r="J68" s="73">
        <f t="shared" si="7"/>
        <v>19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3005.48</v>
      </c>
      <c r="V68" s="73">
        <f t="shared" si="9"/>
        <v>662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28"/>
      <c r="F69" s="227">
        <f t="shared" si="10"/>
        <v>0</v>
      </c>
      <c r="G69" s="911"/>
      <c r="H69" s="912"/>
      <c r="I69" s="203">
        <f t="shared" si="6"/>
        <v>86.259999999999906</v>
      </c>
      <c r="J69" s="73">
        <f t="shared" si="7"/>
        <v>19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3005.48</v>
      </c>
      <c r="V69" s="73">
        <f t="shared" si="9"/>
        <v>662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28"/>
      <c r="F70" s="227">
        <f t="shared" si="10"/>
        <v>0</v>
      </c>
      <c r="G70" s="911"/>
      <c r="H70" s="912"/>
      <c r="I70" s="203">
        <f t="shared" si="6"/>
        <v>86.259999999999906</v>
      </c>
      <c r="J70" s="73">
        <f t="shared" si="7"/>
        <v>19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3005.48</v>
      </c>
      <c r="V70" s="73">
        <f t="shared" si="9"/>
        <v>662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28"/>
      <c r="F71" s="227">
        <f t="shared" si="10"/>
        <v>0</v>
      </c>
      <c r="G71" s="911"/>
      <c r="H71" s="912"/>
      <c r="I71" s="203">
        <f t="shared" si="6"/>
        <v>86.259999999999906</v>
      </c>
      <c r="J71" s="73">
        <f t="shared" si="7"/>
        <v>19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3005.48</v>
      </c>
      <c r="V71" s="73">
        <f t="shared" si="9"/>
        <v>662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28"/>
      <c r="F72" s="227">
        <f t="shared" si="10"/>
        <v>0</v>
      </c>
      <c r="G72" s="911"/>
      <c r="H72" s="912"/>
      <c r="I72" s="203">
        <f t="shared" si="6"/>
        <v>86.259999999999906</v>
      </c>
      <c r="J72" s="73">
        <f t="shared" si="7"/>
        <v>19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3005.48</v>
      </c>
      <c r="V72" s="73">
        <f t="shared" si="9"/>
        <v>662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28"/>
      <c r="F73" s="227">
        <f t="shared" si="10"/>
        <v>0</v>
      </c>
      <c r="G73" s="911"/>
      <c r="H73" s="912"/>
      <c r="I73" s="203">
        <f t="shared" si="6"/>
        <v>86.259999999999906</v>
      </c>
      <c r="J73" s="73">
        <f t="shared" si="7"/>
        <v>19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3005.48</v>
      </c>
      <c r="V73" s="73">
        <f t="shared" si="9"/>
        <v>662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28"/>
      <c r="F74" s="227">
        <f t="shared" si="10"/>
        <v>0</v>
      </c>
      <c r="G74" s="911"/>
      <c r="H74" s="912"/>
      <c r="I74" s="203">
        <f t="shared" si="6"/>
        <v>86.259999999999906</v>
      </c>
      <c r="J74" s="73">
        <f t="shared" si="7"/>
        <v>19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3005.48</v>
      </c>
      <c r="V74" s="73">
        <f t="shared" si="9"/>
        <v>662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28"/>
      <c r="F75" s="227">
        <f t="shared" si="10"/>
        <v>0</v>
      </c>
      <c r="G75" s="911"/>
      <c r="H75" s="912"/>
      <c r="I75" s="203">
        <f t="shared" ref="I75:I107" si="12">I74-F75</f>
        <v>86.259999999999906</v>
      </c>
      <c r="J75" s="73">
        <f t="shared" ref="J75:J106" si="13">J74-C75</f>
        <v>19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3005.48</v>
      </c>
      <c r="V75" s="73">
        <f t="shared" ref="V75:V106" si="15">V74-O75</f>
        <v>662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28"/>
      <c r="F76" s="227">
        <f t="shared" si="10"/>
        <v>0</v>
      </c>
      <c r="G76" s="911"/>
      <c r="H76" s="912"/>
      <c r="I76" s="203">
        <f t="shared" si="12"/>
        <v>86.259999999999906</v>
      </c>
      <c r="J76" s="73">
        <f t="shared" si="13"/>
        <v>19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3005.48</v>
      </c>
      <c r="V76" s="73">
        <f t="shared" si="15"/>
        <v>662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28"/>
      <c r="F77" s="227">
        <f t="shared" si="10"/>
        <v>0</v>
      </c>
      <c r="G77" s="911"/>
      <c r="H77" s="912"/>
      <c r="I77" s="203">
        <f t="shared" si="12"/>
        <v>86.259999999999906</v>
      </c>
      <c r="J77" s="73">
        <f t="shared" si="13"/>
        <v>19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3005.48</v>
      </c>
      <c r="V77" s="73">
        <f t="shared" si="15"/>
        <v>662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28"/>
      <c r="F78" s="227">
        <f t="shared" si="10"/>
        <v>0</v>
      </c>
      <c r="G78" s="911"/>
      <c r="H78" s="912"/>
      <c r="I78" s="203">
        <f t="shared" si="12"/>
        <v>86.259999999999906</v>
      </c>
      <c r="J78" s="73">
        <f t="shared" si="13"/>
        <v>19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3005.48</v>
      </c>
      <c r="V78" s="73">
        <f t="shared" si="15"/>
        <v>662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28"/>
      <c r="F79" s="227">
        <f t="shared" si="10"/>
        <v>0</v>
      </c>
      <c r="G79" s="911"/>
      <c r="H79" s="912"/>
      <c r="I79" s="203">
        <f t="shared" si="12"/>
        <v>86.259999999999906</v>
      </c>
      <c r="J79" s="73">
        <f t="shared" si="13"/>
        <v>19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3005.48</v>
      </c>
      <c r="V79" s="73">
        <f t="shared" si="15"/>
        <v>662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28"/>
      <c r="F80" s="227">
        <f t="shared" si="10"/>
        <v>0</v>
      </c>
      <c r="G80" s="911"/>
      <c r="H80" s="912"/>
      <c r="I80" s="203">
        <f t="shared" si="12"/>
        <v>86.259999999999906</v>
      </c>
      <c r="J80" s="73">
        <f t="shared" si="13"/>
        <v>19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3005.48</v>
      </c>
      <c r="V80" s="73">
        <f t="shared" si="15"/>
        <v>662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28"/>
      <c r="F81" s="227">
        <f t="shared" si="10"/>
        <v>0</v>
      </c>
      <c r="G81" s="911"/>
      <c r="H81" s="912"/>
      <c r="I81" s="203">
        <f t="shared" si="12"/>
        <v>86.259999999999906</v>
      </c>
      <c r="J81" s="73">
        <f t="shared" si="13"/>
        <v>19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3005.48</v>
      </c>
      <c r="V81" s="73">
        <f t="shared" si="15"/>
        <v>662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28"/>
      <c r="F82" s="227">
        <f t="shared" si="10"/>
        <v>0</v>
      </c>
      <c r="G82" s="911"/>
      <c r="H82" s="912"/>
      <c r="I82" s="203">
        <f t="shared" si="12"/>
        <v>86.259999999999906</v>
      </c>
      <c r="J82" s="73">
        <f t="shared" si="13"/>
        <v>19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3005.48</v>
      </c>
      <c r="V82" s="73">
        <f t="shared" si="15"/>
        <v>662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28"/>
      <c r="F83" s="227">
        <f t="shared" si="10"/>
        <v>0</v>
      </c>
      <c r="G83" s="911"/>
      <c r="H83" s="912"/>
      <c r="I83" s="203">
        <f t="shared" si="12"/>
        <v>86.259999999999906</v>
      </c>
      <c r="J83" s="73">
        <f t="shared" si="13"/>
        <v>19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3005.48</v>
      </c>
      <c r="V83" s="73">
        <f t="shared" si="15"/>
        <v>662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28"/>
      <c r="F84" s="227">
        <f t="shared" si="10"/>
        <v>0</v>
      </c>
      <c r="G84" s="911"/>
      <c r="H84" s="912"/>
      <c r="I84" s="203">
        <f t="shared" si="12"/>
        <v>86.259999999999906</v>
      </c>
      <c r="J84" s="73">
        <f t="shared" si="13"/>
        <v>19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3005.48</v>
      </c>
      <c r="V84" s="73">
        <f t="shared" si="15"/>
        <v>662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28"/>
      <c r="F85" s="227">
        <f t="shared" si="10"/>
        <v>0</v>
      </c>
      <c r="G85" s="911"/>
      <c r="H85" s="912"/>
      <c r="I85" s="203">
        <f t="shared" si="12"/>
        <v>86.259999999999906</v>
      </c>
      <c r="J85" s="73">
        <f t="shared" si="13"/>
        <v>19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3005.48</v>
      </c>
      <c r="V85" s="73">
        <f t="shared" si="15"/>
        <v>662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28"/>
      <c r="F86" s="227">
        <f t="shared" si="10"/>
        <v>0</v>
      </c>
      <c r="G86" s="911"/>
      <c r="H86" s="912"/>
      <c r="I86" s="203">
        <f t="shared" si="12"/>
        <v>86.259999999999906</v>
      </c>
      <c r="J86" s="73">
        <f t="shared" si="13"/>
        <v>19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3005.48</v>
      </c>
      <c r="V86" s="73">
        <f t="shared" si="15"/>
        <v>662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28"/>
      <c r="F87" s="227">
        <f t="shared" si="10"/>
        <v>0</v>
      </c>
      <c r="G87" s="911"/>
      <c r="H87" s="912"/>
      <c r="I87" s="203">
        <f t="shared" si="12"/>
        <v>86.259999999999906</v>
      </c>
      <c r="J87" s="73">
        <f t="shared" si="13"/>
        <v>19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3005.48</v>
      </c>
      <c r="V87" s="73">
        <f t="shared" si="15"/>
        <v>662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28"/>
      <c r="F88" s="227">
        <f t="shared" si="10"/>
        <v>0</v>
      </c>
      <c r="G88" s="911"/>
      <c r="H88" s="912"/>
      <c r="I88" s="203">
        <f t="shared" si="12"/>
        <v>86.259999999999906</v>
      </c>
      <c r="J88" s="73">
        <f t="shared" si="13"/>
        <v>19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3005.48</v>
      </c>
      <c r="V88" s="73">
        <f t="shared" si="15"/>
        <v>662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28"/>
      <c r="F89" s="227">
        <f t="shared" si="10"/>
        <v>0</v>
      </c>
      <c r="G89" s="911"/>
      <c r="H89" s="912"/>
      <c r="I89" s="203">
        <f t="shared" si="12"/>
        <v>86.259999999999906</v>
      </c>
      <c r="J89" s="73">
        <f t="shared" si="13"/>
        <v>19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3005.48</v>
      </c>
      <c r="V89" s="73">
        <f t="shared" si="15"/>
        <v>662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28"/>
      <c r="F90" s="227">
        <f t="shared" si="10"/>
        <v>0</v>
      </c>
      <c r="G90" s="911"/>
      <c r="H90" s="912"/>
      <c r="I90" s="203">
        <f t="shared" si="12"/>
        <v>86.259999999999906</v>
      </c>
      <c r="J90" s="73">
        <f t="shared" si="13"/>
        <v>19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3005.48</v>
      </c>
      <c r="V90" s="73">
        <f t="shared" si="15"/>
        <v>662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28"/>
      <c r="F91" s="227">
        <f t="shared" si="10"/>
        <v>0</v>
      </c>
      <c r="G91" s="911"/>
      <c r="H91" s="912"/>
      <c r="I91" s="203">
        <f t="shared" si="12"/>
        <v>86.259999999999906</v>
      </c>
      <c r="J91" s="73">
        <f t="shared" si="13"/>
        <v>19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3005.48</v>
      </c>
      <c r="V91" s="73">
        <f t="shared" si="15"/>
        <v>662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28"/>
      <c r="F92" s="227">
        <f t="shared" si="10"/>
        <v>0</v>
      </c>
      <c r="G92" s="911"/>
      <c r="H92" s="912"/>
      <c r="I92" s="203">
        <f t="shared" si="12"/>
        <v>86.259999999999906</v>
      </c>
      <c r="J92" s="73">
        <f t="shared" si="13"/>
        <v>19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3005.48</v>
      </c>
      <c r="V92" s="73">
        <f t="shared" si="15"/>
        <v>662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28"/>
      <c r="F93" s="227">
        <f t="shared" si="10"/>
        <v>0</v>
      </c>
      <c r="G93" s="911"/>
      <c r="H93" s="912"/>
      <c r="I93" s="203">
        <f t="shared" si="12"/>
        <v>86.259999999999906</v>
      </c>
      <c r="J93" s="73">
        <f t="shared" si="13"/>
        <v>19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3005.48</v>
      </c>
      <c r="V93" s="73">
        <f t="shared" si="15"/>
        <v>662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28"/>
      <c r="F94" s="227">
        <f t="shared" si="10"/>
        <v>0</v>
      </c>
      <c r="G94" s="911"/>
      <c r="H94" s="912"/>
      <c r="I94" s="203">
        <f t="shared" si="12"/>
        <v>86.259999999999906</v>
      </c>
      <c r="J94" s="73">
        <f t="shared" si="13"/>
        <v>19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3005.48</v>
      </c>
      <c r="V94" s="73">
        <f t="shared" si="15"/>
        <v>662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28"/>
      <c r="F95" s="227">
        <f t="shared" si="10"/>
        <v>0</v>
      </c>
      <c r="G95" s="911"/>
      <c r="H95" s="912"/>
      <c r="I95" s="203">
        <f t="shared" si="12"/>
        <v>86.259999999999906</v>
      </c>
      <c r="J95" s="73">
        <f t="shared" si="13"/>
        <v>19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3005.48</v>
      </c>
      <c r="V95" s="73">
        <f t="shared" si="15"/>
        <v>662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28"/>
      <c r="F96" s="227">
        <f t="shared" si="10"/>
        <v>0</v>
      </c>
      <c r="G96" s="911"/>
      <c r="H96" s="912"/>
      <c r="I96" s="203">
        <f t="shared" si="12"/>
        <v>86.259999999999906</v>
      </c>
      <c r="J96" s="73">
        <f t="shared" si="13"/>
        <v>19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3005.48</v>
      </c>
      <c r="V96" s="73">
        <f t="shared" si="15"/>
        <v>662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28"/>
      <c r="F97" s="227">
        <f t="shared" si="10"/>
        <v>0</v>
      </c>
      <c r="G97" s="911"/>
      <c r="H97" s="912"/>
      <c r="I97" s="203">
        <f t="shared" si="12"/>
        <v>86.259999999999906</v>
      </c>
      <c r="J97" s="73">
        <f t="shared" si="13"/>
        <v>19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3005.48</v>
      </c>
      <c r="V97" s="73">
        <f t="shared" si="15"/>
        <v>662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28"/>
      <c r="F98" s="227">
        <f t="shared" si="10"/>
        <v>0</v>
      </c>
      <c r="G98" s="911"/>
      <c r="H98" s="912"/>
      <c r="I98" s="203">
        <f t="shared" si="12"/>
        <v>86.259999999999906</v>
      </c>
      <c r="J98" s="73">
        <f t="shared" si="13"/>
        <v>19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3005.48</v>
      </c>
      <c r="V98" s="73">
        <f t="shared" si="15"/>
        <v>662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28"/>
      <c r="F99" s="227">
        <f t="shared" si="10"/>
        <v>0</v>
      </c>
      <c r="G99" s="911"/>
      <c r="H99" s="912"/>
      <c r="I99" s="203">
        <f t="shared" si="12"/>
        <v>86.259999999999906</v>
      </c>
      <c r="J99" s="73">
        <f t="shared" si="13"/>
        <v>19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3005.48</v>
      </c>
      <c r="V99" s="73">
        <f t="shared" si="15"/>
        <v>662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28"/>
      <c r="F100" s="227">
        <f t="shared" si="10"/>
        <v>0</v>
      </c>
      <c r="G100" s="911"/>
      <c r="H100" s="912"/>
      <c r="I100" s="203">
        <f t="shared" si="12"/>
        <v>86.259999999999906</v>
      </c>
      <c r="J100" s="73">
        <f t="shared" si="13"/>
        <v>19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3005.48</v>
      </c>
      <c r="V100" s="73">
        <f t="shared" si="15"/>
        <v>662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28"/>
      <c r="F101" s="227">
        <f t="shared" si="10"/>
        <v>0</v>
      </c>
      <c r="G101" s="911"/>
      <c r="H101" s="912"/>
      <c r="I101" s="203">
        <f t="shared" si="12"/>
        <v>86.259999999999906</v>
      </c>
      <c r="J101" s="73">
        <f t="shared" si="13"/>
        <v>19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3005.48</v>
      </c>
      <c r="V101" s="73">
        <f t="shared" si="15"/>
        <v>662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28"/>
      <c r="F102" s="227">
        <f t="shared" si="10"/>
        <v>0</v>
      </c>
      <c r="G102" s="911"/>
      <c r="H102" s="912"/>
      <c r="I102" s="203">
        <f t="shared" si="12"/>
        <v>86.259999999999906</v>
      </c>
      <c r="J102" s="73">
        <f t="shared" si="13"/>
        <v>19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3005.48</v>
      </c>
      <c r="V102" s="73">
        <f t="shared" si="15"/>
        <v>662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28"/>
      <c r="F103" s="227">
        <f t="shared" si="10"/>
        <v>0</v>
      </c>
      <c r="G103" s="911"/>
      <c r="H103" s="912"/>
      <c r="I103" s="203">
        <f t="shared" si="12"/>
        <v>86.259999999999906</v>
      </c>
      <c r="J103" s="73">
        <f t="shared" si="13"/>
        <v>19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3005.48</v>
      </c>
      <c r="V103" s="73">
        <f t="shared" si="15"/>
        <v>662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28"/>
      <c r="F104" s="227">
        <f t="shared" si="10"/>
        <v>0</v>
      </c>
      <c r="G104" s="911"/>
      <c r="H104" s="912"/>
      <c r="I104" s="203">
        <f t="shared" si="12"/>
        <v>86.259999999999906</v>
      </c>
      <c r="J104" s="73">
        <f t="shared" si="13"/>
        <v>19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3005.48</v>
      </c>
      <c r="V104" s="73">
        <f t="shared" si="15"/>
        <v>662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28"/>
      <c r="F105" s="227">
        <f t="shared" si="10"/>
        <v>0</v>
      </c>
      <c r="G105" s="911"/>
      <c r="H105" s="912"/>
      <c r="I105" s="203">
        <f t="shared" si="12"/>
        <v>86.259999999999906</v>
      </c>
      <c r="J105" s="73">
        <f t="shared" si="13"/>
        <v>19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3005.48</v>
      </c>
      <c r="V105" s="73">
        <f t="shared" si="15"/>
        <v>662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28"/>
      <c r="F106" s="227">
        <f t="shared" si="10"/>
        <v>0</v>
      </c>
      <c r="G106" s="911"/>
      <c r="H106" s="912"/>
      <c r="I106" s="203">
        <f t="shared" si="12"/>
        <v>86.259999999999906</v>
      </c>
      <c r="J106" s="73">
        <f t="shared" si="13"/>
        <v>19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3005.48</v>
      </c>
      <c r="V106" s="73">
        <f t="shared" si="15"/>
        <v>662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28"/>
      <c r="F107" s="227">
        <f t="shared" si="10"/>
        <v>0</v>
      </c>
      <c r="G107" s="911"/>
      <c r="H107" s="912"/>
      <c r="I107" s="203">
        <f t="shared" si="12"/>
        <v>86.259999999999906</v>
      </c>
      <c r="J107" s="73">
        <f>J83-C107</f>
        <v>19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3005.48</v>
      </c>
      <c r="V107" s="73">
        <f>V83-O107</f>
        <v>662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913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13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538</v>
      </c>
      <c r="D109" s="6">
        <f>SUM(D9:D108)</f>
        <v>2442.52</v>
      </c>
      <c r="E109" s="13"/>
      <c r="F109" s="6">
        <f>SUM(F9:F108)</f>
        <v>2442.52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19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662</v>
      </c>
      <c r="Q111" s="40"/>
      <c r="R111" s="6"/>
      <c r="S111" s="31"/>
      <c r="T111" s="17"/>
      <c r="U111" s="132"/>
      <c r="V111" s="73"/>
    </row>
    <row r="112" spans="2:23" x14ac:dyDescent="0.25">
      <c r="C112" s="1289" t="s">
        <v>19</v>
      </c>
      <c r="D112" s="1290"/>
      <c r="E112" s="39">
        <f>E4+E5-F109+E6+E7</f>
        <v>86.260000000000218</v>
      </c>
      <c r="F112" s="6"/>
      <c r="G112" s="6"/>
      <c r="H112" s="17"/>
      <c r="I112" s="132"/>
      <c r="J112" s="73"/>
      <c r="O112" s="1289" t="s">
        <v>19</v>
      </c>
      <c r="P112" s="1290"/>
      <c r="Q112" s="39">
        <f>Q4+Q5-R109+Q6+Q7</f>
        <v>3005.48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52" t="s">
        <v>295</v>
      </c>
      <c r="B1" s="1252"/>
      <c r="C1" s="1252"/>
      <c r="D1" s="1252"/>
      <c r="E1" s="1252"/>
      <c r="F1" s="1252"/>
      <c r="G1" s="1252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269" t="s">
        <v>296</v>
      </c>
      <c r="B5" s="1291" t="s">
        <v>297</v>
      </c>
      <c r="C5" s="212">
        <v>68</v>
      </c>
      <c r="D5" s="154">
        <v>44714</v>
      </c>
      <c r="E5" s="132">
        <v>521.78</v>
      </c>
      <c r="F5" s="243">
        <v>20</v>
      </c>
      <c r="G5" s="1177">
        <f>F31</f>
        <v>521.78</v>
      </c>
      <c r="H5" s="138">
        <f>E4+E5-G5+E6+E7</f>
        <v>0</v>
      </c>
    </row>
    <row r="6" spans="1:8" x14ac:dyDescent="0.25">
      <c r="A6" s="1269"/>
      <c r="B6" s="1291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66" t="s">
        <v>9</v>
      </c>
      <c r="G8" s="1067" t="s">
        <v>16</v>
      </c>
      <c r="H8" s="24"/>
    </row>
    <row r="9" spans="1:8" ht="15.75" thickTop="1" x14ac:dyDescent="0.25">
      <c r="A9" s="73"/>
      <c r="B9" s="982"/>
      <c r="C9" s="263">
        <v>20</v>
      </c>
      <c r="D9" s="92">
        <v>521.78</v>
      </c>
      <c r="E9" s="208">
        <v>44715</v>
      </c>
      <c r="F9" s="69">
        <f>D9</f>
        <v>521.78</v>
      </c>
      <c r="G9" s="70" t="s">
        <v>510</v>
      </c>
      <c r="H9" s="71">
        <v>70</v>
      </c>
    </row>
    <row r="10" spans="1:8" x14ac:dyDescent="0.25">
      <c r="B10" s="982"/>
      <c r="C10" s="15"/>
      <c r="D10" s="92"/>
      <c r="E10" s="208"/>
      <c r="F10" s="1178">
        <f t="shared" ref="F10:F29" si="0">D10</f>
        <v>0</v>
      </c>
      <c r="G10" s="1179"/>
      <c r="H10" s="1007"/>
    </row>
    <row r="11" spans="1:8" x14ac:dyDescent="0.25">
      <c r="A11" s="55" t="s">
        <v>32</v>
      </c>
      <c r="B11" s="982"/>
      <c r="C11" s="263"/>
      <c r="D11" s="92"/>
      <c r="E11" s="208"/>
      <c r="F11" s="1178">
        <f t="shared" si="0"/>
        <v>0</v>
      </c>
      <c r="G11" s="1179"/>
      <c r="H11" s="1007"/>
    </row>
    <row r="12" spans="1:8" x14ac:dyDescent="0.25">
      <c r="A12" s="85"/>
      <c r="B12" s="982"/>
      <c r="C12" s="15"/>
      <c r="D12" s="92"/>
      <c r="E12" s="208"/>
      <c r="F12" s="1178">
        <f t="shared" si="0"/>
        <v>0</v>
      </c>
      <c r="G12" s="1179"/>
      <c r="H12" s="1007"/>
    </row>
    <row r="13" spans="1:8" x14ac:dyDescent="0.25">
      <c r="B13" s="982"/>
      <c r="C13" s="263"/>
      <c r="D13" s="92"/>
      <c r="E13" s="208"/>
      <c r="F13" s="1178">
        <f t="shared" si="0"/>
        <v>0</v>
      </c>
      <c r="G13" s="1179"/>
      <c r="H13" s="1007"/>
    </row>
    <row r="14" spans="1:8" x14ac:dyDescent="0.25">
      <c r="A14" s="55" t="s">
        <v>33</v>
      </c>
      <c r="B14" s="982"/>
      <c r="C14" s="15"/>
      <c r="D14" s="92"/>
      <c r="E14" s="469"/>
      <c r="F14" s="69">
        <f t="shared" si="0"/>
        <v>0</v>
      </c>
      <c r="G14" s="265"/>
      <c r="H14" s="266"/>
    </row>
    <row r="15" spans="1:8" x14ac:dyDescent="0.25">
      <c r="B15" s="982"/>
      <c r="C15" s="263"/>
      <c r="D15" s="92"/>
      <c r="E15" s="208"/>
      <c r="F15" s="69">
        <f t="shared" si="0"/>
        <v>0</v>
      </c>
      <c r="G15" s="70"/>
      <c r="H15" s="266"/>
    </row>
    <row r="16" spans="1:8" x14ac:dyDescent="0.25">
      <c r="B16" s="982"/>
      <c r="C16" s="15"/>
      <c r="D16" s="92"/>
      <c r="E16" s="208"/>
      <c r="F16" s="69">
        <f t="shared" si="0"/>
        <v>0</v>
      </c>
      <c r="G16" s="70"/>
      <c r="H16" s="266"/>
    </row>
    <row r="17" spans="2:8" x14ac:dyDescent="0.25">
      <c r="B17" s="982"/>
      <c r="C17" s="263"/>
      <c r="D17" s="92"/>
      <c r="E17" s="208"/>
      <c r="F17" s="69">
        <f t="shared" si="0"/>
        <v>0</v>
      </c>
      <c r="G17" s="70"/>
      <c r="H17" s="266"/>
    </row>
    <row r="18" spans="2:8" x14ac:dyDescent="0.25">
      <c r="B18" s="982"/>
      <c r="C18" s="15"/>
      <c r="D18" s="92"/>
      <c r="E18" s="208"/>
      <c r="F18" s="69">
        <f t="shared" si="0"/>
        <v>0</v>
      </c>
      <c r="G18" s="70"/>
      <c r="H18" s="266"/>
    </row>
    <row r="19" spans="2:8" x14ac:dyDescent="0.25">
      <c r="B19" s="982"/>
      <c r="C19" s="263"/>
      <c r="D19" s="92"/>
      <c r="E19" s="208"/>
      <c r="F19" s="69">
        <f t="shared" si="0"/>
        <v>0</v>
      </c>
      <c r="G19" s="70"/>
      <c r="H19" s="266"/>
    </row>
    <row r="20" spans="2:8" x14ac:dyDescent="0.25">
      <c r="B20" s="982"/>
      <c r="C20" s="15"/>
      <c r="D20" s="92"/>
      <c r="E20" s="208"/>
      <c r="F20" s="69">
        <f t="shared" si="0"/>
        <v>0</v>
      </c>
      <c r="G20" s="70"/>
      <c r="H20" s="266"/>
    </row>
    <row r="21" spans="2:8" x14ac:dyDescent="0.25">
      <c r="B21" s="982"/>
      <c r="C21" s="263"/>
      <c r="D21" s="92"/>
      <c r="E21" s="208"/>
      <c r="F21" s="69">
        <f t="shared" si="0"/>
        <v>0</v>
      </c>
      <c r="G21" s="70"/>
      <c r="H21" s="266"/>
    </row>
    <row r="22" spans="2:8" x14ac:dyDescent="0.25">
      <c r="B22" s="982"/>
      <c r="C22" s="15"/>
      <c r="D22" s="92"/>
      <c r="E22" s="208"/>
      <c r="F22" s="69">
        <f t="shared" si="0"/>
        <v>0</v>
      </c>
      <c r="G22" s="70"/>
      <c r="H22" s="266"/>
    </row>
    <row r="23" spans="2:8" x14ac:dyDescent="0.25">
      <c r="B23" s="982"/>
      <c r="C23" s="263"/>
      <c r="D23" s="92"/>
      <c r="E23" s="208"/>
      <c r="F23" s="69">
        <f t="shared" si="0"/>
        <v>0</v>
      </c>
      <c r="G23" s="70"/>
      <c r="H23" s="71"/>
    </row>
    <row r="24" spans="2:8" x14ac:dyDescent="0.25">
      <c r="B24" s="982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982"/>
      <c r="C25" s="263"/>
      <c r="D25" s="92"/>
      <c r="E25" s="208"/>
      <c r="F25" s="69">
        <f t="shared" si="0"/>
        <v>0</v>
      </c>
      <c r="G25" s="70"/>
      <c r="H25" s="71"/>
    </row>
    <row r="26" spans="2:8" x14ac:dyDescent="0.25">
      <c r="B26" s="982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982"/>
      <c r="C27" s="263"/>
      <c r="D27" s="92"/>
      <c r="E27" s="208"/>
      <c r="F27" s="69">
        <f t="shared" si="0"/>
        <v>0</v>
      </c>
      <c r="G27" s="70"/>
      <c r="H27" s="71"/>
    </row>
    <row r="28" spans="2:8" x14ac:dyDescent="0.25">
      <c r="B28" s="982"/>
      <c r="C28" s="15"/>
      <c r="D28" s="384"/>
      <c r="E28" s="208"/>
      <c r="F28" s="69">
        <f t="shared" si="0"/>
        <v>0</v>
      </c>
      <c r="G28" s="70"/>
      <c r="H28" s="71"/>
    </row>
    <row r="29" spans="2:8" x14ac:dyDescent="0.25">
      <c r="B29" s="982"/>
      <c r="C29" s="263"/>
      <c r="D29" s="384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20</v>
      </c>
      <c r="D31" s="6">
        <f>SUM(D9:D30)</f>
        <v>521.78</v>
      </c>
      <c r="E31" s="13"/>
      <c r="F31" s="6">
        <f>SUM(F9:F30)</f>
        <v>521.78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89" t="s">
        <v>19</v>
      </c>
      <c r="D34" s="129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selection activeCell="G11" sqref="G1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56" t="s">
        <v>271</v>
      </c>
      <c r="B1" s="1256"/>
      <c r="C1" s="1256"/>
      <c r="D1" s="1256"/>
      <c r="E1" s="1256"/>
      <c r="F1" s="1256"/>
      <c r="G1" s="1256"/>
      <c r="H1" s="11">
        <v>1</v>
      </c>
      <c r="K1" s="1256" t="str">
        <f>A1</f>
        <v>INVENTARIO    DEL MES DE MAYO 2022</v>
      </c>
      <c r="L1" s="1256"/>
      <c r="M1" s="1256"/>
      <c r="N1" s="1256"/>
      <c r="O1" s="1256"/>
      <c r="P1" s="1256"/>
      <c r="Q1" s="1256"/>
      <c r="R1" s="11">
        <v>2</v>
      </c>
      <c r="U1" s="1252" t="s">
        <v>279</v>
      </c>
      <c r="V1" s="1252"/>
      <c r="W1" s="1252"/>
      <c r="X1" s="1252"/>
      <c r="Y1" s="1252"/>
      <c r="Z1" s="1252"/>
      <c r="AA1" s="1252"/>
      <c r="AB1" s="11">
        <v>3</v>
      </c>
      <c r="AE1" s="1252" t="str">
        <f>U1</f>
        <v>ENTRADA DEL MES DE JUNIO 2022</v>
      </c>
      <c r="AF1" s="1252"/>
      <c r="AG1" s="1252"/>
      <c r="AH1" s="1252"/>
      <c r="AI1" s="1252"/>
      <c r="AJ1" s="1252"/>
      <c r="AK1" s="1252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09"/>
      <c r="D4" s="248"/>
      <c r="E4" s="259"/>
      <c r="F4" s="253"/>
      <c r="G4" s="160"/>
      <c r="H4" s="160"/>
      <c r="K4" s="12"/>
      <c r="L4" s="12"/>
      <c r="M4" s="1019">
        <v>105</v>
      </c>
      <c r="N4" s="248">
        <v>44664</v>
      </c>
      <c r="O4" s="259">
        <v>100</v>
      </c>
      <c r="P4" s="253">
        <v>10</v>
      </c>
      <c r="Q4" s="160"/>
      <c r="R4" s="160"/>
      <c r="U4" s="12"/>
      <c r="V4" s="12"/>
      <c r="W4" s="1019"/>
      <c r="X4" s="248"/>
      <c r="Y4" s="259"/>
      <c r="Z4" s="253"/>
      <c r="AA4" s="160"/>
      <c r="AB4" s="160"/>
      <c r="AE4" s="12"/>
      <c r="AF4" s="12"/>
      <c r="AG4" s="609"/>
      <c r="AH4" s="248"/>
      <c r="AI4" s="259"/>
      <c r="AJ4" s="253"/>
      <c r="AK4" s="160"/>
      <c r="AL4" s="160"/>
    </row>
    <row r="5" spans="1:39" ht="15" customHeight="1" x14ac:dyDescent="0.25">
      <c r="A5" s="250" t="s">
        <v>66</v>
      </c>
      <c r="B5" s="1292" t="s">
        <v>71</v>
      </c>
      <c r="C5" s="563">
        <v>85</v>
      </c>
      <c r="D5" s="248">
        <v>44690</v>
      </c>
      <c r="E5" s="267">
        <v>100</v>
      </c>
      <c r="F5" s="253">
        <v>10</v>
      </c>
      <c r="G5" s="260"/>
      <c r="K5" s="250" t="s">
        <v>66</v>
      </c>
      <c r="L5" s="1293" t="s">
        <v>70</v>
      </c>
      <c r="M5" s="563"/>
      <c r="N5" s="248"/>
      <c r="O5" s="267"/>
      <c r="P5" s="253"/>
      <c r="Q5" s="260"/>
      <c r="U5" s="250" t="s">
        <v>66</v>
      </c>
      <c r="V5" s="1293" t="s">
        <v>70</v>
      </c>
      <c r="W5" s="563">
        <v>105</v>
      </c>
      <c r="X5" s="248">
        <v>44719</v>
      </c>
      <c r="Y5" s="267">
        <v>150</v>
      </c>
      <c r="Z5" s="253">
        <v>15</v>
      </c>
      <c r="AA5" s="260"/>
      <c r="AE5" s="250" t="s">
        <v>66</v>
      </c>
      <c r="AF5" s="1292" t="s">
        <v>71</v>
      </c>
      <c r="AG5" s="563">
        <v>85</v>
      </c>
      <c r="AH5" s="248">
        <v>44719</v>
      </c>
      <c r="AI5" s="267">
        <v>190</v>
      </c>
      <c r="AJ5" s="253">
        <v>19</v>
      </c>
      <c r="AK5" s="260"/>
    </row>
    <row r="6" spans="1:39" ht="22.5" customHeight="1" thickBot="1" x14ac:dyDescent="0.3">
      <c r="A6" s="250"/>
      <c r="B6" s="1292"/>
      <c r="C6" s="12"/>
      <c r="D6" s="12"/>
      <c r="E6" s="956">
        <v>10</v>
      </c>
      <c r="F6" s="145">
        <v>1</v>
      </c>
      <c r="G6" s="262">
        <f>F78</f>
        <v>40</v>
      </c>
      <c r="H6" s="7">
        <f>E6-G6+E7+E5-G5+E4</f>
        <v>70</v>
      </c>
      <c r="K6" s="250"/>
      <c r="L6" s="1294"/>
      <c r="M6" s="563"/>
      <c r="N6" s="248"/>
      <c r="O6" s="267">
        <v>10</v>
      </c>
      <c r="P6" s="62">
        <v>1</v>
      </c>
      <c r="Q6" s="262">
        <f>P78</f>
        <v>90</v>
      </c>
      <c r="R6" s="7">
        <f>O6-Q6+O7+O5-Q5+O4</f>
        <v>20</v>
      </c>
      <c r="U6" s="250"/>
      <c r="V6" s="1294"/>
      <c r="W6" s="563"/>
      <c r="X6" s="248"/>
      <c r="Y6" s="267"/>
      <c r="Z6" s="62"/>
      <c r="AA6" s="262">
        <f>Z78</f>
        <v>50</v>
      </c>
      <c r="AB6" s="7">
        <f>Y6-AA6+Y7+Y5-AA5+Y4</f>
        <v>100</v>
      </c>
      <c r="AE6" s="250"/>
      <c r="AF6" s="1292"/>
      <c r="AG6" s="12"/>
      <c r="AH6" s="12"/>
      <c r="AI6" s="956"/>
      <c r="AJ6" s="145"/>
      <c r="AK6" s="262">
        <f>AJ78</f>
        <v>20</v>
      </c>
      <c r="AL6" s="7">
        <f>AI6-AK6+AI7+AI5-AK5+AI4</f>
        <v>170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9</v>
      </c>
      <c r="C9" s="15">
        <v>2</v>
      </c>
      <c r="D9" s="264">
        <v>20</v>
      </c>
      <c r="E9" s="293">
        <v>44692</v>
      </c>
      <c r="F9" s="264">
        <f>D9</f>
        <v>20</v>
      </c>
      <c r="G9" s="265" t="s">
        <v>162</v>
      </c>
      <c r="H9" s="266">
        <v>100</v>
      </c>
      <c r="I9" s="275">
        <f>E6-F9+E5+E7+E4</f>
        <v>90</v>
      </c>
      <c r="K9" s="80" t="s">
        <v>32</v>
      </c>
      <c r="L9" s="83">
        <f>P6-M9+P5+P7+P4</f>
        <v>6</v>
      </c>
      <c r="M9" s="15">
        <v>5</v>
      </c>
      <c r="N9" s="264">
        <v>50</v>
      </c>
      <c r="O9" s="293">
        <v>44706</v>
      </c>
      <c r="P9" s="264">
        <f>N9</f>
        <v>50</v>
      </c>
      <c r="Q9" s="265" t="s">
        <v>242</v>
      </c>
      <c r="R9" s="266">
        <v>115</v>
      </c>
      <c r="S9" s="275">
        <f>O6-P9+O5+O7+O4</f>
        <v>60</v>
      </c>
      <c r="U9" s="80" t="s">
        <v>32</v>
      </c>
      <c r="V9" s="83">
        <f>Z6-W9+Z5+Z7+Z4</f>
        <v>10</v>
      </c>
      <c r="W9" s="15">
        <v>5</v>
      </c>
      <c r="X9" s="264">
        <v>50</v>
      </c>
      <c r="Y9" s="293">
        <v>44706</v>
      </c>
      <c r="Z9" s="264">
        <f>X9</f>
        <v>50</v>
      </c>
      <c r="AA9" s="265" t="s">
        <v>242</v>
      </c>
      <c r="AB9" s="266">
        <v>115</v>
      </c>
      <c r="AC9" s="275">
        <f>Y6-Z9+Y5+Y7+Y4</f>
        <v>100</v>
      </c>
      <c r="AE9" s="80" t="s">
        <v>32</v>
      </c>
      <c r="AF9" s="83">
        <f>AJ6-AG9+AJ5+AJ7+AJ4</f>
        <v>17</v>
      </c>
      <c r="AG9" s="15">
        <v>2</v>
      </c>
      <c r="AH9" s="264">
        <v>20</v>
      </c>
      <c r="AI9" s="293">
        <v>44692</v>
      </c>
      <c r="AJ9" s="264">
        <f>AH9</f>
        <v>20</v>
      </c>
      <c r="AK9" s="265" t="s">
        <v>162</v>
      </c>
      <c r="AL9" s="266">
        <v>100</v>
      </c>
      <c r="AM9" s="275">
        <f>AI6-AJ9+AI5+AI7+AI4</f>
        <v>170</v>
      </c>
    </row>
    <row r="10" spans="1:39" x14ac:dyDescent="0.25">
      <c r="A10" s="207"/>
      <c r="B10" s="83">
        <f t="shared" ref="B10:B73" si="0">B9-C10</f>
        <v>7</v>
      </c>
      <c r="C10" s="73">
        <v>2</v>
      </c>
      <c r="D10" s="858">
        <v>20</v>
      </c>
      <c r="E10" s="859">
        <v>44714</v>
      </c>
      <c r="F10" s="858">
        <f t="shared" ref="F10:F73" si="1">D10</f>
        <v>20</v>
      </c>
      <c r="G10" s="422" t="s">
        <v>505</v>
      </c>
      <c r="H10" s="423">
        <v>100</v>
      </c>
      <c r="I10" s="275">
        <f t="shared" ref="I10:I73" si="2">I9-F10</f>
        <v>70</v>
      </c>
      <c r="K10" s="207"/>
      <c r="L10" s="83">
        <f t="shared" ref="L10:L73" si="3">L9-M10</f>
        <v>4</v>
      </c>
      <c r="M10" s="73">
        <v>2</v>
      </c>
      <c r="N10" s="858">
        <v>20</v>
      </c>
      <c r="O10" s="859">
        <v>44711</v>
      </c>
      <c r="P10" s="858">
        <f>N10</f>
        <v>20</v>
      </c>
      <c r="Q10" s="422" t="s">
        <v>479</v>
      </c>
      <c r="R10" s="423">
        <v>115</v>
      </c>
      <c r="S10" s="275">
        <f>S9-P10</f>
        <v>40</v>
      </c>
      <c r="U10" s="207"/>
      <c r="V10" s="83">
        <f t="shared" ref="V10:V73" si="4">V9-W10</f>
        <v>10</v>
      </c>
      <c r="W10" s="73"/>
      <c r="X10" s="858"/>
      <c r="Y10" s="859"/>
      <c r="Z10" s="858">
        <f>X10</f>
        <v>0</v>
      </c>
      <c r="AA10" s="422"/>
      <c r="AB10" s="423"/>
      <c r="AC10" s="275">
        <f>AC9-Z10</f>
        <v>100</v>
      </c>
      <c r="AE10" s="207"/>
      <c r="AF10" s="83">
        <f t="shared" ref="AF10:AF73" si="5">AF9-AG10</f>
        <v>17</v>
      </c>
      <c r="AG10" s="73"/>
      <c r="AH10" s="858"/>
      <c r="AI10" s="859"/>
      <c r="AJ10" s="858">
        <f t="shared" ref="AJ10:AJ73" si="6">AH10</f>
        <v>0</v>
      </c>
      <c r="AK10" s="422"/>
      <c r="AL10" s="423"/>
      <c r="AM10" s="275">
        <f t="shared" ref="AM10:AM73" si="7">AM9-AJ10</f>
        <v>170</v>
      </c>
    </row>
    <row r="11" spans="1:39" x14ac:dyDescent="0.25">
      <c r="A11" s="195"/>
      <c r="B11" s="83">
        <f t="shared" si="0"/>
        <v>7</v>
      </c>
      <c r="C11" s="73"/>
      <c r="D11" s="858"/>
      <c r="E11" s="859"/>
      <c r="F11" s="858">
        <f t="shared" si="1"/>
        <v>0</v>
      </c>
      <c r="G11" s="422"/>
      <c r="H11" s="423"/>
      <c r="I11" s="275">
        <f t="shared" si="2"/>
        <v>70</v>
      </c>
      <c r="K11" s="195"/>
      <c r="L11" s="83">
        <f t="shared" si="3"/>
        <v>2</v>
      </c>
      <c r="M11" s="73">
        <v>2</v>
      </c>
      <c r="N11" s="858">
        <v>20</v>
      </c>
      <c r="O11" s="859">
        <v>44714</v>
      </c>
      <c r="P11" s="858">
        <f t="shared" ref="P11:P74" si="8">N11</f>
        <v>20</v>
      </c>
      <c r="Q11" s="422" t="s">
        <v>505</v>
      </c>
      <c r="R11" s="423">
        <v>115</v>
      </c>
      <c r="S11" s="275">
        <f t="shared" ref="S11:S74" si="9">S10-P11</f>
        <v>20</v>
      </c>
      <c r="U11" s="195"/>
      <c r="V11" s="83">
        <f t="shared" si="4"/>
        <v>10</v>
      </c>
      <c r="W11" s="73"/>
      <c r="X11" s="858"/>
      <c r="Y11" s="859"/>
      <c r="Z11" s="858">
        <f t="shared" ref="Z11:Z74" si="10">X11</f>
        <v>0</v>
      </c>
      <c r="AA11" s="422"/>
      <c r="AB11" s="423"/>
      <c r="AC11" s="275">
        <f t="shared" ref="AC11:AC74" si="11">AC10-Z11</f>
        <v>100</v>
      </c>
      <c r="AE11" s="195"/>
      <c r="AF11" s="83">
        <f t="shared" si="5"/>
        <v>17</v>
      </c>
      <c r="AG11" s="73"/>
      <c r="AH11" s="858"/>
      <c r="AI11" s="859"/>
      <c r="AJ11" s="858">
        <f t="shared" si="6"/>
        <v>0</v>
      </c>
      <c r="AK11" s="422"/>
      <c r="AL11" s="423"/>
      <c r="AM11" s="275">
        <f t="shared" si="7"/>
        <v>170</v>
      </c>
    </row>
    <row r="12" spans="1:39" x14ac:dyDescent="0.25">
      <c r="A12" s="195"/>
      <c r="B12" s="83">
        <f t="shared" si="0"/>
        <v>7</v>
      </c>
      <c r="C12" s="73"/>
      <c r="D12" s="858"/>
      <c r="E12" s="859"/>
      <c r="F12" s="858">
        <f t="shared" si="1"/>
        <v>0</v>
      </c>
      <c r="G12" s="422"/>
      <c r="H12" s="423"/>
      <c r="I12" s="275">
        <f t="shared" si="2"/>
        <v>70</v>
      </c>
      <c r="K12" s="195"/>
      <c r="L12" s="83">
        <f t="shared" si="3"/>
        <v>2</v>
      </c>
      <c r="M12" s="73"/>
      <c r="N12" s="858"/>
      <c r="O12" s="859"/>
      <c r="P12" s="858">
        <f t="shared" si="8"/>
        <v>0</v>
      </c>
      <c r="Q12" s="422"/>
      <c r="R12" s="423"/>
      <c r="S12" s="275">
        <f t="shared" si="9"/>
        <v>20</v>
      </c>
      <c r="U12" s="195"/>
      <c r="V12" s="83">
        <f t="shared" si="4"/>
        <v>10</v>
      </c>
      <c r="W12" s="73"/>
      <c r="X12" s="858"/>
      <c r="Y12" s="859"/>
      <c r="Z12" s="858">
        <f t="shared" si="10"/>
        <v>0</v>
      </c>
      <c r="AA12" s="422"/>
      <c r="AB12" s="423"/>
      <c r="AC12" s="275">
        <f t="shared" si="11"/>
        <v>100</v>
      </c>
      <c r="AE12" s="195"/>
      <c r="AF12" s="83">
        <f t="shared" si="5"/>
        <v>17</v>
      </c>
      <c r="AG12" s="73"/>
      <c r="AH12" s="858"/>
      <c r="AI12" s="859"/>
      <c r="AJ12" s="858">
        <f t="shared" si="6"/>
        <v>0</v>
      </c>
      <c r="AK12" s="422"/>
      <c r="AL12" s="423"/>
      <c r="AM12" s="275">
        <f t="shared" si="7"/>
        <v>170</v>
      </c>
    </row>
    <row r="13" spans="1:39" x14ac:dyDescent="0.25">
      <c r="A13" s="82" t="s">
        <v>33</v>
      </c>
      <c r="B13" s="83">
        <f t="shared" si="0"/>
        <v>7</v>
      </c>
      <c r="C13" s="73"/>
      <c r="D13" s="858"/>
      <c r="E13" s="859"/>
      <c r="F13" s="858">
        <f t="shared" si="1"/>
        <v>0</v>
      </c>
      <c r="G13" s="422"/>
      <c r="H13" s="423"/>
      <c r="I13" s="275">
        <f t="shared" si="2"/>
        <v>70</v>
      </c>
      <c r="K13" s="82" t="s">
        <v>33</v>
      </c>
      <c r="L13" s="83">
        <f t="shared" si="3"/>
        <v>2</v>
      </c>
      <c r="M13" s="73"/>
      <c r="N13" s="858"/>
      <c r="O13" s="859"/>
      <c r="P13" s="858">
        <f t="shared" si="8"/>
        <v>0</v>
      </c>
      <c r="Q13" s="422"/>
      <c r="R13" s="423"/>
      <c r="S13" s="275">
        <f t="shared" si="9"/>
        <v>20</v>
      </c>
      <c r="U13" s="82" t="s">
        <v>33</v>
      </c>
      <c r="V13" s="83">
        <f t="shared" si="4"/>
        <v>10</v>
      </c>
      <c r="W13" s="73"/>
      <c r="X13" s="858"/>
      <c r="Y13" s="859"/>
      <c r="Z13" s="858">
        <f t="shared" si="10"/>
        <v>0</v>
      </c>
      <c r="AA13" s="422"/>
      <c r="AB13" s="423"/>
      <c r="AC13" s="275">
        <f t="shared" si="11"/>
        <v>100</v>
      </c>
      <c r="AE13" s="82" t="s">
        <v>33</v>
      </c>
      <c r="AF13" s="83">
        <f t="shared" si="5"/>
        <v>17</v>
      </c>
      <c r="AG13" s="73"/>
      <c r="AH13" s="858"/>
      <c r="AI13" s="859"/>
      <c r="AJ13" s="858">
        <f t="shared" si="6"/>
        <v>0</v>
      </c>
      <c r="AK13" s="422"/>
      <c r="AL13" s="423"/>
      <c r="AM13" s="275">
        <f t="shared" si="7"/>
        <v>170</v>
      </c>
    </row>
    <row r="14" spans="1:39" x14ac:dyDescent="0.25">
      <c r="A14" s="73"/>
      <c r="B14" s="83">
        <f t="shared" si="0"/>
        <v>7</v>
      </c>
      <c r="C14" s="73"/>
      <c r="D14" s="858"/>
      <c r="E14" s="859"/>
      <c r="F14" s="858">
        <f t="shared" si="1"/>
        <v>0</v>
      </c>
      <c r="G14" s="422"/>
      <c r="H14" s="423"/>
      <c r="I14" s="275">
        <f t="shared" si="2"/>
        <v>70</v>
      </c>
      <c r="K14" s="73"/>
      <c r="L14" s="83">
        <f t="shared" si="3"/>
        <v>2</v>
      </c>
      <c r="M14" s="73"/>
      <c r="N14" s="858"/>
      <c r="O14" s="859"/>
      <c r="P14" s="858">
        <f t="shared" si="8"/>
        <v>0</v>
      </c>
      <c r="Q14" s="422"/>
      <c r="R14" s="423"/>
      <c r="S14" s="275">
        <f t="shared" si="9"/>
        <v>20</v>
      </c>
      <c r="U14" s="73"/>
      <c r="V14" s="83">
        <f t="shared" si="4"/>
        <v>10</v>
      </c>
      <c r="W14" s="73"/>
      <c r="X14" s="858"/>
      <c r="Y14" s="859"/>
      <c r="Z14" s="858">
        <f t="shared" si="10"/>
        <v>0</v>
      </c>
      <c r="AA14" s="422"/>
      <c r="AB14" s="423"/>
      <c r="AC14" s="275">
        <f t="shared" si="11"/>
        <v>100</v>
      </c>
      <c r="AE14" s="73"/>
      <c r="AF14" s="83">
        <f t="shared" si="5"/>
        <v>17</v>
      </c>
      <c r="AG14" s="73"/>
      <c r="AH14" s="858"/>
      <c r="AI14" s="859"/>
      <c r="AJ14" s="858">
        <f t="shared" si="6"/>
        <v>0</v>
      </c>
      <c r="AK14" s="422"/>
      <c r="AL14" s="423"/>
      <c r="AM14" s="275">
        <f t="shared" si="7"/>
        <v>170</v>
      </c>
    </row>
    <row r="15" spans="1:39" x14ac:dyDescent="0.25">
      <c r="A15" s="73"/>
      <c r="B15" s="83">
        <f t="shared" si="0"/>
        <v>7</v>
      </c>
      <c r="C15" s="73"/>
      <c r="D15" s="858"/>
      <c r="E15" s="859"/>
      <c r="F15" s="858">
        <f t="shared" si="1"/>
        <v>0</v>
      </c>
      <c r="G15" s="422"/>
      <c r="H15" s="423"/>
      <c r="I15" s="275">
        <f t="shared" si="2"/>
        <v>70</v>
      </c>
      <c r="K15" s="73" t="s">
        <v>22</v>
      </c>
      <c r="L15" s="83">
        <f t="shared" si="3"/>
        <v>2</v>
      </c>
      <c r="M15" s="73"/>
      <c r="N15" s="858"/>
      <c r="O15" s="859"/>
      <c r="P15" s="858">
        <f t="shared" si="8"/>
        <v>0</v>
      </c>
      <c r="Q15" s="422"/>
      <c r="R15" s="423"/>
      <c r="S15" s="275">
        <f t="shared" si="9"/>
        <v>20</v>
      </c>
      <c r="U15" s="73" t="s">
        <v>22</v>
      </c>
      <c r="V15" s="83">
        <f t="shared" si="4"/>
        <v>10</v>
      </c>
      <c r="W15" s="73"/>
      <c r="X15" s="858"/>
      <c r="Y15" s="859"/>
      <c r="Z15" s="858">
        <f t="shared" si="10"/>
        <v>0</v>
      </c>
      <c r="AA15" s="422"/>
      <c r="AB15" s="423"/>
      <c r="AC15" s="275">
        <f t="shared" si="11"/>
        <v>100</v>
      </c>
      <c r="AE15" s="73"/>
      <c r="AF15" s="83">
        <f t="shared" si="5"/>
        <v>17</v>
      </c>
      <c r="AG15" s="73"/>
      <c r="AH15" s="858"/>
      <c r="AI15" s="859"/>
      <c r="AJ15" s="858">
        <f t="shared" si="6"/>
        <v>0</v>
      </c>
      <c r="AK15" s="422"/>
      <c r="AL15" s="423"/>
      <c r="AM15" s="275">
        <f t="shared" si="7"/>
        <v>170</v>
      </c>
    </row>
    <row r="16" spans="1:39" x14ac:dyDescent="0.25">
      <c r="B16" s="83">
        <f t="shared" si="0"/>
        <v>7</v>
      </c>
      <c r="C16" s="73"/>
      <c r="D16" s="858"/>
      <c r="E16" s="859"/>
      <c r="F16" s="858">
        <f t="shared" si="1"/>
        <v>0</v>
      </c>
      <c r="G16" s="422"/>
      <c r="H16" s="423"/>
      <c r="I16" s="275">
        <f t="shared" si="2"/>
        <v>70</v>
      </c>
      <c r="L16" s="83">
        <f t="shared" si="3"/>
        <v>2</v>
      </c>
      <c r="M16" s="73"/>
      <c r="N16" s="858"/>
      <c r="O16" s="859"/>
      <c r="P16" s="858">
        <f t="shared" si="8"/>
        <v>0</v>
      </c>
      <c r="Q16" s="422"/>
      <c r="R16" s="423"/>
      <c r="S16" s="275">
        <f t="shared" si="9"/>
        <v>20</v>
      </c>
      <c r="V16" s="83">
        <f t="shared" si="4"/>
        <v>10</v>
      </c>
      <c r="W16" s="73"/>
      <c r="X16" s="858"/>
      <c r="Y16" s="859"/>
      <c r="Z16" s="858">
        <f t="shared" si="10"/>
        <v>0</v>
      </c>
      <c r="AA16" s="422"/>
      <c r="AB16" s="423"/>
      <c r="AC16" s="275">
        <f t="shared" si="11"/>
        <v>100</v>
      </c>
      <c r="AF16" s="83">
        <f t="shared" si="5"/>
        <v>17</v>
      </c>
      <c r="AG16" s="73"/>
      <c r="AH16" s="858"/>
      <c r="AI16" s="859"/>
      <c r="AJ16" s="858">
        <f t="shared" si="6"/>
        <v>0</v>
      </c>
      <c r="AK16" s="422"/>
      <c r="AL16" s="423"/>
      <c r="AM16" s="275">
        <f t="shared" si="7"/>
        <v>170</v>
      </c>
    </row>
    <row r="17" spans="1:39" x14ac:dyDescent="0.25">
      <c r="B17" s="83">
        <f t="shared" si="0"/>
        <v>7</v>
      </c>
      <c r="C17" s="73"/>
      <c r="D17" s="858"/>
      <c r="E17" s="859"/>
      <c r="F17" s="858">
        <f t="shared" si="1"/>
        <v>0</v>
      </c>
      <c r="G17" s="422"/>
      <c r="H17" s="423"/>
      <c r="I17" s="275">
        <f t="shared" si="2"/>
        <v>70</v>
      </c>
      <c r="L17" s="83">
        <f t="shared" si="3"/>
        <v>2</v>
      </c>
      <c r="M17" s="73"/>
      <c r="N17" s="858"/>
      <c r="O17" s="859"/>
      <c r="P17" s="858">
        <f t="shared" si="8"/>
        <v>0</v>
      </c>
      <c r="Q17" s="422"/>
      <c r="R17" s="423"/>
      <c r="S17" s="275">
        <f t="shared" si="9"/>
        <v>20</v>
      </c>
      <c r="V17" s="83">
        <f t="shared" si="4"/>
        <v>10</v>
      </c>
      <c r="W17" s="73"/>
      <c r="X17" s="858"/>
      <c r="Y17" s="859"/>
      <c r="Z17" s="858">
        <f t="shared" si="10"/>
        <v>0</v>
      </c>
      <c r="AA17" s="422"/>
      <c r="AB17" s="423"/>
      <c r="AC17" s="275">
        <f t="shared" si="11"/>
        <v>100</v>
      </c>
      <c r="AF17" s="83">
        <f t="shared" si="5"/>
        <v>17</v>
      </c>
      <c r="AG17" s="73"/>
      <c r="AH17" s="858"/>
      <c r="AI17" s="859"/>
      <c r="AJ17" s="858">
        <f t="shared" si="6"/>
        <v>0</v>
      </c>
      <c r="AK17" s="422"/>
      <c r="AL17" s="423"/>
      <c r="AM17" s="275">
        <f t="shared" si="7"/>
        <v>170</v>
      </c>
    </row>
    <row r="18" spans="1:39" x14ac:dyDescent="0.25">
      <c r="A18" s="122"/>
      <c r="B18" s="83">
        <f t="shared" si="0"/>
        <v>7</v>
      </c>
      <c r="C18" s="73"/>
      <c r="D18" s="858"/>
      <c r="E18" s="859"/>
      <c r="F18" s="858">
        <f t="shared" si="1"/>
        <v>0</v>
      </c>
      <c r="G18" s="422"/>
      <c r="H18" s="423"/>
      <c r="I18" s="275">
        <f t="shared" si="2"/>
        <v>70</v>
      </c>
      <c r="K18" s="122"/>
      <c r="L18" s="83">
        <f t="shared" si="3"/>
        <v>2</v>
      </c>
      <c r="M18" s="73"/>
      <c r="N18" s="858"/>
      <c r="O18" s="859"/>
      <c r="P18" s="858">
        <f t="shared" si="8"/>
        <v>0</v>
      </c>
      <c r="Q18" s="422"/>
      <c r="R18" s="423"/>
      <c r="S18" s="275">
        <f t="shared" si="9"/>
        <v>20</v>
      </c>
      <c r="U18" s="122"/>
      <c r="V18" s="83">
        <f t="shared" si="4"/>
        <v>10</v>
      </c>
      <c r="W18" s="73"/>
      <c r="X18" s="858"/>
      <c r="Y18" s="859"/>
      <c r="Z18" s="858">
        <f t="shared" si="10"/>
        <v>0</v>
      </c>
      <c r="AA18" s="422"/>
      <c r="AB18" s="423"/>
      <c r="AC18" s="275">
        <f t="shared" si="11"/>
        <v>100</v>
      </c>
      <c r="AE18" s="122"/>
      <c r="AF18" s="83">
        <f t="shared" si="5"/>
        <v>17</v>
      </c>
      <c r="AG18" s="73"/>
      <c r="AH18" s="858"/>
      <c r="AI18" s="859"/>
      <c r="AJ18" s="858">
        <f t="shared" si="6"/>
        <v>0</v>
      </c>
      <c r="AK18" s="422"/>
      <c r="AL18" s="423"/>
      <c r="AM18" s="275">
        <f t="shared" si="7"/>
        <v>170</v>
      </c>
    </row>
    <row r="19" spans="1:39" x14ac:dyDescent="0.25">
      <c r="A19" s="122"/>
      <c r="B19" s="83">
        <f t="shared" si="0"/>
        <v>7</v>
      </c>
      <c r="C19" s="15"/>
      <c r="D19" s="264"/>
      <c r="E19" s="293"/>
      <c r="F19" s="264">
        <f t="shared" si="1"/>
        <v>0</v>
      </c>
      <c r="G19" s="265"/>
      <c r="H19" s="266"/>
      <c r="I19" s="275">
        <f t="shared" si="2"/>
        <v>70</v>
      </c>
      <c r="K19" s="122"/>
      <c r="L19" s="83">
        <f t="shared" si="3"/>
        <v>2</v>
      </c>
      <c r="M19" s="15"/>
      <c r="N19" s="858"/>
      <c r="O19" s="859"/>
      <c r="P19" s="858">
        <f t="shared" si="8"/>
        <v>0</v>
      </c>
      <c r="Q19" s="422"/>
      <c r="R19" s="423"/>
      <c r="S19" s="275">
        <f t="shared" si="9"/>
        <v>20</v>
      </c>
      <c r="U19" s="122"/>
      <c r="V19" s="83">
        <f t="shared" si="4"/>
        <v>10</v>
      </c>
      <c r="W19" s="15"/>
      <c r="X19" s="858"/>
      <c r="Y19" s="859"/>
      <c r="Z19" s="858">
        <f t="shared" si="10"/>
        <v>0</v>
      </c>
      <c r="AA19" s="422"/>
      <c r="AB19" s="423"/>
      <c r="AC19" s="275">
        <f t="shared" si="11"/>
        <v>100</v>
      </c>
      <c r="AE19" s="122"/>
      <c r="AF19" s="83">
        <f t="shared" si="5"/>
        <v>17</v>
      </c>
      <c r="AG19" s="15"/>
      <c r="AH19" s="264"/>
      <c r="AI19" s="293"/>
      <c r="AJ19" s="264">
        <f t="shared" si="6"/>
        <v>0</v>
      </c>
      <c r="AK19" s="265"/>
      <c r="AL19" s="266"/>
      <c r="AM19" s="275">
        <f t="shared" si="7"/>
        <v>170</v>
      </c>
    </row>
    <row r="20" spans="1:39" x14ac:dyDescent="0.25">
      <c r="A20" s="122"/>
      <c r="B20" s="83">
        <f t="shared" si="0"/>
        <v>7</v>
      </c>
      <c r="C20" s="15"/>
      <c r="D20" s="264"/>
      <c r="E20" s="293"/>
      <c r="F20" s="264">
        <f t="shared" si="1"/>
        <v>0</v>
      </c>
      <c r="G20" s="265"/>
      <c r="H20" s="266"/>
      <c r="I20" s="275">
        <f t="shared" si="2"/>
        <v>70</v>
      </c>
      <c r="K20" s="122"/>
      <c r="L20" s="83">
        <f t="shared" si="3"/>
        <v>2</v>
      </c>
      <c r="M20" s="15"/>
      <c r="N20" s="858"/>
      <c r="O20" s="859"/>
      <c r="P20" s="858">
        <f t="shared" si="8"/>
        <v>0</v>
      </c>
      <c r="Q20" s="422"/>
      <c r="R20" s="423"/>
      <c r="S20" s="275">
        <f t="shared" si="9"/>
        <v>20</v>
      </c>
      <c r="U20" s="122"/>
      <c r="V20" s="83">
        <f t="shared" si="4"/>
        <v>10</v>
      </c>
      <c r="W20" s="15"/>
      <c r="X20" s="858"/>
      <c r="Y20" s="859"/>
      <c r="Z20" s="858">
        <f t="shared" si="10"/>
        <v>0</v>
      </c>
      <c r="AA20" s="422"/>
      <c r="AB20" s="423"/>
      <c r="AC20" s="275">
        <f t="shared" si="11"/>
        <v>100</v>
      </c>
      <c r="AE20" s="122"/>
      <c r="AF20" s="83">
        <f t="shared" si="5"/>
        <v>17</v>
      </c>
      <c r="AG20" s="15"/>
      <c r="AH20" s="264"/>
      <c r="AI20" s="293"/>
      <c r="AJ20" s="264">
        <f t="shared" si="6"/>
        <v>0</v>
      </c>
      <c r="AK20" s="265"/>
      <c r="AL20" s="266"/>
      <c r="AM20" s="275">
        <f t="shared" si="7"/>
        <v>170</v>
      </c>
    </row>
    <row r="21" spans="1:39" x14ac:dyDescent="0.25">
      <c r="A21" s="122"/>
      <c r="B21" s="83">
        <f t="shared" si="0"/>
        <v>7</v>
      </c>
      <c r="C21" s="15"/>
      <c r="D21" s="264"/>
      <c r="E21" s="293"/>
      <c r="F21" s="264">
        <f t="shared" si="1"/>
        <v>0</v>
      </c>
      <c r="G21" s="265"/>
      <c r="H21" s="266"/>
      <c r="I21" s="275">
        <f t="shared" si="2"/>
        <v>70</v>
      </c>
      <c r="K21" s="122"/>
      <c r="L21" s="83">
        <f t="shared" si="3"/>
        <v>2</v>
      </c>
      <c r="M21" s="15"/>
      <c r="N21" s="858"/>
      <c r="O21" s="859"/>
      <c r="P21" s="858">
        <f t="shared" si="8"/>
        <v>0</v>
      </c>
      <c r="Q21" s="422"/>
      <c r="R21" s="423"/>
      <c r="S21" s="275">
        <f t="shared" si="9"/>
        <v>20</v>
      </c>
      <c r="U21" s="122"/>
      <c r="V21" s="83">
        <f t="shared" si="4"/>
        <v>10</v>
      </c>
      <c r="W21" s="15"/>
      <c r="X21" s="858"/>
      <c r="Y21" s="859"/>
      <c r="Z21" s="858">
        <f t="shared" si="10"/>
        <v>0</v>
      </c>
      <c r="AA21" s="422"/>
      <c r="AB21" s="423"/>
      <c r="AC21" s="275">
        <f t="shared" si="11"/>
        <v>100</v>
      </c>
      <c r="AE21" s="122"/>
      <c r="AF21" s="83">
        <f t="shared" si="5"/>
        <v>17</v>
      </c>
      <c r="AG21" s="15"/>
      <c r="AH21" s="264"/>
      <c r="AI21" s="293"/>
      <c r="AJ21" s="264">
        <f t="shared" si="6"/>
        <v>0</v>
      </c>
      <c r="AK21" s="265"/>
      <c r="AL21" s="266"/>
      <c r="AM21" s="275">
        <f t="shared" si="7"/>
        <v>170</v>
      </c>
    </row>
    <row r="22" spans="1:39" x14ac:dyDescent="0.25">
      <c r="A22" s="122"/>
      <c r="B22" s="281">
        <f t="shared" si="0"/>
        <v>7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70</v>
      </c>
      <c r="K22" s="122"/>
      <c r="L22" s="281">
        <f t="shared" si="3"/>
        <v>2</v>
      </c>
      <c r="M22" s="15"/>
      <c r="N22" s="858"/>
      <c r="O22" s="859"/>
      <c r="P22" s="858">
        <f t="shared" si="8"/>
        <v>0</v>
      </c>
      <c r="Q22" s="422"/>
      <c r="R22" s="423"/>
      <c r="S22" s="275">
        <f t="shared" si="9"/>
        <v>20</v>
      </c>
      <c r="U22" s="122"/>
      <c r="V22" s="281">
        <f t="shared" si="4"/>
        <v>10</v>
      </c>
      <c r="W22" s="15"/>
      <c r="X22" s="858"/>
      <c r="Y22" s="859"/>
      <c r="Z22" s="858">
        <f t="shared" si="10"/>
        <v>0</v>
      </c>
      <c r="AA22" s="422"/>
      <c r="AB22" s="423"/>
      <c r="AC22" s="275">
        <f t="shared" si="11"/>
        <v>100</v>
      </c>
      <c r="AE22" s="122"/>
      <c r="AF22" s="281">
        <f t="shared" si="5"/>
        <v>17</v>
      </c>
      <c r="AG22" s="15"/>
      <c r="AH22" s="264"/>
      <c r="AI22" s="293"/>
      <c r="AJ22" s="264">
        <f t="shared" si="6"/>
        <v>0</v>
      </c>
      <c r="AK22" s="265"/>
      <c r="AL22" s="266"/>
      <c r="AM22" s="275">
        <f t="shared" si="7"/>
        <v>170</v>
      </c>
    </row>
    <row r="23" spans="1:39" x14ac:dyDescent="0.25">
      <c r="A23" s="123"/>
      <c r="B23" s="281">
        <f t="shared" si="0"/>
        <v>7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70</v>
      </c>
      <c r="K23" s="123"/>
      <c r="L23" s="281">
        <f t="shared" si="3"/>
        <v>2</v>
      </c>
      <c r="M23" s="15"/>
      <c r="N23" s="858"/>
      <c r="O23" s="859"/>
      <c r="P23" s="858">
        <f t="shared" si="8"/>
        <v>0</v>
      </c>
      <c r="Q23" s="422"/>
      <c r="R23" s="423"/>
      <c r="S23" s="275">
        <f t="shared" si="9"/>
        <v>20</v>
      </c>
      <c r="U23" s="123"/>
      <c r="V23" s="281">
        <f t="shared" si="4"/>
        <v>10</v>
      </c>
      <c r="W23" s="15"/>
      <c r="X23" s="858"/>
      <c r="Y23" s="859"/>
      <c r="Z23" s="858">
        <f t="shared" si="10"/>
        <v>0</v>
      </c>
      <c r="AA23" s="422"/>
      <c r="AB23" s="423"/>
      <c r="AC23" s="275">
        <f t="shared" si="11"/>
        <v>100</v>
      </c>
      <c r="AE23" s="123"/>
      <c r="AF23" s="281">
        <f t="shared" si="5"/>
        <v>17</v>
      </c>
      <c r="AG23" s="15"/>
      <c r="AH23" s="264"/>
      <c r="AI23" s="293"/>
      <c r="AJ23" s="264">
        <f t="shared" si="6"/>
        <v>0</v>
      </c>
      <c r="AK23" s="265"/>
      <c r="AL23" s="266"/>
      <c r="AM23" s="275">
        <f t="shared" si="7"/>
        <v>170</v>
      </c>
    </row>
    <row r="24" spans="1:39" x14ac:dyDescent="0.25">
      <c r="A24" s="122"/>
      <c r="B24" s="281">
        <f t="shared" si="0"/>
        <v>7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70</v>
      </c>
      <c r="K24" s="122"/>
      <c r="L24" s="281">
        <f t="shared" si="3"/>
        <v>2</v>
      </c>
      <c r="M24" s="15"/>
      <c r="N24" s="264"/>
      <c r="O24" s="293"/>
      <c r="P24" s="264">
        <f t="shared" si="8"/>
        <v>0</v>
      </c>
      <c r="Q24" s="265"/>
      <c r="R24" s="266"/>
      <c r="S24" s="275">
        <f t="shared" si="9"/>
        <v>20</v>
      </c>
      <c r="U24" s="122"/>
      <c r="V24" s="281">
        <f t="shared" si="4"/>
        <v>10</v>
      </c>
      <c r="W24" s="15"/>
      <c r="X24" s="264"/>
      <c r="Y24" s="293"/>
      <c r="Z24" s="264">
        <f t="shared" si="10"/>
        <v>0</v>
      </c>
      <c r="AA24" s="265"/>
      <c r="AB24" s="266"/>
      <c r="AC24" s="275">
        <f t="shared" si="11"/>
        <v>100</v>
      </c>
      <c r="AE24" s="122"/>
      <c r="AF24" s="281">
        <f t="shared" si="5"/>
        <v>17</v>
      </c>
      <c r="AG24" s="15"/>
      <c r="AH24" s="264"/>
      <c r="AI24" s="293"/>
      <c r="AJ24" s="264">
        <f t="shared" si="6"/>
        <v>0</v>
      </c>
      <c r="AK24" s="265"/>
      <c r="AL24" s="266"/>
      <c r="AM24" s="275">
        <f t="shared" si="7"/>
        <v>170</v>
      </c>
    </row>
    <row r="25" spans="1:39" x14ac:dyDescent="0.25">
      <c r="A25" s="122"/>
      <c r="B25" s="281">
        <f t="shared" si="0"/>
        <v>7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70</v>
      </c>
      <c r="K25" s="122"/>
      <c r="L25" s="281">
        <f t="shared" si="3"/>
        <v>2</v>
      </c>
      <c r="M25" s="15"/>
      <c r="N25" s="264"/>
      <c r="O25" s="293"/>
      <c r="P25" s="264">
        <f t="shared" si="8"/>
        <v>0</v>
      </c>
      <c r="Q25" s="265"/>
      <c r="R25" s="266"/>
      <c r="S25" s="275">
        <f t="shared" si="9"/>
        <v>20</v>
      </c>
      <c r="U25" s="122"/>
      <c r="V25" s="281">
        <f t="shared" si="4"/>
        <v>10</v>
      </c>
      <c r="W25" s="15"/>
      <c r="X25" s="264"/>
      <c r="Y25" s="293"/>
      <c r="Z25" s="264">
        <f t="shared" si="10"/>
        <v>0</v>
      </c>
      <c r="AA25" s="265"/>
      <c r="AB25" s="266"/>
      <c r="AC25" s="275">
        <f t="shared" si="11"/>
        <v>100</v>
      </c>
      <c r="AE25" s="122"/>
      <c r="AF25" s="281">
        <f t="shared" si="5"/>
        <v>17</v>
      </c>
      <c r="AG25" s="15"/>
      <c r="AH25" s="264"/>
      <c r="AI25" s="293"/>
      <c r="AJ25" s="264">
        <f t="shared" si="6"/>
        <v>0</v>
      </c>
      <c r="AK25" s="265" t="s">
        <v>22</v>
      </c>
      <c r="AL25" s="266"/>
      <c r="AM25" s="275">
        <f t="shared" si="7"/>
        <v>170</v>
      </c>
    </row>
    <row r="26" spans="1:39" x14ac:dyDescent="0.25">
      <c r="A26" s="122"/>
      <c r="B26" s="195">
        <f t="shared" si="0"/>
        <v>7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70</v>
      </c>
      <c r="K26" s="122"/>
      <c r="L26" s="195">
        <f t="shared" si="3"/>
        <v>2</v>
      </c>
      <c r="M26" s="15"/>
      <c r="N26" s="264"/>
      <c r="O26" s="293"/>
      <c r="P26" s="264">
        <f t="shared" si="8"/>
        <v>0</v>
      </c>
      <c r="Q26" s="265"/>
      <c r="R26" s="266"/>
      <c r="S26" s="275">
        <f t="shared" si="9"/>
        <v>20</v>
      </c>
      <c r="U26" s="122"/>
      <c r="V26" s="195">
        <f t="shared" si="4"/>
        <v>10</v>
      </c>
      <c r="W26" s="15"/>
      <c r="X26" s="264"/>
      <c r="Y26" s="293"/>
      <c r="Z26" s="264">
        <f t="shared" si="10"/>
        <v>0</v>
      </c>
      <c r="AA26" s="265"/>
      <c r="AB26" s="266"/>
      <c r="AC26" s="275">
        <f t="shared" si="11"/>
        <v>100</v>
      </c>
      <c r="AE26" s="122"/>
      <c r="AF26" s="195">
        <f t="shared" si="5"/>
        <v>17</v>
      </c>
      <c r="AG26" s="15"/>
      <c r="AH26" s="264"/>
      <c r="AI26" s="293"/>
      <c r="AJ26" s="264">
        <f t="shared" si="6"/>
        <v>0</v>
      </c>
      <c r="AK26" s="265"/>
      <c r="AL26" s="266"/>
      <c r="AM26" s="275">
        <f t="shared" si="7"/>
        <v>170</v>
      </c>
    </row>
    <row r="27" spans="1:39" x14ac:dyDescent="0.25">
      <c r="A27" s="122"/>
      <c r="B27" s="281">
        <f t="shared" si="0"/>
        <v>7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70</v>
      </c>
      <c r="K27" s="122"/>
      <c r="L27" s="281">
        <f t="shared" si="3"/>
        <v>2</v>
      </c>
      <c r="M27" s="15"/>
      <c r="N27" s="264"/>
      <c r="O27" s="293"/>
      <c r="P27" s="264">
        <f t="shared" si="8"/>
        <v>0</v>
      </c>
      <c r="Q27" s="265"/>
      <c r="R27" s="266"/>
      <c r="S27" s="275">
        <f t="shared" si="9"/>
        <v>20</v>
      </c>
      <c r="U27" s="122"/>
      <c r="V27" s="281">
        <f t="shared" si="4"/>
        <v>10</v>
      </c>
      <c r="W27" s="15"/>
      <c r="X27" s="264"/>
      <c r="Y27" s="293"/>
      <c r="Z27" s="264">
        <f t="shared" si="10"/>
        <v>0</v>
      </c>
      <c r="AA27" s="265"/>
      <c r="AB27" s="266"/>
      <c r="AC27" s="275">
        <f t="shared" si="11"/>
        <v>100</v>
      </c>
      <c r="AE27" s="122"/>
      <c r="AF27" s="281">
        <f t="shared" si="5"/>
        <v>17</v>
      </c>
      <c r="AG27" s="15"/>
      <c r="AH27" s="264"/>
      <c r="AI27" s="293"/>
      <c r="AJ27" s="264">
        <f t="shared" si="6"/>
        <v>0</v>
      </c>
      <c r="AK27" s="265"/>
      <c r="AL27" s="266"/>
      <c r="AM27" s="275">
        <f t="shared" si="7"/>
        <v>170</v>
      </c>
    </row>
    <row r="28" spans="1:39" x14ac:dyDescent="0.25">
      <c r="A28" s="122"/>
      <c r="B28" s="195">
        <f t="shared" si="0"/>
        <v>7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70</v>
      </c>
      <c r="K28" s="122"/>
      <c r="L28" s="195">
        <f t="shared" si="3"/>
        <v>2</v>
      </c>
      <c r="M28" s="15"/>
      <c r="N28" s="264"/>
      <c r="O28" s="293"/>
      <c r="P28" s="264">
        <f t="shared" si="8"/>
        <v>0</v>
      </c>
      <c r="Q28" s="265"/>
      <c r="R28" s="266"/>
      <c r="S28" s="275">
        <f t="shared" si="9"/>
        <v>20</v>
      </c>
      <c r="U28" s="122"/>
      <c r="V28" s="195">
        <f t="shared" si="4"/>
        <v>10</v>
      </c>
      <c r="W28" s="15"/>
      <c r="X28" s="264"/>
      <c r="Y28" s="293"/>
      <c r="Z28" s="264">
        <f t="shared" si="10"/>
        <v>0</v>
      </c>
      <c r="AA28" s="265"/>
      <c r="AB28" s="266"/>
      <c r="AC28" s="275">
        <f t="shared" si="11"/>
        <v>100</v>
      </c>
      <c r="AE28" s="122"/>
      <c r="AF28" s="195">
        <f t="shared" si="5"/>
        <v>17</v>
      </c>
      <c r="AG28" s="15"/>
      <c r="AH28" s="264"/>
      <c r="AI28" s="293"/>
      <c r="AJ28" s="264">
        <f t="shared" si="6"/>
        <v>0</v>
      </c>
      <c r="AK28" s="265"/>
      <c r="AL28" s="266"/>
      <c r="AM28" s="275">
        <f t="shared" si="7"/>
        <v>170</v>
      </c>
    </row>
    <row r="29" spans="1:39" x14ac:dyDescent="0.25">
      <c r="A29" s="122"/>
      <c r="B29" s="281">
        <f t="shared" si="0"/>
        <v>7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70</v>
      </c>
      <c r="K29" s="122"/>
      <c r="L29" s="281">
        <f t="shared" si="3"/>
        <v>2</v>
      </c>
      <c r="M29" s="15"/>
      <c r="N29" s="264"/>
      <c r="O29" s="293"/>
      <c r="P29" s="264">
        <f t="shared" si="8"/>
        <v>0</v>
      </c>
      <c r="Q29" s="265"/>
      <c r="R29" s="266"/>
      <c r="S29" s="275">
        <f t="shared" si="9"/>
        <v>20</v>
      </c>
      <c r="U29" s="122"/>
      <c r="V29" s="281">
        <f t="shared" si="4"/>
        <v>10</v>
      </c>
      <c r="W29" s="15"/>
      <c r="X29" s="264"/>
      <c r="Y29" s="293"/>
      <c r="Z29" s="264">
        <f t="shared" si="10"/>
        <v>0</v>
      </c>
      <c r="AA29" s="265"/>
      <c r="AB29" s="266"/>
      <c r="AC29" s="275">
        <f t="shared" si="11"/>
        <v>100</v>
      </c>
      <c r="AE29" s="122"/>
      <c r="AF29" s="281">
        <f t="shared" si="5"/>
        <v>17</v>
      </c>
      <c r="AG29" s="15"/>
      <c r="AH29" s="264"/>
      <c r="AI29" s="293"/>
      <c r="AJ29" s="264">
        <f t="shared" si="6"/>
        <v>0</v>
      </c>
      <c r="AK29" s="265"/>
      <c r="AL29" s="266"/>
      <c r="AM29" s="275">
        <f t="shared" si="7"/>
        <v>170</v>
      </c>
    </row>
    <row r="30" spans="1:39" x14ac:dyDescent="0.25">
      <c r="A30" s="122"/>
      <c r="B30" s="281">
        <f t="shared" si="0"/>
        <v>7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70</v>
      </c>
      <c r="K30" s="122"/>
      <c r="L30" s="281">
        <f t="shared" si="3"/>
        <v>2</v>
      </c>
      <c r="M30" s="15"/>
      <c r="N30" s="264"/>
      <c r="O30" s="293"/>
      <c r="P30" s="264">
        <f t="shared" si="8"/>
        <v>0</v>
      </c>
      <c r="Q30" s="265"/>
      <c r="R30" s="266"/>
      <c r="S30" s="275">
        <f t="shared" si="9"/>
        <v>20</v>
      </c>
      <c r="U30" s="122"/>
      <c r="V30" s="281">
        <f t="shared" si="4"/>
        <v>10</v>
      </c>
      <c r="W30" s="15"/>
      <c r="X30" s="264"/>
      <c r="Y30" s="293"/>
      <c r="Z30" s="264">
        <f t="shared" si="10"/>
        <v>0</v>
      </c>
      <c r="AA30" s="265"/>
      <c r="AB30" s="266"/>
      <c r="AC30" s="275">
        <f t="shared" si="11"/>
        <v>100</v>
      </c>
      <c r="AE30" s="122"/>
      <c r="AF30" s="281">
        <f t="shared" si="5"/>
        <v>17</v>
      </c>
      <c r="AG30" s="15"/>
      <c r="AH30" s="264"/>
      <c r="AI30" s="293"/>
      <c r="AJ30" s="264">
        <f t="shared" si="6"/>
        <v>0</v>
      </c>
      <c r="AK30" s="265"/>
      <c r="AL30" s="266"/>
      <c r="AM30" s="275">
        <f t="shared" si="7"/>
        <v>170</v>
      </c>
    </row>
    <row r="31" spans="1:39" x14ac:dyDescent="0.25">
      <c r="A31" s="122"/>
      <c r="B31" s="281">
        <f t="shared" si="0"/>
        <v>7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70</v>
      </c>
      <c r="K31" s="122"/>
      <c r="L31" s="281">
        <f t="shared" si="3"/>
        <v>2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20</v>
      </c>
      <c r="U31" s="122"/>
      <c r="V31" s="281">
        <f t="shared" si="4"/>
        <v>10</v>
      </c>
      <c r="W31" s="15"/>
      <c r="X31" s="264"/>
      <c r="Y31" s="293"/>
      <c r="Z31" s="264">
        <f t="shared" si="10"/>
        <v>0</v>
      </c>
      <c r="AA31" s="265"/>
      <c r="AB31" s="266"/>
      <c r="AC31" s="275">
        <f t="shared" si="11"/>
        <v>100</v>
      </c>
      <c r="AE31" s="122"/>
      <c r="AF31" s="281">
        <f t="shared" si="5"/>
        <v>17</v>
      </c>
      <c r="AG31" s="15"/>
      <c r="AH31" s="264"/>
      <c r="AI31" s="293"/>
      <c r="AJ31" s="264">
        <f t="shared" si="6"/>
        <v>0</v>
      </c>
      <c r="AK31" s="265"/>
      <c r="AL31" s="266"/>
      <c r="AM31" s="275">
        <f t="shared" si="7"/>
        <v>170</v>
      </c>
    </row>
    <row r="32" spans="1:39" x14ac:dyDescent="0.25">
      <c r="A32" s="122"/>
      <c r="B32" s="281">
        <f t="shared" si="0"/>
        <v>7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70</v>
      </c>
      <c r="K32" s="122"/>
      <c r="L32" s="281">
        <f t="shared" si="3"/>
        <v>2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20</v>
      </c>
      <c r="U32" s="122"/>
      <c r="V32" s="281">
        <f t="shared" si="4"/>
        <v>10</v>
      </c>
      <c r="W32" s="15"/>
      <c r="X32" s="264"/>
      <c r="Y32" s="293"/>
      <c r="Z32" s="264">
        <f t="shared" si="10"/>
        <v>0</v>
      </c>
      <c r="AA32" s="265"/>
      <c r="AB32" s="266"/>
      <c r="AC32" s="275">
        <f t="shared" si="11"/>
        <v>100</v>
      </c>
      <c r="AE32" s="122"/>
      <c r="AF32" s="281">
        <f t="shared" si="5"/>
        <v>17</v>
      </c>
      <c r="AG32" s="15"/>
      <c r="AH32" s="264"/>
      <c r="AI32" s="293"/>
      <c r="AJ32" s="264">
        <f t="shared" si="6"/>
        <v>0</v>
      </c>
      <c r="AK32" s="265"/>
      <c r="AL32" s="266"/>
      <c r="AM32" s="275">
        <f t="shared" si="7"/>
        <v>170</v>
      </c>
    </row>
    <row r="33" spans="1:39" x14ac:dyDescent="0.25">
      <c r="A33" s="122"/>
      <c r="B33" s="281">
        <f t="shared" si="0"/>
        <v>7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70</v>
      </c>
      <c r="K33" s="122"/>
      <c r="L33" s="281">
        <f t="shared" si="3"/>
        <v>2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20</v>
      </c>
      <c r="U33" s="122"/>
      <c r="V33" s="281">
        <f t="shared" si="4"/>
        <v>10</v>
      </c>
      <c r="W33" s="15"/>
      <c r="X33" s="264"/>
      <c r="Y33" s="293"/>
      <c r="Z33" s="264">
        <f t="shared" si="10"/>
        <v>0</v>
      </c>
      <c r="AA33" s="265"/>
      <c r="AB33" s="266"/>
      <c r="AC33" s="275">
        <f t="shared" si="11"/>
        <v>100</v>
      </c>
      <c r="AE33" s="122"/>
      <c r="AF33" s="281">
        <f t="shared" si="5"/>
        <v>17</v>
      </c>
      <c r="AG33" s="15"/>
      <c r="AH33" s="264"/>
      <c r="AI33" s="293"/>
      <c r="AJ33" s="264">
        <f t="shared" si="6"/>
        <v>0</v>
      </c>
      <c r="AK33" s="265"/>
      <c r="AL33" s="266"/>
      <c r="AM33" s="275">
        <f t="shared" si="7"/>
        <v>170</v>
      </c>
    </row>
    <row r="34" spans="1:39" x14ac:dyDescent="0.25">
      <c r="A34" s="122"/>
      <c r="B34" s="281">
        <f t="shared" si="0"/>
        <v>7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70</v>
      </c>
      <c r="K34" s="122"/>
      <c r="L34" s="281">
        <f t="shared" si="3"/>
        <v>2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20</v>
      </c>
      <c r="U34" s="122"/>
      <c r="V34" s="281">
        <f t="shared" si="4"/>
        <v>10</v>
      </c>
      <c r="W34" s="15"/>
      <c r="X34" s="264"/>
      <c r="Y34" s="293"/>
      <c r="Z34" s="264">
        <f t="shared" si="10"/>
        <v>0</v>
      </c>
      <c r="AA34" s="265"/>
      <c r="AB34" s="266"/>
      <c r="AC34" s="275">
        <f t="shared" si="11"/>
        <v>100</v>
      </c>
      <c r="AE34" s="122"/>
      <c r="AF34" s="281">
        <f t="shared" si="5"/>
        <v>17</v>
      </c>
      <c r="AG34" s="15"/>
      <c r="AH34" s="264"/>
      <c r="AI34" s="293"/>
      <c r="AJ34" s="264">
        <f t="shared" si="6"/>
        <v>0</v>
      </c>
      <c r="AK34" s="265"/>
      <c r="AL34" s="266"/>
      <c r="AM34" s="275">
        <f t="shared" si="7"/>
        <v>170</v>
      </c>
    </row>
    <row r="35" spans="1:39" x14ac:dyDescent="0.25">
      <c r="A35" s="122"/>
      <c r="B35" s="281">
        <f t="shared" si="0"/>
        <v>7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70</v>
      </c>
      <c r="K35" s="122"/>
      <c r="L35" s="281">
        <f t="shared" si="3"/>
        <v>2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20</v>
      </c>
      <c r="U35" s="122"/>
      <c r="V35" s="281">
        <f t="shared" si="4"/>
        <v>10</v>
      </c>
      <c r="W35" s="15"/>
      <c r="X35" s="264"/>
      <c r="Y35" s="293"/>
      <c r="Z35" s="264">
        <f t="shared" si="10"/>
        <v>0</v>
      </c>
      <c r="AA35" s="265"/>
      <c r="AB35" s="266"/>
      <c r="AC35" s="275">
        <f t="shared" si="11"/>
        <v>100</v>
      </c>
      <c r="AE35" s="122"/>
      <c r="AF35" s="281">
        <f t="shared" si="5"/>
        <v>17</v>
      </c>
      <c r="AG35" s="15"/>
      <c r="AH35" s="264"/>
      <c r="AI35" s="293"/>
      <c r="AJ35" s="264">
        <f t="shared" si="6"/>
        <v>0</v>
      </c>
      <c r="AK35" s="265"/>
      <c r="AL35" s="266"/>
      <c r="AM35" s="275">
        <f t="shared" si="7"/>
        <v>170</v>
      </c>
    </row>
    <row r="36" spans="1:39" x14ac:dyDescent="0.25">
      <c r="A36" s="122" t="s">
        <v>22</v>
      </c>
      <c r="B36" s="281">
        <f t="shared" si="0"/>
        <v>7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70</v>
      </c>
      <c r="K36" s="122" t="s">
        <v>22</v>
      </c>
      <c r="L36" s="281">
        <f t="shared" si="3"/>
        <v>2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20</v>
      </c>
      <c r="U36" s="122" t="s">
        <v>22</v>
      </c>
      <c r="V36" s="281">
        <f t="shared" si="4"/>
        <v>10</v>
      </c>
      <c r="W36" s="15"/>
      <c r="X36" s="264"/>
      <c r="Y36" s="293"/>
      <c r="Z36" s="264">
        <f t="shared" si="10"/>
        <v>0</v>
      </c>
      <c r="AA36" s="265"/>
      <c r="AB36" s="266"/>
      <c r="AC36" s="275">
        <f t="shared" si="11"/>
        <v>100</v>
      </c>
      <c r="AE36" s="122" t="s">
        <v>22</v>
      </c>
      <c r="AF36" s="281">
        <f t="shared" si="5"/>
        <v>17</v>
      </c>
      <c r="AG36" s="15"/>
      <c r="AH36" s="264"/>
      <c r="AI36" s="293"/>
      <c r="AJ36" s="264">
        <f t="shared" si="6"/>
        <v>0</v>
      </c>
      <c r="AK36" s="265"/>
      <c r="AL36" s="266"/>
      <c r="AM36" s="275">
        <f t="shared" si="7"/>
        <v>170</v>
      </c>
    </row>
    <row r="37" spans="1:39" x14ac:dyDescent="0.25">
      <c r="A37" s="123"/>
      <c r="B37" s="281">
        <f t="shared" si="0"/>
        <v>7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70</v>
      </c>
      <c r="K37" s="123"/>
      <c r="L37" s="281">
        <f t="shared" si="3"/>
        <v>2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20</v>
      </c>
      <c r="U37" s="123"/>
      <c r="V37" s="281">
        <f t="shared" si="4"/>
        <v>10</v>
      </c>
      <c r="W37" s="15"/>
      <c r="X37" s="264"/>
      <c r="Y37" s="293"/>
      <c r="Z37" s="264">
        <f t="shared" si="10"/>
        <v>0</v>
      </c>
      <c r="AA37" s="265"/>
      <c r="AB37" s="266"/>
      <c r="AC37" s="275">
        <f t="shared" si="11"/>
        <v>100</v>
      </c>
      <c r="AE37" s="123"/>
      <c r="AF37" s="281">
        <f t="shared" si="5"/>
        <v>17</v>
      </c>
      <c r="AG37" s="15"/>
      <c r="AH37" s="264"/>
      <c r="AI37" s="293"/>
      <c r="AJ37" s="264">
        <f t="shared" si="6"/>
        <v>0</v>
      </c>
      <c r="AK37" s="265"/>
      <c r="AL37" s="266"/>
      <c r="AM37" s="275">
        <f t="shared" si="7"/>
        <v>170</v>
      </c>
    </row>
    <row r="38" spans="1:39" x14ac:dyDescent="0.25">
      <c r="A38" s="122"/>
      <c r="B38" s="281">
        <f t="shared" si="0"/>
        <v>7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70</v>
      </c>
      <c r="K38" s="122"/>
      <c r="L38" s="281">
        <f t="shared" si="3"/>
        <v>2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20</v>
      </c>
      <c r="U38" s="122"/>
      <c r="V38" s="281">
        <f t="shared" si="4"/>
        <v>10</v>
      </c>
      <c r="W38" s="15"/>
      <c r="X38" s="264"/>
      <c r="Y38" s="293"/>
      <c r="Z38" s="264">
        <f t="shared" si="10"/>
        <v>0</v>
      </c>
      <c r="AA38" s="265"/>
      <c r="AB38" s="266"/>
      <c r="AC38" s="275">
        <f t="shared" si="11"/>
        <v>100</v>
      </c>
      <c r="AE38" s="122"/>
      <c r="AF38" s="281">
        <f t="shared" si="5"/>
        <v>17</v>
      </c>
      <c r="AG38" s="15"/>
      <c r="AH38" s="264"/>
      <c r="AI38" s="293"/>
      <c r="AJ38" s="264">
        <f t="shared" si="6"/>
        <v>0</v>
      </c>
      <c r="AK38" s="265"/>
      <c r="AL38" s="266"/>
      <c r="AM38" s="275">
        <f t="shared" si="7"/>
        <v>170</v>
      </c>
    </row>
    <row r="39" spans="1:39" x14ac:dyDescent="0.25">
      <c r="A39" s="122"/>
      <c r="B39" s="83">
        <f t="shared" si="0"/>
        <v>7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70</v>
      </c>
      <c r="K39" s="122"/>
      <c r="L39" s="83">
        <f t="shared" si="3"/>
        <v>2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20</v>
      </c>
      <c r="U39" s="122"/>
      <c r="V39" s="83">
        <f t="shared" si="4"/>
        <v>10</v>
      </c>
      <c r="W39" s="15"/>
      <c r="X39" s="264"/>
      <c r="Y39" s="293"/>
      <c r="Z39" s="264">
        <f t="shared" si="10"/>
        <v>0</v>
      </c>
      <c r="AA39" s="265"/>
      <c r="AB39" s="266"/>
      <c r="AC39" s="275">
        <f t="shared" si="11"/>
        <v>100</v>
      </c>
      <c r="AE39" s="122"/>
      <c r="AF39" s="83">
        <f t="shared" si="5"/>
        <v>17</v>
      </c>
      <c r="AG39" s="15"/>
      <c r="AH39" s="264"/>
      <c r="AI39" s="293"/>
      <c r="AJ39" s="264">
        <f t="shared" si="6"/>
        <v>0</v>
      </c>
      <c r="AK39" s="265"/>
      <c r="AL39" s="266"/>
      <c r="AM39" s="275">
        <f t="shared" si="7"/>
        <v>170</v>
      </c>
    </row>
    <row r="40" spans="1:39" x14ac:dyDescent="0.25">
      <c r="A40" s="122"/>
      <c r="B40" s="83">
        <f t="shared" si="0"/>
        <v>7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70</v>
      </c>
      <c r="K40" s="122"/>
      <c r="L40" s="83">
        <f t="shared" si="3"/>
        <v>2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20</v>
      </c>
      <c r="U40" s="122"/>
      <c r="V40" s="83">
        <f t="shared" si="4"/>
        <v>10</v>
      </c>
      <c r="W40" s="15"/>
      <c r="X40" s="264"/>
      <c r="Y40" s="293"/>
      <c r="Z40" s="264">
        <f t="shared" si="10"/>
        <v>0</v>
      </c>
      <c r="AA40" s="265"/>
      <c r="AB40" s="266"/>
      <c r="AC40" s="275">
        <f t="shared" si="11"/>
        <v>100</v>
      </c>
      <c r="AE40" s="122"/>
      <c r="AF40" s="83">
        <f t="shared" si="5"/>
        <v>17</v>
      </c>
      <c r="AG40" s="15"/>
      <c r="AH40" s="264"/>
      <c r="AI40" s="293"/>
      <c r="AJ40" s="264">
        <f t="shared" si="6"/>
        <v>0</v>
      </c>
      <c r="AK40" s="265"/>
      <c r="AL40" s="266"/>
      <c r="AM40" s="275">
        <f t="shared" si="7"/>
        <v>170</v>
      </c>
    </row>
    <row r="41" spans="1:39" x14ac:dyDescent="0.25">
      <c r="A41" s="122"/>
      <c r="B41" s="83">
        <f t="shared" si="0"/>
        <v>7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70</v>
      </c>
      <c r="K41" s="122"/>
      <c r="L41" s="83">
        <f t="shared" si="3"/>
        <v>2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20</v>
      </c>
      <c r="U41" s="122"/>
      <c r="V41" s="83">
        <f t="shared" si="4"/>
        <v>10</v>
      </c>
      <c r="W41" s="15"/>
      <c r="X41" s="264"/>
      <c r="Y41" s="293"/>
      <c r="Z41" s="264">
        <f t="shared" si="10"/>
        <v>0</v>
      </c>
      <c r="AA41" s="265"/>
      <c r="AB41" s="266"/>
      <c r="AC41" s="275">
        <f t="shared" si="11"/>
        <v>100</v>
      </c>
      <c r="AE41" s="122"/>
      <c r="AF41" s="83">
        <f t="shared" si="5"/>
        <v>17</v>
      </c>
      <c r="AG41" s="15"/>
      <c r="AH41" s="264"/>
      <c r="AI41" s="293"/>
      <c r="AJ41" s="264">
        <f t="shared" si="6"/>
        <v>0</v>
      </c>
      <c r="AK41" s="265"/>
      <c r="AL41" s="266"/>
      <c r="AM41" s="275">
        <f t="shared" si="7"/>
        <v>170</v>
      </c>
    </row>
    <row r="42" spans="1:39" x14ac:dyDescent="0.25">
      <c r="A42" s="122"/>
      <c r="B42" s="83">
        <f t="shared" si="0"/>
        <v>7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70</v>
      </c>
      <c r="K42" s="122"/>
      <c r="L42" s="83">
        <f t="shared" si="3"/>
        <v>2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20</v>
      </c>
      <c r="U42" s="122"/>
      <c r="V42" s="83">
        <f t="shared" si="4"/>
        <v>10</v>
      </c>
      <c r="W42" s="15"/>
      <c r="X42" s="264"/>
      <c r="Y42" s="293"/>
      <c r="Z42" s="264">
        <f t="shared" si="10"/>
        <v>0</v>
      </c>
      <c r="AA42" s="265"/>
      <c r="AB42" s="266"/>
      <c r="AC42" s="275">
        <f t="shared" si="11"/>
        <v>100</v>
      </c>
      <c r="AE42" s="122"/>
      <c r="AF42" s="83">
        <f t="shared" si="5"/>
        <v>17</v>
      </c>
      <c r="AG42" s="15"/>
      <c r="AH42" s="264"/>
      <c r="AI42" s="293"/>
      <c r="AJ42" s="264">
        <f t="shared" si="6"/>
        <v>0</v>
      </c>
      <c r="AK42" s="265"/>
      <c r="AL42" s="266"/>
      <c r="AM42" s="275">
        <f t="shared" si="7"/>
        <v>170</v>
      </c>
    </row>
    <row r="43" spans="1:39" x14ac:dyDescent="0.25">
      <c r="A43" s="122"/>
      <c r="B43" s="83">
        <f t="shared" si="0"/>
        <v>7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70</v>
      </c>
      <c r="K43" s="122"/>
      <c r="L43" s="83">
        <f t="shared" si="3"/>
        <v>2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20</v>
      </c>
      <c r="U43" s="122"/>
      <c r="V43" s="83">
        <f t="shared" si="4"/>
        <v>10</v>
      </c>
      <c r="W43" s="15"/>
      <c r="X43" s="264"/>
      <c r="Y43" s="293"/>
      <c r="Z43" s="264">
        <f t="shared" si="10"/>
        <v>0</v>
      </c>
      <c r="AA43" s="265"/>
      <c r="AB43" s="266"/>
      <c r="AC43" s="275">
        <f t="shared" si="11"/>
        <v>100</v>
      </c>
      <c r="AE43" s="122"/>
      <c r="AF43" s="83">
        <f t="shared" si="5"/>
        <v>17</v>
      </c>
      <c r="AG43" s="15"/>
      <c r="AH43" s="264"/>
      <c r="AI43" s="293"/>
      <c r="AJ43" s="264">
        <f t="shared" si="6"/>
        <v>0</v>
      </c>
      <c r="AK43" s="265"/>
      <c r="AL43" s="266"/>
      <c r="AM43" s="275">
        <f t="shared" si="7"/>
        <v>170</v>
      </c>
    </row>
    <row r="44" spans="1:39" x14ac:dyDescent="0.25">
      <c r="A44" s="122"/>
      <c r="B44" s="83">
        <f t="shared" si="0"/>
        <v>7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70</v>
      </c>
      <c r="K44" s="122"/>
      <c r="L44" s="83">
        <f t="shared" si="3"/>
        <v>2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20</v>
      </c>
      <c r="U44" s="122"/>
      <c r="V44" s="83">
        <f t="shared" si="4"/>
        <v>10</v>
      </c>
      <c r="W44" s="15"/>
      <c r="X44" s="264"/>
      <c r="Y44" s="293"/>
      <c r="Z44" s="264">
        <f t="shared" si="10"/>
        <v>0</v>
      </c>
      <c r="AA44" s="265"/>
      <c r="AB44" s="266"/>
      <c r="AC44" s="275">
        <f t="shared" si="11"/>
        <v>100</v>
      </c>
      <c r="AE44" s="122"/>
      <c r="AF44" s="83">
        <f t="shared" si="5"/>
        <v>17</v>
      </c>
      <c r="AG44" s="15"/>
      <c r="AH44" s="264"/>
      <c r="AI44" s="293"/>
      <c r="AJ44" s="264">
        <f t="shared" si="6"/>
        <v>0</v>
      </c>
      <c r="AK44" s="265"/>
      <c r="AL44" s="266"/>
      <c r="AM44" s="275">
        <f t="shared" si="7"/>
        <v>170</v>
      </c>
    </row>
    <row r="45" spans="1:39" x14ac:dyDescent="0.25">
      <c r="A45" s="122"/>
      <c r="B45" s="83">
        <f t="shared" si="0"/>
        <v>7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70</v>
      </c>
      <c r="K45" s="122"/>
      <c r="L45" s="83">
        <f t="shared" si="3"/>
        <v>2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20</v>
      </c>
      <c r="U45" s="122"/>
      <c r="V45" s="83">
        <f t="shared" si="4"/>
        <v>10</v>
      </c>
      <c r="W45" s="15"/>
      <c r="X45" s="264"/>
      <c r="Y45" s="293"/>
      <c r="Z45" s="264">
        <f t="shared" si="10"/>
        <v>0</v>
      </c>
      <c r="AA45" s="265"/>
      <c r="AB45" s="266"/>
      <c r="AC45" s="275">
        <f t="shared" si="11"/>
        <v>100</v>
      </c>
      <c r="AE45" s="122"/>
      <c r="AF45" s="83">
        <f t="shared" si="5"/>
        <v>17</v>
      </c>
      <c r="AG45" s="15"/>
      <c r="AH45" s="264"/>
      <c r="AI45" s="293"/>
      <c r="AJ45" s="264">
        <f t="shared" si="6"/>
        <v>0</v>
      </c>
      <c r="AK45" s="265"/>
      <c r="AL45" s="266"/>
      <c r="AM45" s="275">
        <f t="shared" si="7"/>
        <v>170</v>
      </c>
    </row>
    <row r="46" spans="1:39" x14ac:dyDescent="0.25">
      <c r="A46" s="122"/>
      <c r="B46" s="83">
        <f t="shared" si="0"/>
        <v>7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70</v>
      </c>
      <c r="K46" s="122"/>
      <c r="L46" s="83">
        <f t="shared" si="3"/>
        <v>2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20</v>
      </c>
      <c r="U46" s="122"/>
      <c r="V46" s="83">
        <f t="shared" si="4"/>
        <v>10</v>
      </c>
      <c r="W46" s="15"/>
      <c r="X46" s="264"/>
      <c r="Y46" s="293"/>
      <c r="Z46" s="264">
        <f t="shared" si="10"/>
        <v>0</v>
      </c>
      <c r="AA46" s="265"/>
      <c r="AB46" s="266"/>
      <c r="AC46" s="275">
        <f t="shared" si="11"/>
        <v>100</v>
      </c>
      <c r="AE46" s="122"/>
      <c r="AF46" s="83">
        <f t="shared" si="5"/>
        <v>17</v>
      </c>
      <c r="AG46" s="15"/>
      <c r="AH46" s="264"/>
      <c r="AI46" s="293"/>
      <c r="AJ46" s="264">
        <f t="shared" si="6"/>
        <v>0</v>
      </c>
      <c r="AK46" s="265"/>
      <c r="AL46" s="266"/>
      <c r="AM46" s="275">
        <f t="shared" si="7"/>
        <v>170</v>
      </c>
    </row>
    <row r="47" spans="1:39" x14ac:dyDescent="0.25">
      <c r="A47" s="122"/>
      <c r="B47" s="83">
        <f t="shared" si="0"/>
        <v>7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70</v>
      </c>
      <c r="K47" s="122"/>
      <c r="L47" s="83">
        <f t="shared" si="3"/>
        <v>2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20</v>
      </c>
      <c r="U47" s="122"/>
      <c r="V47" s="83">
        <f t="shared" si="4"/>
        <v>10</v>
      </c>
      <c r="W47" s="15"/>
      <c r="X47" s="264"/>
      <c r="Y47" s="293"/>
      <c r="Z47" s="264">
        <f t="shared" si="10"/>
        <v>0</v>
      </c>
      <c r="AA47" s="265"/>
      <c r="AB47" s="266"/>
      <c r="AC47" s="275">
        <f t="shared" si="11"/>
        <v>100</v>
      </c>
      <c r="AE47" s="122"/>
      <c r="AF47" s="83">
        <f t="shared" si="5"/>
        <v>17</v>
      </c>
      <c r="AG47" s="15"/>
      <c r="AH47" s="264"/>
      <c r="AI47" s="293"/>
      <c r="AJ47" s="264">
        <f t="shared" si="6"/>
        <v>0</v>
      </c>
      <c r="AK47" s="265"/>
      <c r="AL47" s="266"/>
      <c r="AM47" s="275">
        <f t="shared" si="7"/>
        <v>170</v>
      </c>
    </row>
    <row r="48" spans="1:39" x14ac:dyDescent="0.25">
      <c r="A48" s="122"/>
      <c r="B48" s="83">
        <f t="shared" si="0"/>
        <v>7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70</v>
      </c>
      <c r="K48" s="122"/>
      <c r="L48" s="83">
        <f t="shared" si="3"/>
        <v>2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20</v>
      </c>
      <c r="U48" s="122"/>
      <c r="V48" s="83">
        <f t="shared" si="4"/>
        <v>10</v>
      </c>
      <c r="W48" s="15"/>
      <c r="X48" s="264"/>
      <c r="Y48" s="293"/>
      <c r="Z48" s="264">
        <f t="shared" si="10"/>
        <v>0</v>
      </c>
      <c r="AA48" s="265"/>
      <c r="AB48" s="266"/>
      <c r="AC48" s="275">
        <f t="shared" si="11"/>
        <v>100</v>
      </c>
      <c r="AE48" s="122"/>
      <c r="AF48" s="83">
        <f t="shared" si="5"/>
        <v>17</v>
      </c>
      <c r="AG48" s="15"/>
      <c r="AH48" s="264"/>
      <c r="AI48" s="293"/>
      <c r="AJ48" s="264">
        <f t="shared" si="6"/>
        <v>0</v>
      </c>
      <c r="AK48" s="265"/>
      <c r="AL48" s="266"/>
      <c r="AM48" s="275">
        <f t="shared" si="7"/>
        <v>170</v>
      </c>
    </row>
    <row r="49" spans="1:39" x14ac:dyDescent="0.25">
      <c r="A49" s="122"/>
      <c r="B49" s="83">
        <f t="shared" si="0"/>
        <v>7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70</v>
      </c>
      <c r="K49" s="122"/>
      <c r="L49" s="83">
        <f t="shared" si="3"/>
        <v>2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20</v>
      </c>
      <c r="U49" s="122"/>
      <c r="V49" s="83">
        <f t="shared" si="4"/>
        <v>10</v>
      </c>
      <c r="W49" s="15"/>
      <c r="X49" s="264"/>
      <c r="Y49" s="293"/>
      <c r="Z49" s="264">
        <f t="shared" si="10"/>
        <v>0</v>
      </c>
      <c r="AA49" s="265"/>
      <c r="AB49" s="266"/>
      <c r="AC49" s="275">
        <f t="shared" si="11"/>
        <v>100</v>
      </c>
      <c r="AE49" s="122"/>
      <c r="AF49" s="83">
        <f t="shared" si="5"/>
        <v>17</v>
      </c>
      <c r="AG49" s="15"/>
      <c r="AH49" s="264"/>
      <c r="AI49" s="293"/>
      <c r="AJ49" s="264">
        <f t="shared" si="6"/>
        <v>0</v>
      </c>
      <c r="AK49" s="265"/>
      <c r="AL49" s="266"/>
      <c r="AM49" s="275">
        <f t="shared" si="7"/>
        <v>170</v>
      </c>
    </row>
    <row r="50" spans="1:39" x14ac:dyDescent="0.25">
      <c r="A50" s="122"/>
      <c r="B50" s="83">
        <f t="shared" si="0"/>
        <v>7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70</v>
      </c>
      <c r="K50" s="122"/>
      <c r="L50" s="83">
        <f t="shared" si="3"/>
        <v>2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20</v>
      </c>
      <c r="U50" s="122"/>
      <c r="V50" s="83">
        <f t="shared" si="4"/>
        <v>10</v>
      </c>
      <c r="W50" s="15"/>
      <c r="X50" s="264"/>
      <c r="Y50" s="293"/>
      <c r="Z50" s="264">
        <f t="shared" si="10"/>
        <v>0</v>
      </c>
      <c r="AA50" s="265"/>
      <c r="AB50" s="266"/>
      <c r="AC50" s="275">
        <f t="shared" si="11"/>
        <v>100</v>
      </c>
      <c r="AE50" s="122"/>
      <c r="AF50" s="83">
        <f t="shared" si="5"/>
        <v>17</v>
      </c>
      <c r="AG50" s="15"/>
      <c r="AH50" s="264"/>
      <c r="AI50" s="293"/>
      <c r="AJ50" s="264">
        <f t="shared" si="6"/>
        <v>0</v>
      </c>
      <c r="AK50" s="265"/>
      <c r="AL50" s="266"/>
      <c r="AM50" s="275">
        <f t="shared" si="7"/>
        <v>170</v>
      </c>
    </row>
    <row r="51" spans="1:39" x14ac:dyDescent="0.25">
      <c r="A51" s="122"/>
      <c r="B51" s="83">
        <f t="shared" si="0"/>
        <v>7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70</v>
      </c>
      <c r="K51" s="122"/>
      <c r="L51" s="83">
        <f t="shared" si="3"/>
        <v>2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20</v>
      </c>
      <c r="U51" s="122"/>
      <c r="V51" s="83">
        <f t="shared" si="4"/>
        <v>10</v>
      </c>
      <c r="W51" s="15"/>
      <c r="X51" s="264"/>
      <c r="Y51" s="293"/>
      <c r="Z51" s="264">
        <f t="shared" si="10"/>
        <v>0</v>
      </c>
      <c r="AA51" s="265"/>
      <c r="AB51" s="266"/>
      <c r="AC51" s="275">
        <f t="shared" si="11"/>
        <v>100</v>
      </c>
      <c r="AE51" s="122"/>
      <c r="AF51" s="83">
        <f t="shared" si="5"/>
        <v>17</v>
      </c>
      <c r="AG51" s="15"/>
      <c r="AH51" s="264"/>
      <c r="AI51" s="293"/>
      <c r="AJ51" s="264">
        <f t="shared" si="6"/>
        <v>0</v>
      </c>
      <c r="AK51" s="265"/>
      <c r="AL51" s="266"/>
      <c r="AM51" s="275">
        <f t="shared" si="7"/>
        <v>170</v>
      </c>
    </row>
    <row r="52" spans="1:39" x14ac:dyDescent="0.25">
      <c r="A52" s="122"/>
      <c r="B52" s="83">
        <f t="shared" si="0"/>
        <v>7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70</v>
      </c>
      <c r="K52" s="122"/>
      <c r="L52" s="83">
        <f t="shared" si="3"/>
        <v>2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20</v>
      </c>
      <c r="U52" s="122"/>
      <c r="V52" s="83">
        <f t="shared" si="4"/>
        <v>10</v>
      </c>
      <c r="W52" s="15"/>
      <c r="X52" s="264"/>
      <c r="Y52" s="293"/>
      <c r="Z52" s="264">
        <f t="shared" si="10"/>
        <v>0</v>
      </c>
      <c r="AA52" s="265"/>
      <c r="AB52" s="266"/>
      <c r="AC52" s="275">
        <f t="shared" si="11"/>
        <v>100</v>
      </c>
      <c r="AE52" s="122"/>
      <c r="AF52" s="83">
        <f t="shared" si="5"/>
        <v>17</v>
      </c>
      <c r="AG52" s="15"/>
      <c r="AH52" s="264"/>
      <c r="AI52" s="293"/>
      <c r="AJ52" s="264">
        <f t="shared" si="6"/>
        <v>0</v>
      </c>
      <c r="AK52" s="265"/>
      <c r="AL52" s="266"/>
      <c r="AM52" s="275">
        <f t="shared" si="7"/>
        <v>170</v>
      </c>
    </row>
    <row r="53" spans="1:39" x14ac:dyDescent="0.25">
      <c r="A53" s="122"/>
      <c r="B53" s="83">
        <f t="shared" si="0"/>
        <v>7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70</v>
      </c>
      <c r="K53" s="122"/>
      <c r="L53" s="83">
        <f t="shared" si="3"/>
        <v>2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20</v>
      </c>
      <c r="U53" s="122"/>
      <c r="V53" s="83">
        <f t="shared" si="4"/>
        <v>10</v>
      </c>
      <c r="W53" s="15"/>
      <c r="X53" s="264"/>
      <c r="Y53" s="293"/>
      <c r="Z53" s="264">
        <f t="shared" si="10"/>
        <v>0</v>
      </c>
      <c r="AA53" s="265"/>
      <c r="AB53" s="266"/>
      <c r="AC53" s="275">
        <f t="shared" si="11"/>
        <v>100</v>
      </c>
      <c r="AE53" s="122"/>
      <c r="AF53" s="83">
        <f t="shared" si="5"/>
        <v>17</v>
      </c>
      <c r="AG53" s="15"/>
      <c r="AH53" s="264"/>
      <c r="AI53" s="293"/>
      <c r="AJ53" s="264">
        <f t="shared" si="6"/>
        <v>0</v>
      </c>
      <c r="AK53" s="265"/>
      <c r="AL53" s="266"/>
      <c r="AM53" s="275">
        <f t="shared" si="7"/>
        <v>170</v>
      </c>
    </row>
    <row r="54" spans="1:39" x14ac:dyDescent="0.25">
      <c r="A54" s="122"/>
      <c r="B54" s="83">
        <f t="shared" si="0"/>
        <v>7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70</v>
      </c>
      <c r="K54" s="122"/>
      <c r="L54" s="83">
        <f t="shared" si="3"/>
        <v>2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20</v>
      </c>
      <c r="U54" s="122"/>
      <c r="V54" s="83">
        <f t="shared" si="4"/>
        <v>10</v>
      </c>
      <c r="W54" s="15"/>
      <c r="X54" s="264"/>
      <c r="Y54" s="293"/>
      <c r="Z54" s="264">
        <f t="shared" si="10"/>
        <v>0</v>
      </c>
      <c r="AA54" s="265"/>
      <c r="AB54" s="266"/>
      <c r="AC54" s="275">
        <f t="shared" si="11"/>
        <v>100</v>
      </c>
      <c r="AE54" s="122"/>
      <c r="AF54" s="83">
        <f t="shared" si="5"/>
        <v>17</v>
      </c>
      <c r="AG54" s="15"/>
      <c r="AH54" s="264"/>
      <c r="AI54" s="293"/>
      <c r="AJ54" s="264">
        <f t="shared" si="6"/>
        <v>0</v>
      </c>
      <c r="AK54" s="265"/>
      <c r="AL54" s="266"/>
      <c r="AM54" s="275">
        <f t="shared" si="7"/>
        <v>170</v>
      </c>
    </row>
    <row r="55" spans="1:39" x14ac:dyDescent="0.25">
      <c r="A55" s="122"/>
      <c r="B55" s="12">
        <f t="shared" si="0"/>
        <v>7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70</v>
      </c>
      <c r="K55" s="122"/>
      <c r="L55" s="12">
        <f t="shared" si="3"/>
        <v>2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20</v>
      </c>
      <c r="U55" s="122"/>
      <c r="V55" s="12">
        <f t="shared" si="4"/>
        <v>10</v>
      </c>
      <c r="W55" s="15"/>
      <c r="X55" s="264"/>
      <c r="Y55" s="293"/>
      <c r="Z55" s="264">
        <f t="shared" si="10"/>
        <v>0</v>
      </c>
      <c r="AA55" s="265"/>
      <c r="AB55" s="266"/>
      <c r="AC55" s="275">
        <f t="shared" si="11"/>
        <v>100</v>
      </c>
      <c r="AE55" s="122"/>
      <c r="AF55" s="12">
        <f t="shared" si="5"/>
        <v>17</v>
      </c>
      <c r="AG55" s="15"/>
      <c r="AH55" s="264"/>
      <c r="AI55" s="293"/>
      <c r="AJ55" s="264">
        <f t="shared" si="6"/>
        <v>0</v>
      </c>
      <c r="AK55" s="265"/>
      <c r="AL55" s="266"/>
      <c r="AM55" s="275">
        <f t="shared" si="7"/>
        <v>170</v>
      </c>
    </row>
    <row r="56" spans="1:39" x14ac:dyDescent="0.25">
      <c r="A56" s="122"/>
      <c r="B56" s="12">
        <f t="shared" si="0"/>
        <v>7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70</v>
      </c>
      <c r="K56" s="122"/>
      <c r="L56" s="12">
        <f t="shared" si="3"/>
        <v>2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20</v>
      </c>
      <c r="U56" s="122"/>
      <c r="V56" s="12">
        <f t="shared" si="4"/>
        <v>10</v>
      </c>
      <c r="W56" s="15"/>
      <c r="X56" s="264"/>
      <c r="Y56" s="293"/>
      <c r="Z56" s="264">
        <f t="shared" si="10"/>
        <v>0</v>
      </c>
      <c r="AA56" s="265"/>
      <c r="AB56" s="266"/>
      <c r="AC56" s="275">
        <f t="shared" si="11"/>
        <v>100</v>
      </c>
      <c r="AE56" s="122"/>
      <c r="AF56" s="12">
        <f t="shared" si="5"/>
        <v>17</v>
      </c>
      <c r="AG56" s="15"/>
      <c r="AH56" s="264"/>
      <c r="AI56" s="293"/>
      <c r="AJ56" s="264">
        <f t="shared" si="6"/>
        <v>0</v>
      </c>
      <c r="AK56" s="265"/>
      <c r="AL56" s="266"/>
      <c r="AM56" s="275">
        <f t="shared" si="7"/>
        <v>170</v>
      </c>
    </row>
    <row r="57" spans="1:39" x14ac:dyDescent="0.25">
      <c r="A57" s="122"/>
      <c r="B57" s="12">
        <f t="shared" si="0"/>
        <v>7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70</v>
      </c>
      <c r="K57" s="122"/>
      <c r="L57" s="12">
        <f t="shared" si="3"/>
        <v>2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20</v>
      </c>
      <c r="U57" s="122"/>
      <c r="V57" s="12">
        <f t="shared" si="4"/>
        <v>10</v>
      </c>
      <c r="W57" s="15"/>
      <c r="X57" s="264"/>
      <c r="Y57" s="293"/>
      <c r="Z57" s="264">
        <f t="shared" si="10"/>
        <v>0</v>
      </c>
      <c r="AA57" s="265"/>
      <c r="AB57" s="266"/>
      <c r="AC57" s="275">
        <f t="shared" si="11"/>
        <v>100</v>
      </c>
      <c r="AE57" s="122"/>
      <c r="AF57" s="12">
        <f t="shared" si="5"/>
        <v>17</v>
      </c>
      <c r="AG57" s="15"/>
      <c r="AH57" s="264"/>
      <c r="AI57" s="293"/>
      <c r="AJ57" s="264">
        <f t="shared" si="6"/>
        <v>0</v>
      </c>
      <c r="AK57" s="265"/>
      <c r="AL57" s="266"/>
      <c r="AM57" s="275">
        <f t="shared" si="7"/>
        <v>170</v>
      </c>
    </row>
    <row r="58" spans="1:39" x14ac:dyDescent="0.25">
      <c r="A58" s="122"/>
      <c r="B58" s="12">
        <f t="shared" si="0"/>
        <v>7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70</v>
      </c>
      <c r="K58" s="122"/>
      <c r="L58" s="12">
        <f t="shared" si="3"/>
        <v>2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20</v>
      </c>
      <c r="U58" s="122"/>
      <c r="V58" s="12">
        <f t="shared" si="4"/>
        <v>10</v>
      </c>
      <c r="W58" s="15"/>
      <c r="X58" s="264"/>
      <c r="Y58" s="293"/>
      <c r="Z58" s="264">
        <f t="shared" si="10"/>
        <v>0</v>
      </c>
      <c r="AA58" s="265"/>
      <c r="AB58" s="266"/>
      <c r="AC58" s="275">
        <f t="shared" si="11"/>
        <v>100</v>
      </c>
      <c r="AE58" s="122"/>
      <c r="AF58" s="12">
        <f t="shared" si="5"/>
        <v>17</v>
      </c>
      <c r="AG58" s="15"/>
      <c r="AH58" s="264"/>
      <c r="AI58" s="293"/>
      <c r="AJ58" s="264">
        <f t="shared" si="6"/>
        <v>0</v>
      </c>
      <c r="AK58" s="265"/>
      <c r="AL58" s="266"/>
      <c r="AM58" s="275">
        <f t="shared" si="7"/>
        <v>170</v>
      </c>
    </row>
    <row r="59" spans="1:39" x14ac:dyDescent="0.25">
      <c r="A59" s="122"/>
      <c r="B59" s="12">
        <f t="shared" si="0"/>
        <v>7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70</v>
      </c>
      <c r="K59" s="122"/>
      <c r="L59" s="12">
        <f t="shared" si="3"/>
        <v>2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20</v>
      </c>
      <c r="U59" s="122"/>
      <c r="V59" s="12">
        <f t="shared" si="4"/>
        <v>10</v>
      </c>
      <c r="W59" s="15"/>
      <c r="X59" s="264"/>
      <c r="Y59" s="293"/>
      <c r="Z59" s="264">
        <f t="shared" si="10"/>
        <v>0</v>
      </c>
      <c r="AA59" s="265"/>
      <c r="AB59" s="266"/>
      <c r="AC59" s="275">
        <f t="shared" si="11"/>
        <v>100</v>
      </c>
      <c r="AE59" s="122"/>
      <c r="AF59" s="12">
        <f t="shared" si="5"/>
        <v>17</v>
      </c>
      <c r="AG59" s="15"/>
      <c r="AH59" s="264"/>
      <c r="AI59" s="293"/>
      <c r="AJ59" s="264">
        <f t="shared" si="6"/>
        <v>0</v>
      </c>
      <c r="AK59" s="265"/>
      <c r="AL59" s="266"/>
      <c r="AM59" s="275">
        <f t="shared" si="7"/>
        <v>170</v>
      </c>
    </row>
    <row r="60" spans="1:39" x14ac:dyDescent="0.25">
      <c r="A60" s="122"/>
      <c r="B60" s="12">
        <f t="shared" si="0"/>
        <v>7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70</v>
      </c>
      <c r="K60" s="122"/>
      <c r="L60" s="12">
        <f t="shared" si="3"/>
        <v>2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20</v>
      </c>
      <c r="U60" s="122"/>
      <c r="V60" s="12">
        <f t="shared" si="4"/>
        <v>10</v>
      </c>
      <c r="W60" s="15"/>
      <c r="X60" s="264"/>
      <c r="Y60" s="293"/>
      <c r="Z60" s="264">
        <f t="shared" si="10"/>
        <v>0</v>
      </c>
      <c r="AA60" s="265"/>
      <c r="AB60" s="266"/>
      <c r="AC60" s="275">
        <f t="shared" si="11"/>
        <v>100</v>
      </c>
      <c r="AE60" s="122"/>
      <c r="AF60" s="12">
        <f t="shared" si="5"/>
        <v>17</v>
      </c>
      <c r="AG60" s="15"/>
      <c r="AH60" s="264"/>
      <c r="AI60" s="293"/>
      <c r="AJ60" s="264">
        <f t="shared" si="6"/>
        <v>0</v>
      </c>
      <c r="AK60" s="265"/>
      <c r="AL60" s="266"/>
      <c r="AM60" s="275">
        <f t="shared" si="7"/>
        <v>170</v>
      </c>
    </row>
    <row r="61" spans="1:39" x14ac:dyDescent="0.25">
      <c r="A61" s="122"/>
      <c r="B61" s="12">
        <f t="shared" si="0"/>
        <v>7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70</v>
      </c>
      <c r="K61" s="122"/>
      <c r="L61" s="12">
        <f t="shared" si="3"/>
        <v>2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20</v>
      </c>
      <c r="U61" s="122"/>
      <c r="V61" s="12">
        <f t="shared" si="4"/>
        <v>10</v>
      </c>
      <c r="W61" s="15"/>
      <c r="X61" s="264"/>
      <c r="Y61" s="293"/>
      <c r="Z61" s="264">
        <f t="shared" si="10"/>
        <v>0</v>
      </c>
      <c r="AA61" s="265"/>
      <c r="AB61" s="266"/>
      <c r="AC61" s="275">
        <f t="shared" si="11"/>
        <v>100</v>
      </c>
      <c r="AE61" s="122"/>
      <c r="AF61" s="12">
        <f t="shared" si="5"/>
        <v>17</v>
      </c>
      <c r="AG61" s="15"/>
      <c r="AH61" s="264"/>
      <c r="AI61" s="293"/>
      <c r="AJ61" s="264">
        <f t="shared" si="6"/>
        <v>0</v>
      </c>
      <c r="AK61" s="265"/>
      <c r="AL61" s="266"/>
      <c r="AM61" s="275">
        <f t="shared" si="7"/>
        <v>170</v>
      </c>
    </row>
    <row r="62" spans="1:39" x14ac:dyDescent="0.25">
      <c r="A62" s="122"/>
      <c r="B62" s="12">
        <f t="shared" si="0"/>
        <v>7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70</v>
      </c>
      <c r="K62" s="122"/>
      <c r="L62" s="12">
        <f t="shared" si="3"/>
        <v>2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20</v>
      </c>
      <c r="U62" s="122"/>
      <c r="V62" s="12">
        <f t="shared" si="4"/>
        <v>10</v>
      </c>
      <c r="W62" s="15"/>
      <c r="X62" s="264"/>
      <c r="Y62" s="293"/>
      <c r="Z62" s="264">
        <f t="shared" si="10"/>
        <v>0</v>
      </c>
      <c r="AA62" s="265"/>
      <c r="AB62" s="266"/>
      <c r="AC62" s="275">
        <f t="shared" si="11"/>
        <v>100</v>
      </c>
      <c r="AE62" s="122"/>
      <c r="AF62" s="12">
        <f t="shared" si="5"/>
        <v>17</v>
      </c>
      <c r="AG62" s="15"/>
      <c r="AH62" s="264"/>
      <c r="AI62" s="293"/>
      <c r="AJ62" s="264">
        <f t="shared" si="6"/>
        <v>0</v>
      </c>
      <c r="AK62" s="265"/>
      <c r="AL62" s="266"/>
      <c r="AM62" s="275">
        <f t="shared" si="7"/>
        <v>170</v>
      </c>
    </row>
    <row r="63" spans="1:39" x14ac:dyDescent="0.25">
      <c r="A63" s="122"/>
      <c r="B63" s="12">
        <f t="shared" si="0"/>
        <v>7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70</v>
      </c>
      <c r="K63" s="122"/>
      <c r="L63" s="12">
        <f t="shared" si="3"/>
        <v>2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20</v>
      </c>
      <c r="U63" s="122"/>
      <c r="V63" s="12">
        <f t="shared" si="4"/>
        <v>10</v>
      </c>
      <c r="W63" s="15"/>
      <c r="X63" s="264"/>
      <c r="Y63" s="293"/>
      <c r="Z63" s="264">
        <f t="shared" si="10"/>
        <v>0</v>
      </c>
      <c r="AA63" s="265"/>
      <c r="AB63" s="266"/>
      <c r="AC63" s="275">
        <f t="shared" si="11"/>
        <v>100</v>
      </c>
      <c r="AE63" s="122"/>
      <c r="AF63" s="12">
        <f t="shared" si="5"/>
        <v>17</v>
      </c>
      <c r="AG63" s="15"/>
      <c r="AH63" s="264"/>
      <c r="AI63" s="293"/>
      <c r="AJ63" s="264">
        <f t="shared" si="6"/>
        <v>0</v>
      </c>
      <c r="AK63" s="265"/>
      <c r="AL63" s="266"/>
      <c r="AM63" s="275">
        <f t="shared" si="7"/>
        <v>170</v>
      </c>
    </row>
    <row r="64" spans="1:39" x14ac:dyDescent="0.25">
      <c r="A64" s="122"/>
      <c r="B64" s="12">
        <f t="shared" si="0"/>
        <v>7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70</v>
      </c>
      <c r="K64" s="122"/>
      <c r="L64" s="12">
        <f t="shared" si="3"/>
        <v>2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20</v>
      </c>
      <c r="U64" s="122"/>
      <c r="V64" s="12">
        <f t="shared" si="4"/>
        <v>10</v>
      </c>
      <c r="W64" s="15"/>
      <c r="X64" s="264"/>
      <c r="Y64" s="293"/>
      <c r="Z64" s="264">
        <f t="shared" si="10"/>
        <v>0</v>
      </c>
      <c r="AA64" s="265"/>
      <c r="AB64" s="266"/>
      <c r="AC64" s="275">
        <f t="shared" si="11"/>
        <v>100</v>
      </c>
      <c r="AE64" s="122"/>
      <c r="AF64" s="12">
        <f t="shared" si="5"/>
        <v>17</v>
      </c>
      <c r="AG64" s="15"/>
      <c r="AH64" s="264"/>
      <c r="AI64" s="293"/>
      <c r="AJ64" s="264">
        <f t="shared" si="6"/>
        <v>0</v>
      </c>
      <c r="AK64" s="265"/>
      <c r="AL64" s="266"/>
      <c r="AM64" s="275">
        <f t="shared" si="7"/>
        <v>170</v>
      </c>
    </row>
    <row r="65" spans="1:39" x14ac:dyDescent="0.25">
      <c r="A65" s="122"/>
      <c r="B65" s="12">
        <f t="shared" si="0"/>
        <v>7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70</v>
      </c>
      <c r="K65" s="122"/>
      <c r="L65" s="12">
        <f t="shared" si="3"/>
        <v>2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20</v>
      </c>
      <c r="U65" s="122"/>
      <c r="V65" s="12">
        <f t="shared" si="4"/>
        <v>10</v>
      </c>
      <c r="W65" s="15"/>
      <c r="X65" s="264"/>
      <c r="Y65" s="293"/>
      <c r="Z65" s="264">
        <f t="shared" si="10"/>
        <v>0</v>
      </c>
      <c r="AA65" s="265"/>
      <c r="AB65" s="266"/>
      <c r="AC65" s="275">
        <f t="shared" si="11"/>
        <v>100</v>
      </c>
      <c r="AE65" s="122"/>
      <c r="AF65" s="12">
        <f t="shared" si="5"/>
        <v>17</v>
      </c>
      <c r="AG65" s="15"/>
      <c r="AH65" s="264"/>
      <c r="AI65" s="293"/>
      <c r="AJ65" s="264">
        <f t="shared" si="6"/>
        <v>0</v>
      </c>
      <c r="AK65" s="265"/>
      <c r="AL65" s="266"/>
      <c r="AM65" s="275">
        <f t="shared" si="7"/>
        <v>170</v>
      </c>
    </row>
    <row r="66" spans="1:39" x14ac:dyDescent="0.25">
      <c r="A66" s="122"/>
      <c r="B66" s="12">
        <f t="shared" si="0"/>
        <v>7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70</v>
      </c>
      <c r="K66" s="122"/>
      <c r="L66" s="12">
        <f t="shared" si="3"/>
        <v>2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20</v>
      </c>
      <c r="U66" s="122"/>
      <c r="V66" s="12">
        <f t="shared" si="4"/>
        <v>10</v>
      </c>
      <c r="W66" s="15"/>
      <c r="X66" s="264"/>
      <c r="Y66" s="293"/>
      <c r="Z66" s="264">
        <f t="shared" si="10"/>
        <v>0</v>
      </c>
      <c r="AA66" s="265"/>
      <c r="AB66" s="266"/>
      <c r="AC66" s="275">
        <f t="shared" si="11"/>
        <v>100</v>
      </c>
      <c r="AE66" s="122"/>
      <c r="AF66" s="12">
        <f t="shared" si="5"/>
        <v>17</v>
      </c>
      <c r="AG66" s="15"/>
      <c r="AH66" s="264"/>
      <c r="AI66" s="293"/>
      <c r="AJ66" s="264">
        <f t="shared" si="6"/>
        <v>0</v>
      </c>
      <c r="AK66" s="265"/>
      <c r="AL66" s="266"/>
      <c r="AM66" s="275">
        <f t="shared" si="7"/>
        <v>170</v>
      </c>
    </row>
    <row r="67" spans="1:39" x14ac:dyDescent="0.25">
      <c r="A67" s="122"/>
      <c r="B67" s="12">
        <f t="shared" si="0"/>
        <v>7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70</v>
      </c>
      <c r="K67" s="122"/>
      <c r="L67" s="12">
        <f t="shared" si="3"/>
        <v>2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20</v>
      </c>
      <c r="U67" s="122"/>
      <c r="V67" s="12">
        <f t="shared" si="4"/>
        <v>10</v>
      </c>
      <c r="W67" s="15"/>
      <c r="X67" s="69"/>
      <c r="Y67" s="216"/>
      <c r="Z67" s="69">
        <f t="shared" si="10"/>
        <v>0</v>
      </c>
      <c r="AA67" s="70"/>
      <c r="AB67" s="71"/>
      <c r="AC67" s="105">
        <f t="shared" si="11"/>
        <v>100</v>
      </c>
      <c r="AE67" s="122"/>
      <c r="AF67" s="12">
        <f t="shared" si="5"/>
        <v>17</v>
      </c>
      <c r="AG67" s="15"/>
      <c r="AH67" s="69"/>
      <c r="AI67" s="216"/>
      <c r="AJ67" s="264">
        <f t="shared" si="6"/>
        <v>0</v>
      </c>
      <c r="AK67" s="70"/>
      <c r="AL67" s="71"/>
      <c r="AM67" s="105">
        <f t="shared" si="7"/>
        <v>170</v>
      </c>
    </row>
    <row r="68" spans="1:39" x14ac:dyDescent="0.25">
      <c r="A68" s="122"/>
      <c r="B68" s="12">
        <f t="shared" si="0"/>
        <v>7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70</v>
      </c>
      <c r="K68" s="122"/>
      <c r="L68" s="12">
        <f t="shared" si="3"/>
        <v>2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20</v>
      </c>
      <c r="U68" s="122"/>
      <c r="V68" s="12">
        <f t="shared" si="4"/>
        <v>10</v>
      </c>
      <c r="W68" s="15"/>
      <c r="X68" s="59"/>
      <c r="Y68" s="223"/>
      <c r="Z68" s="69">
        <f t="shared" si="10"/>
        <v>0</v>
      </c>
      <c r="AA68" s="70"/>
      <c r="AB68" s="71"/>
      <c r="AC68" s="105">
        <f t="shared" si="11"/>
        <v>100</v>
      </c>
      <c r="AE68" s="122"/>
      <c r="AF68" s="12">
        <f t="shared" si="5"/>
        <v>17</v>
      </c>
      <c r="AG68" s="15"/>
      <c r="AH68" s="59"/>
      <c r="AI68" s="223"/>
      <c r="AJ68" s="264">
        <f t="shared" si="6"/>
        <v>0</v>
      </c>
      <c r="AK68" s="70"/>
      <c r="AL68" s="71"/>
      <c r="AM68" s="105">
        <f t="shared" si="7"/>
        <v>170</v>
      </c>
    </row>
    <row r="69" spans="1:39" x14ac:dyDescent="0.25">
      <c r="A69" s="122"/>
      <c r="B69" s="12">
        <f t="shared" si="0"/>
        <v>7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70</v>
      </c>
      <c r="K69" s="122"/>
      <c r="L69" s="12">
        <f t="shared" si="3"/>
        <v>2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20</v>
      </c>
      <c r="U69" s="122"/>
      <c r="V69" s="12">
        <f t="shared" si="4"/>
        <v>10</v>
      </c>
      <c r="W69" s="15"/>
      <c r="X69" s="59"/>
      <c r="Y69" s="223"/>
      <c r="Z69" s="69">
        <f t="shared" si="10"/>
        <v>0</v>
      </c>
      <c r="AA69" s="70"/>
      <c r="AB69" s="71"/>
      <c r="AC69" s="105">
        <f t="shared" si="11"/>
        <v>100</v>
      </c>
      <c r="AE69" s="122"/>
      <c r="AF69" s="12">
        <f t="shared" si="5"/>
        <v>17</v>
      </c>
      <c r="AG69" s="15"/>
      <c r="AH69" s="59"/>
      <c r="AI69" s="223"/>
      <c r="AJ69" s="264">
        <f t="shared" si="6"/>
        <v>0</v>
      </c>
      <c r="AK69" s="70"/>
      <c r="AL69" s="71"/>
      <c r="AM69" s="105">
        <f t="shared" si="7"/>
        <v>170</v>
      </c>
    </row>
    <row r="70" spans="1:39" x14ac:dyDescent="0.25">
      <c r="A70" s="122"/>
      <c r="B70" s="12">
        <f t="shared" si="0"/>
        <v>7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70</v>
      </c>
      <c r="K70" s="122"/>
      <c r="L70" s="12">
        <f t="shared" si="3"/>
        <v>2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20</v>
      </c>
      <c r="U70" s="122"/>
      <c r="V70" s="12">
        <f t="shared" si="4"/>
        <v>10</v>
      </c>
      <c r="W70" s="15"/>
      <c r="X70" s="59"/>
      <c r="Y70" s="223"/>
      <c r="Z70" s="69">
        <f t="shared" si="10"/>
        <v>0</v>
      </c>
      <c r="AA70" s="70"/>
      <c r="AB70" s="71"/>
      <c r="AC70" s="105">
        <f t="shared" si="11"/>
        <v>100</v>
      </c>
      <c r="AE70" s="122"/>
      <c r="AF70" s="12">
        <f t="shared" si="5"/>
        <v>17</v>
      </c>
      <c r="AG70" s="15"/>
      <c r="AH70" s="59"/>
      <c r="AI70" s="223"/>
      <c r="AJ70" s="264">
        <f t="shared" si="6"/>
        <v>0</v>
      </c>
      <c r="AK70" s="70"/>
      <c r="AL70" s="71"/>
      <c r="AM70" s="105">
        <f t="shared" si="7"/>
        <v>170</v>
      </c>
    </row>
    <row r="71" spans="1:39" x14ac:dyDescent="0.25">
      <c r="A71" s="122"/>
      <c r="B71" s="12">
        <f t="shared" si="0"/>
        <v>7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70</v>
      </c>
      <c r="K71" s="122"/>
      <c r="L71" s="12">
        <f t="shared" si="3"/>
        <v>2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20</v>
      </c>
      <c r="U71" s="122"/>
      <c r="V71" s="12">
        <f t="shared" si="4"/>
        <v>10</v>
      </c>
      <c r="W71" s="15"/>
      <c r="X71" s="59"/>
      <c r="Y71" s="223"/>
      <c r="Z71" s="69">
        <f t="shared" si="10"/>
        <v>0</v>
      </c>
      <c r="AA71" s="70"/>
      <c r="AB71" s="71"/>
      <c r="AC71" s="105">
        <f t="shared" si="11"/>
        <v>100</v>
      </c>
      <c r="AE71" s="122"/>
      <c r="AF71" s="12">
        <f t="shared" si="5"/>
        <v>17</v>
      </c>
      <c r="AG71" s="15"/>
      <c r="AH71" s="59"/>
      <c r="AI71" s="223"/>
      <c r="AJ71" s="264">
        <f t="shared" si="6"/>
        <v>0</v>
      </c>
      <c r="AK71" s="70"/>
      <c r="AL71" s="71"/>
      <c r="AM71" s="105">
        <f t="shared" si="7"/>
        <v>170</v>
      </c>
    </row>
    <row r="72" spans="1:39" x14ac:dyDescent="0.25">
      <c r="A72" s="122"/>
      <c r="B72" s="12">
        <f t="shared" si="0"/>
        <v>7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70</v>
      </c>
      <c r="K72" s="122"/>
      <c r="L72" s="12">
        <f t="shared" si="3"/>
        <v>2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20</v>
      </c>
      <c r="U72" s="122"/>
      <c r="V72" s="12">
        <f t="shared" si="4"/>
        <v>10</v>
      </c>
      <c r="W72" s="15"/>
      <c r="X72" s="59"/>
      <c r="Y72" s="223"/>
      <c r="Z72" s="69">
        <f t="shared" si="10"/>
        <v>0</v>
      </c>
      <c r="AA72" s="70"/>
      <c r="AB72" s="71"/>
      <c r="AC72" s="105">
        <f t="shared" si="11"/>
        <v>100</v>
      </c>
      <c r="AE72" s="122"/>
      <c r="AF72" s="12">
        <f t="shared" si="5"/>
        <v>17</v>
      </c>
      <c r="AG72" s="15"/>
      <c r="AH72" s="59"/>
      <c r="AI72" s="223"/>
      <c r="AJ72" s="264">
        <f t="shared" si="6"/>
        <v>0</v>
      </c>
      <c r="AK72" s="70"/>
      <c r="AL72" s="71"/>
      <c r="AM72" s="105">
        <f t="shared" si="7"/>
        <v>170</v>
      </c>
    </row>
    <row r="73" spans="1:39" x14ac:dyDescent="0.25">
      <c r="A73" s="122"/>
      <c r="B73" s="12">
        <f t="shared" si="0"/>
        <v>7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70</v>
      </c>
      <c r="K73" s="122"/>
      <c r="L73" s="12">
        <f t="shared" si="3"/>
        <v>2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20</v>
      </c>
      <c r="U73" s="122"/>
      <c r="V73" s="12">
        <f t="shared" si="4"/>
        <v>10</v>
      </c>
      <c r="W73" s="15"/>
      <c r="X73" s="59"/>
      <c r="Y73" s="223"/>
      <c r="Z73" s="69">
        <f t="shared" si="10"/>
        <v>0</v>
      </c>
      <c r="AA73" s="70"/>
      <c r="AB73" s="71"/>
      <c r="AC73" s="105">
        <f t="shared" si="11"/>
        <v>100</v>
      </c>
      <c r="AE73" s="122"/>
      <c r="AF73" s="12">
        <f t="shared" si="5"/>
        <v>17</v>
      </c>
      <c r="AG73" s="15"/>
      <c r="AH73" s="59"/>
      <c r="AI73" s="223"/>
      <c r="AJ73" s="264">
        <f t="shared" si="6"/>
        <v>0</v>
      </c>
      <c r="AK73" s="70"/>
      <c r="AL73" s="71"/>
      <c r="AM73" s="105">
        <f t="shared" si="7"/>
        <v>170</v>
      </c>
    </row>
    <row r="74" spans="1:39" x14ac:dyDescent="0.25">
      <c r="A74" s="122"/>
      <c r="B74" s="12">
        <f t="shared" ref="B74:B75" si="12">B73-C74</f>
        <v>7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70</v>
      </c>
      <c r="K74" s="122"/>
      <c r="L74" s="12">
        <f t="shared" ref="L74:L75" si="15">L73-M74</f>
        <v>2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20</v>
      </c>
      <c r="U74" s="122"/>
      <c r="V74" s="12">
        <f t="shared" ref="V74:V75" si="16">V73-W74</f>
        <v>10</v>
      </c>
      <c r="W74" s="15"/>
      <c r="X74" s="59"/>
      <c r="Y74" s="223"/>
      <c r="Z74" s="69">
        <f t="shared" si="10"/>
        <v>0</v>
      </c>
      <c r="AA74" s="70"/>
      <c r="AB74" s="71"/>
      <c r="AC74" s="105">
        <f t="shared" si="11"/>
        <v>100</v>
      </c>
      <c r="AE74" s="122"/>
      <c r="AF74" s="12">
        <f t="shared" ref="AF74:AF75" si="17">AF73-AG74</f>
        <v>17</v>
      </c>
      <c r="AG74" s="15"/>
      <c r="AH74" s="59"/>
      <c r="AI74" s="223"/>
      <c r="AJ74" s="264">
        <f t="shared" ref="AJ74:AJ76" si="18">AH74</f>
        <v>0</v>
      </c>
      <c r="AK74" s="70"/>
      <c r="AL74" s="71"/>
      <c r="AM74" s="105">
        <f t="shared" ref="AM74:AM76" si="19">AM73-AJ74</f>
        <v>170</v>
      </c>
    </row>
    <row r="75" spans="1:39" x14ac:dyDescent="0.25">
      <c r="A75" s="122"/>
      <c r="B75" s="12">
        <f t="shared" si="12"/>
        <v>7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70</v>
      </c>
      <c r="K75" s="122"/>
      <c r="L75" s="12">
        <f t="shared" si="15"/>
        <v>2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20</v>
      </c>
      <c r="U75" s="122"/>
      <c r="V75" s="12">
        <f t="shared" si="16"/>
        <v>10</v>
      </c>
      <c r="W75" s="15"/>
      <c r="X75" s="59"/>
      <c r="Y75" s="223"/>
      <c r="Z75" s="69">
        <f t="shared" ref="Z75:Z76" si="22">X75</f>
        <v>0</v>
      </c>
      <c r="AA75" s="70"/>
      <c r="AB75" s="71"/>
      <c r="AC75" s="105">
        <f t="shared" ref="AC75:AC76" si="23">AC74-Z75</f>
        <v>100</v>
      </c>
      <c r="AE75" s="122"/>
      <c r="AF75" s="12">
        <f t="shared" si="17"/>
        <v>17</v>
      </c>
      <c r="AG75" s="15"/>
      <c r="AH75" s="59"/>
      <c r="AI75" s="223"/>
      <c r="AJ75" s="264">
        <f t="shared" si="18"/>
        <v>0</v>
      </c>
      <c r="AK75" s="70"/>
      <c r="AL75" s="71"/>
      <c r="AM75" s="105">
        <f t="shared" si="19"/>
        <v>170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70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20</v>
      </c>
      <c r="U76" s="122"/>
      <c r="W76" s="15"/>
      <c r="X76" s="59"/>
      <c r="Y76" s="223"/>
      <c r="Z76" s="69">
        <f t="shared" si="22"/>
        <v>0</v>
      </c>
      <c r="AA76" s="70"/>
      <c r="AB76" s="71"/>
      <c r="AC76" s="105">
        <f t="shared" si="23"/>
        <v>100</v>
      </c>
      <c r="AE76" s="122"/>
      <c r="AG76" s="15"/>
      <c r="AH76" s="59"/>
      <c r="AI76" s="223"/>
      <c r="AJ76" s="264">
        <f t="shared" si="18"/>
        <v>0</v>
      </c>
      <c r="AK76" s="70"/>
      <c r="AL76" s="71"/>
      <c r="AM76" s="105">
        <f t="shared" si="19"/>
        <v>170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4</v>
      </c>
      <c r="D78" s="6">
        <f>SUM(D9:D77)</f>
        <v>40</v>
      </c>
      <c r="F78" s="6">
        <f>SUM(F9:F77)</f>
        <v>40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5</v>
      </c>
      <c r="X78" s="6">
        <f>SUM(X9:X77)</f>
        <v>50</v>
      </c>
      <c r="Z78" s="6">
        <f>SUM(Z9:Z77)</f>
        <v>50</v>
      </c>
      <c r="AG78" s="53">
        <f>SUM(AG9:AG77)</f>
        <v>2</v>
      </c>
      <c r="AH78" s="6">
        <f>SUM(AH9:AH77)</f>
        <v>20</v>
      </c>
      <c r="AJ78" s="6">
        <f>SUM(AJ9:AJ77)</f>
        <v>20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7</v>
      </c>
      <c r="N81" s="45" t="s">
        <v>4</v>
      </c>
      <c r="O81" s="56">
        <f>P5+P6-M78+P7</f>
        <v>-8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17</v>
      </c>
    </row>
    <row r="82" spans="3:36" ht="15.75" thickBot="1" x14ac:dyDescent="0.3"/>
    <row r="83" spans="3:36" ht="15.75" thickBot="1" x14ac:dyDescent="0.3">
      <c r="C83" s="1254" t="s">
        <v>11</v>
      </c>
      <c r="D83" s="1255"/>
      <c r="E83" s="57">
        <f>E5+E6-F78+E7</f>
        <v>70</v>
      </c>
      <c r="F83" s="73"/>
      <c r="M83" s="1254" t="s">
        <v>11</v>
      </c>
      <c r="N83" s="1255"/>
      <c r="O83" s="57">
        <f>O5+O6-P78+O7</f>
        <v>-80</v>
      </c>
      <c r="P83" s="73"/>
      <c r="W83" s="1254" t="s">
        <v>11</v>
      </c>
      <c r="X83" s="1255"/>
      <c r="Y83" s="57">
        <f>Y5+Y6-Z78+Y7</f>
        <v>100</v>
      </c>
      <c r="Z83" s="73"/>
      <c r="AG83" s="1254" t="s">
        <v>11</v>
      </c>
      <c r="AH83" s="1255"/>
      <c r="AI83" s="57">
        <f>AI5+AI6-AJ78+AI7</f>
        <v>170</v>
      </c>
      <c r="AJ83" s="73"/>
    </row>
  </sheetData>
  <mergeCells count="12"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6"/>
  <sheetViews>
    <sheetView workbookViewId="0">
      <selection activeCell="F30" sqref="F3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52" t="s">
        <v>295</v>
      </c>
      <c r="B1" s="1252"/>
      <c r="C1" s="1252"/>
      <c r="D1" s="1252"/>
      <c r="E1" s="1252"/>
      <c r="F1" s="1252"/>
      <c r="G1" s="1252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269" t="s">
        <v>361</v>
      </c>
      <c r="B5" s="1261" t="s">
        <v>362</v>
      </c>
      <c r="C5" s="212"/>
      <c r="D5" s="154">
        <v>44723</v>
      </c>
      <c r="E5" s="132">
        <v>18209.29</v>
      </c>
      <c r="F5" s="243">
        <v>21</v>
      </c>
      <c r="G5" s="270">
        <v>18680.490000000002</v>
      </c>
      <c r="H5" s="138">
        <f>E4+E5-G5+E6+E7</f>
        <v>-471.20000000000073</v>
      </c>
    </row>
    <row r="6" spans="1:8" x14ac:dyDescent="0.25">
      <c r="A6" s="1269"/>
      <c r="B6" s="1261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66" t="s">
        <v>9</v>
      </c>
      <c r="G8" s="1067" t="s">
        <v>16</v>
      </c>
      <c r="H8" s="24"/>
    </row>
    <row r="9" spans="1:8" ht="15.75" thickTop="1" x14ac:dyDescent="0.25">
      <c r="A9" s="73"/>
      <c r="B9" s="982"/>
      <c r="C9" s="263">
        <v>1</v>
      </c>
      <c r="D9" s="92">
        <v>819.6</v>
      </c>
      <c r="E9" s="208"/>
      <c r="F9" s="69">
        <v>0</v>
      </c>
      <c r="G9" s="70"/>
      <c r="H9" s="71"/>
    </row>
    <row r="10" spans="1:8" x14ac:dyDescent="0.25">
      <c r="B10" s="982"/>
      <c r="C10" s="15">
        <v>2</v>
      </c>
      <c r="D10" s="92">
        <v>881.3</v>
      </c>
      <c r="E10" s="208"/>
      <c r="F10" s="69">
        <v>0</v>
      </c>
      <c r="G10" s="70"/>
      <c r="H10" s="266"/>
    </row>
    <row r="11" spans="1:8" x14ac:dyDescent="0.25">
      <c r="A11" s="55" t="s">
        <v>32</v>
      </c>
      <c r="B11" s="982"/>
      <c r="C11" s="263">
        <v>3</v>
      </c>
      <c r="D11" s="92">
        <v>772.5</v>
      </c>
      <c r="E11" s="208"/>
      <c r="F11" s="69">
        <v>0</v>
      </c>
      <c r="G11" s="70"/>
      <c r="H11" s="71"/>
    </row>
    <row r="12" spans="1:8" x14ac:dyDescent="0.25">
      <c r="A12" s="85"/>
      <c r="B12" s="982"/>
      <c r="C12" s="15">
        <v>4</v>
      </c>
      <c r="D12" s="92">
        <v>907.6</v>
      </c>
      <c r="E12" s="208"/>
      <c r="F12" s="69">
        <v>0</v>
      </c>
      <c r="G12" s="70"/>
      <c r="H12" s="71"/>
    </row>
    <row r="13" spans="1:8" x14ac:dyDescent="0.25">
      <c r="B13" s="982"/>
      <c r="C13" s="263">
        <v>5</v>
      </c>
      <c r="D13" s="92">
        <v>875.9</v>
      </c>
      <c r="E13" s="208"/>
      <c r="F13" s="69">
        <v>0</v>
      </c>
      <c r="G13" s="70"/>
      <c r="H13" s="71"/>
    </row>
    <row r="14" spans="1:8" x14ac:dyDescent="0.25">
      <c r="A14" s="55" t="s">
        <v>33</v>
      </c>
      <c r="B14" s="982"/>
      <c r="C14" s="15">
        <v>6</v>
      </c>
      <c r="D14" s="92">
        <v>841.4</v>
      </c>
      <c r="E14" s="469"/>
      <c r="F14" s="69">
        <v>0</v>
      </c>
      <c r="G14" s="265"/>
      <c r="H14" s="266"/>
    </row>
    <row r="15" spans="1:8" x14ac:dyDescent="0.25">
      <c r="B15" s="982"/>
      <c r="C15" s="263">
        <v>7</v>
      </c>
      <c r="D15" s="92">
        <v>897.7</v>
      </c>
      <c r="E15" s="208"/>
      <c r="F15" s="69">
        <v>0</v>
      </c>
      <c r="G15" s="70"/>
      <c r="H15" s="266"/>
    </row>
    <row r="16" spans="1:8" x14ac:dyDescent="0.25">
      <c r="B16" s="982"/>
      <c r="C16" s="15">
        <v>8</v>
      </c>
      <c r="D16" s="92">
        <v>914</v>
      </c>
      <c r="E16" s="208"/>
      <c r="F16" s="69">
        <v>0</v>
      </c>
      <c r="G16" s="70"/>
      <c r="H16" s="266"/>
    </row>
    <row r="17" spans="2:8" x14ac:dyDescent="0.25">
      <c r="B17" s="982"/>
      <c r="C17" s="263">
        <v>9</v>
      </c>
      <c r="D17" s="92">
        <v>961.2</v>
      </c>
      <c r="E17" s="208"/>
      <c r="F17" s="69">
        <v>0</v>
      </c>
      <c r="G17" s="70"/>
      <c r="H17" s="266"/>
    </row>
    <row r="18" spans="2:8" x14ac:dyDescent="0.25">
      <c r="B18" s="982"/>
      <c r="C18" s="15">
        <v>10</v>
      </c>
      <c r="D18" s="92">
        <v>885</v>
      </c>
      <c r="E18" s="208"/>
      <c r="F18" s="69">
        <v>0</v>
      </c>
      <c r="G18" s="70"/>
      <c r="H18" s="266"/>
    </row>
    <row r="19" spans="2:8" x14ac:dyDescent="0.25">
      <c r="B19" s="982"/>
      <c r="C19" s="263">
        <v>11</v>
      </c>
      <c r="D19" s="92">
        <v>885.9</v>
      </c>
      <c r="E19" s="208"/>
      <c r="F19" s="69">
        <v>0</v>
      </c>
      <c r="G19" s="70"/>
      <c r="H19" s="266"/>
    </row>
    <row r="20" spans="2:8" x14ac:dyDescent="0.25">
      <c r="B20" s="982"/>
      <c r="C20" s="15">
        <v>12</v>
      </c>
      <c r="D20" s="92">
        <v>827.8</v>
      </c>
      <c r="E20" s="208"/>
      <c r="F20" s="69">
        <v>0</v>
      </c>
      <c r="G20" s="70"/>
      <c r="H20" s="266"/>
    </row>
    <row r="21" spans="2:8" x14ac:dyDescent="0.25">
      <c r="B21" s="982"/>
      <c r="C21" s="263">
        <v>13</v>
      </c>
      <c r="D21" s="92">
        <v>970.2</v>
      </c>
      <c r="E21" s="208"/>
      <c r="F21" s="69">
        <v>0</v>
      </c>
      <c r="G21" s="70"/>
      <c r="H21" s="266"/>
    </row>
    <row r="22" spans="2:8" x14ac:dyDescent="0.25">
      <c r="B22" s="982"/>
      <c r="C22" s="15">
        <v>14</v>
      </c>
      <c r="D22" s="92">
        <v>900.4</v>
      </c>
      <c r="E22" s="208"/>
      <c r="F22" s="69">
        <v>0</v>
      </c>
      <c r="G22" s="70"/>
      <c r="H22" s="266"/>
    </row>
    <row r="23" spans="2:8" x14ac:dyDescent="0.25">
      <c r="B23" s="982"/>
      <c r="C23" s="263">
        <v>15</v>
      </c>
      <c r="D23" s="92">
        <v>934.8</v>
      </c>
      <c r="E23" s="208"/>
      <c r="F23" s="69">
        <v>0</v>
      </c>
      <c r="G23" s="70"/>
      <c r="H23" s="71"/>
    </row>
    <row r="24" spans="2:8" x14ac:dyDescent="0.25">
      <c r="B24" s="982"/>
      <c r="C24" s="15">
        <v>16</v>
      </c>
      <c r="D24" s="92">
        <v>872.3</v>
      </c>
      <c r="E24" s="208"/>
      <c r="F24" s="69">
        <v>0</v>
      </c>
      <c r="G24" s="70"/>
      <c r="H24" s="71"/>
    </row>
    <row r="25" spans="2:8" x14ac:dyDescent="0.25">
      <c r="B25" s="982"/>
      <c r="C25" s="263">
        <v>17</v>
      </c>
      <c r="D25" s="92">
        <v>872.3</v>
      </c>
      <c r="E25" s="208"/>
      <c r="F25" s="69">
        <v>0</v>
      </c>
      <c r="G25" s="70"/>
      <c r="H25" s="71"/>
    </row>
    <row r="26" spans="2:8" x14ac:dyDescent="0.25">
      <c r="B26" s="982"/>
      <c r="C26" s="15">
        <v>18</v>
      </c>
      <c r="D26" s="92">
        <v>915.8</v>
      </c>
      <c r="E26" s="208"/>
      <c r="F26" s="69">
        <v>0</v>
      </c>
      <c r="G26" s="70"/>
      <c r="H26" s="71"/>
    </row>
    <row r="27" spans="2:8" x14ac:dyDescent="0.25">
      <c r="B27" s="982"/>
      <c r="C27" s="263">
        <v>19</v>
      </c>
      <c r="D27" s="92">
        <v>943</v>
      </c>
      <c r="E27" s="208"/>
      <c r="F27" s="69">
        <v>0</v>
      </c>
      <c r="G27" s="70"/>
      <c r="H27" s="71"/>
    </row>
    <row r="28" spans="2:8" x14ac:dyDescent="0.25">
      <c r="B28" s="982"/>
      <c r="C28" s="15">
        <v>20</v>
      </c>
      <c r="D28" s="384">
        <v>894.9</v>
      </c>
      <c r="E28" s="208"/>
      <c r="F28" s="69">
        <v>0</v>
      </c>
      <c r="G28" s="70"/>
      <c r="H28" s="71"/>
    </row>
    <row r="29" spans="2:8" x14ac:dyDescent="0.25">
      <c r="B29" s="982"/>
      <c r="C29" s="263">
        <v>21</v>
      </c>
      <c r="D29" s="384">
        <v>906.89</v>
      </c>
      <c r="E29" s="208"/>
      <c r="F29" s="69"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6.5" thickTop="1" x14ac:dyDescent="0.25">
      <c r="C31" s="15">
        <f>SUM(C9:C30)</f>
        <v>231</v>
      </c>
      <c r="D31" s="785">
        <f>SUM(D9:D30)</f>
        <v>18680.489999999998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89" t="s">
        <v>19</v>
      </c>
      <c r="D34" s="1290"/>
      <c r="E34" s="39">
        <f>D31-F31</f>
        <v>18680.489999999998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56"/>
  <sheetViews>
    <sheetView topLeftCell="H1" workbookViewId="0">
      <selection activeCell="R11" sqref="R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97" t="s">
        <v>269</v>
      </c>
      <c r="B1" s="1297"/>
      <c r="C1" s="1297"/>
      <c r="D1" s="1297"/>
      <c r="E1" s="1297"/>
      <c r="F1" s="1297"/>
      <c r="G1" s="1297"/>
      <c r="H1" s="99">
        <v>1</v>
      </c>
      <c r="L1" s="1303" t="s">
        <v>294</v>
      </c>
      <c r="M1" s="1303"/>
      <c r="N1" s="1303"/>
      <c r="O1" s="1303"/>
      <c r="P1" s="1303"/>
      <c r="Q1" s="1303"/>
      <c r="R1" s="1303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2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946"/>
      <c r="B4" s="946"/>
      <c r="C4" s="290"/>
      <c r="D4" s="430"/>
      <c r="E4" s="338"/>
      <c r="F4" s="315"/>
      <c r="G4" s="73"/>
      <c r="L4" s="946"/>
      <c r="M4" s="946"/>
      <c r="N4" s="290"/>
      <c r="O4" s="430"/>
      <c r="P4" s="338">
        <v>775.66</v>
      </c>
      <c r="Q4" s="315">
        <v>30</v>
      </c>
      <c r="R4" s="73"/>
    </row>
    <row r="5" spans="1:21" ht="15" customHeight="1" x14ac:dyDescent="0.25">
      <c r="A5" s="1298" t="s">
        <v>52</v>
      </c>
      <c r="B5" s="1299" t="s">
        <v>100</v>
      </c>
      <c r="C5" s="290">
        <v>68</v>
      </c>
      <c r="D5" s="430">
        <v>44707</v>
      </c>
      <c r="E5" s="338">
        <v>3005.88</v>
      </c>
      <c r="F5" s="315">
        <v>116</v>
      </c>
      <c r="G5" s="302">
        <f>F53</f>
        <v>3243.0899999999997</v>
      </c>
      <c r="H5" s="58">
        <f>E4+E5+E6-G5</f>
        <v>0</v>
      </c>
      <c r="L5" s="1298" t="s">
        <v>52</v>
      </c>
      <c r="M5" s="1299" t="s">
        <v>100</v>
      </c>
      <c r="N5" s="290">
        <v>70</v>
      </c>
      <c r="O5" s="430">
        <v>44714</v>
      </c>
      <c r="P5" s="338">
        <v>3067.48</v>
      </c>
      <c r="Q5" s="315">
        <v>105</v>
      </c>
      <c r="R5" s="302">
        <f>Q53</f>
        <v>1199.94</v>
      </c>
      <c r="S5" s="58">
        <f>P4+P5+P6-R5+P7</f>
        <v>4478.17</v>
      </c>
    </row>
    <row r="6" spans="1:21" ht="16.5" customHeight="1" x14ac:dyDescent="0.25">
      <c r="A6" s="1298"/>
      <c r="B6" s="1300"/>
      <c r="C6" s="290"/>
      <c r="D6" s="430"/>
      <c r="E6" s="338">
        <v>237.21</v>
      </c>
      <c r="F6" s="315">
        <v>9</v>
      </c>
      <c r="G6" s="243"/>
      <c r="H6" s="240"/>
      <c r="I6" s="240"/>
      <c r="L6" s="1298"/>
      <c r="M6" s="1300"/>
      <c r="N6" s="290">
        <v>72</v>
      </c>
      <c r="O6" s="430">
        <v>44729</v>
      </c>
      <c r="P6" s="338">
        <v>1501.45</v>
      </c>
      <c r="Q6" s="315">
        <v>54</v>
      </c>
      <c r="R6" s="243"/>
      <c r="S6" s="240"/>
      <c r="T6" s="240"/>
    </row>
    <row r="7" spans="1:21" ht="15.75" customHeight="1" thickBot="1" x14ac:dyDescent="0.35">
      <c r="A7" s="1298"/>
      <c r="B7" s="1300"/>
      <c r="C7" s="290"/>
      <c r="D7" s="430"/>
      <c r="E7" s="338"/>
      <c r="F7" s="315"/>
      <c r="G7" s="243"/>
      <c r="H7" s="240"/>
      <c r="I7" s="648"/>
      <c r="J7" s="511"/>
      <c r="L7" s="1298"/>
      <c r="M7" s="1300"/>
      <c r="N7" s="290">
        <v>72</v>
      </c>
      <c r="O7" s="430">
        <v>44734</v>
      </c>
      <c r="P7" s="338">
        <v>333.52</v>
      </c>
      <c r="Q7" s="315">
        <v>13</v>
      </c>
      <c r="R7" s="243"/>
      <c r="S7" s="240"/>
      <c r="T7" s="648"/>
      <c r="U7" s="511"/>
    </row>
    <row r="8" spans="1:21" ht="16.5" customHeight="1" thickTop="1" thickBot="1" x14ac:dyDescent="0.3">
      <c r="A8" s="240"/>
      <c r="B8" s="599"/>
      <c r="C8" s="290"/>
      <c r="D8" s="430"/>
      <c r="E8" s="312"/>
      <c r="F8" s="313"/>
      <c r="G8" s="243"/>
      <c r="H8" s="240"/>
      <c r="I8" s="1301" t="s">
        <v>47</v>
      </c>
      <c r="J8" s="1295" t="s">
        <v>4</v>
      </c>
      <c r="L8" s="240"/>
      <c r="M8" s="599"/>
      <c r="N8" s="290"/>
      <c r="O8" s="430"/>
      <c r="P8" s="312"/>
      <c r="Q8" s="313"/>
      <c r="R8" s="243"/>
      <c r="S8" s="240"/>
      <c r="T8" s="1301" t="s">
        <v>47</v>
      </c>
      <c r="U8" s="1295" t="s">
        <v>4</v>
      </c>
    </row>
    <row r="9" spans="1:21" ht="16.5" customHeight="1" thickTop="1" thickBot="1" x14ac:dyDescent="0.3">
      <c r="A9" s="929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9" t="s">
        <v>15</v>
      </c>
      <c r="H9" s="650"/>
      <c r="I9" s="1302"/>
      <c r="J9" s="1296"/>
      <c r="L9" s="929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9" t="s">
        <v>15</v>
      </c>
      <c r="S9" s="650"/>
      <c r="T9" s="1302"/>
      <c r="U9" s="1296"/>
    </row>
    <row r="10" spans="1:21" ht="15.75" thickTop="1" x14ac:dyDescent="0.25">
      <c r="A10" s="930"/>
      <c r="B10" s="83"/>
      <c r="C10" s="15">
        <v>12</v>
      </c>
      <c r="D10" s="156">
        <v>314.56</v>
      </c>
      <c r="E10" s="328">
        <v>44707</v>
      </c>
      <c r="F10" s="264">
        <f>D10</f>
        <v>314.56</v>
      </c>
      <c r="G10" s="265" t="s">
        <v>249</v>
      </c>
      <c r="H10" s="266">
        <v>70</v>
      </c>
      <c r="I10" s="267">
        <f>E4+E5+E6-F10+E7+E8</f>
        <v>2928.53</v>
      </c>
      <c r="J10" s="268">
        <f>F4+F5+F6+F7-C10+F8</f>
        <v>113</v>
      </c>
      <c r="L10" s="930"/>
      <c r="M10" s="83"/>
      <c r="N10" s="15">
        <v>40</v>
      </c>
      <c r="O10" s="156">
        <v>1199.94</v>
      </c>
      <c r="P10" s="328">
        <v>44718</v>
      </c>
      <c r="Q10" s="264">
        <f>O10</f>
        <v>1199.94</v>
      </c>
      <c r="R10" s="265" t="s">
        <v>543</v>
      </c>
      <c r="S10" s="266">
        <v>72</v>
      </c>
      <c r="T10" s="267">
        <f>P4+P5+P6-Q10+P7+P8</f>
        <v>4478.17</v>
      </c>
      <c r="U10" s="268">
        <f>Q4+Q5+Q6+Q7-N10+Q8</f>
        <v>162</v>
      </c>
    </row>
    <row r="11" spans="1:21" x14ac:dyDescent="0.25">
      <c r="A11" s="930"/>
      <c r="B11" s="83"/>
      <c r="C11" s="15">
        <v>40</v>
      </c>
      <c r="D11" s="156">
        <v>1032.54</v>
      </c>
      <c r="E11" s="325">
        <v>44707</v>
      </c>
      <c r="F11" s="69">
        <f>D11</f>
        <v>1032.54</v>
      </c>
      <c r="G11" s="265" t="s">
        <v>249</v>
      </c>
      <c r="H11" s="266">
        <v>70</v>
      </c>
      <c r="I11" s="267">
        <f>I10-F11</f>
        <v>1895.9900000000002</v>
      </c>
      <c r="J11" s="268">
        <f>J10-C11</f>
        <v>73</v>
      </c>
      <c r="L11" s="930"/>
      <c r="M11" s="83"/>
      <c r="N11" s="15"/>
      <c r="O11" s="156"/>
      <c r="P11" s="325"/>
      <c r="Q11" s="69">
        <f>O11</f>
        <v>0</v>
      </c>
      <c r="R11" s="265"/>
      <c r="S11" s="266"/>
      <c r="T11" s="267">
        <f>T10-Q11</f>
        <v>4478.17</v>
      </c>
      <c r="U11" s="268">
        <f>U10-N11</f>
        <v>162</v>
      </c>
    </row>
    <row r="12" spans="1:21" x14ac:dyDescent="0.25">
      <c r="A12" s="931" t="s">
        <v>32</v>
      </c>
      <c r="B12" s="83"/>
      <c r="C12" s="15">
        <v>40</v>
      </c>
      <c r="D12" s="1068">
        <v>1040.33</v>
      </c>
      <c r="E12" s="1069">
        <v>44711</v>
      </c>
      <c r="F12" s="858">
        <f>D12</f>
        <v>1040.33</v>
      </c>
      <c r="G12" s="422" t="s">
        <v>477</v>
      </c>
      <c r="H12" s="423">
        <v>70</v>
      </c>
      <c r="I12" s="267">
        <f t="shared" ref="I12:I51" si="0">I11-F12</f>
        <v>855.66000000000031</v>
      </c>
      <c r="J12" s="268">
        <f t="shared" ref="J12:J51" si="1">J11-C12</f>
        <v>33</v>
      </c>
      <c r="L12" s="931" t="s">
        <v>32</v>
      </c>
      <c r="M12" s="83"/>
      <c r="N12" s="15"/>
      <c r="O12" s="1068"/>
      <c r="P12" s="1069"/>
      <c r="Q12" s="858">
        <f>O12</f>
        <v>0</v>
      </c>
      <c r="R12" s="422"/>
      <c r="S12" s="423"/>
      <c r="T12" s="267">
        <f t="shared" ref="T12:T51" si="2">T11-Q12</f>
        <v>4478.17</v>
      </c>
      <c r="U12" s="268">
        <f t="shared" ref="U12:U51" si="3">U11-N12</f>
        <v>162</v>
      </c>
    </row>
    <row r="13" spans="1:21" x14ac:dyDescent="0.25">
      <c r="A13" s="932"/>
      <c r="B13" s="83"/>
      <c r="C13" s="15">
        <v>3</v>
      </c>
      <c r="D13" s="1068">
        <v>80</v>
      </c>
      <c r="E13" s="1070">
        <v>44713</v>
      </c>
      <c r="F13" s="858">
        <f t="shared" ref="F13:F52" si="4">D13</f>
        <v>80</v>
      </c>
      <c r="G13" s="422" t="s">
        <v>500</v>
      </c>
      <c r="H13" s="423">
        <v>70</v>
      </c>
      <c r="I13" s="267">
        <f t="shared" si="0"/>
        <v>775.66000000000031</v>
      </c>
      <c r="J13" s="268">
        <f t="shared" si="1"/>
        <v>30</v>
      </c>
      <c r="L13" s="932"/>
      <c r="M13" s="83"/>
      <c r="N13" s="15"/>
      <c r="O13" s="1068"/>
      <c r="P13" s="1070"/>
      <c r="Q13" s="858">
        <f t="shared" ref="Q13:Q52" si="5">O13</f>
        <v>0</v>
      </c>
      <c r="R13" s="422"/>
      <c r="S13" s="423"/>
      <c r="T13" s="267">
        <f t="shared" si="2"/>
        <v>4478.17</v>
      </c>
      <c r="U13" s="268">
        <f t="shared" si="3"/>
        <v>162</v>
      </c>
    </row>
    <row r="14" spans="1:21" x14ac:dyDescent="0.25">
      <c r="A14" s="296"/>
      <c r="B14" s="83"/>
      <c r="C14" s="15"/>
      <c r="D14" s="1068"/>
      <c r="E14" s="1070"/>
      <c r="F14" s="858">
        <f t="shared" si="4"/>
        <v>0</v>
      </c>
      <c r="G14" s="422"/>
      <c r="H14" s="423"/>
      <c r="I14" s="267">
        <f t="shared" si="0"/>
        <v>775.66000000000031</v>
      </c>
      <c r="J14" s="268">
        <f t="shared" si="1"/>
        <v>30</v>
      </c>
      <c r="L14" s="296"/>
      <c r="M14" s="83"/>
      <c r="N14" s="15"/>
      <c r="O14" s="1068"/>
      <c r="P14" s="1070"/>
      <c r="Q14" s="858">
        <f t="shared" si="5"/>
        <v>0</v>
      </c>
      <c r="R14" s="422"/>
      <c r="S14" s="423"/>
      <c r="T14" s="267">
        <f t="shared" si="2"/>
        <v>4478.17</v>
      </c>
      <c r="U14" s="268">
        <f t="shared" si="3"/>
        <v>162</v>
      </c>
    </row>
    <row r="15" spans="1:21" x14ac:dyDescent="0.25">
      <c r="A15" s="933" t="s">
        <v>33</v>
      </c>
      <c r="B15" s="83"/>
      <c r="C15" s="15"/>
      <c r="D15" s="1068"/>
      <c r="E15" s="1070"/>
      <c r="F15" s="858">
        <f t="shared" si="4"/>
        <v>0</v>
      </c>
      <c r="G15" s="422"/>
      <c r="H15" s="423"/>
      <c r="I15" s="267">
        <f t="shared" si="0"/>
        <v>775.66000000000031</v>
      </c>
      <c r="J15" s="268">
        <f t="shared" si="1"/>
        <v>30</v>
      </c>
      <c r="L15" s="933" t="s">
        <v>33</v>
      </c>
      <c r="M15" s="83"/>
      <c r="N15" s="15"/>
      <c r="O15" s="1068"/>
      <c r="P15" s="1070"/>
      <c r="Q15" s="858">
        <f t="shared" si="5"/>
        <v>0</v>
      </c>
      <c r="R15" s="422"/>
      <c r="S15" s="423"/>
      <c r="T15" s="267">
        <f t="shared" si="2"/>
        <v>4478.17</v>
      </c>
      <c r="U15" s="268">
        <f t="shared" si="3"/>
        <v>162</v>
      </c>
    </row>
    <row r="16" spans="1:21" x14ac:dyDescent="0.25">
      <c r="A16" s="932"/>
      <c r="B16" s="83"/>
      <c r="C16" s="15">
        <v>30</v>
      </c>
      <c r="D16" s="1068"/>
      <c r="E16" s="1061"/>
      <c r="F16" s="1170">
        <v>775.66</v>
      </c>
      <c r="G16" s="1171"/>
      <c r="H16" s="1172"/>
      <c r="I16" s="1182">
        <f t="shared" si="0"/>
        <v>0</v>
      </c>
      <c r="J16" s="1183">
        <f t="shared" si="1"/>
        <v>0</v>
      </c>
      <c r="L16" s="932"/>
      <c r="M16" s="83"/>
      <c r="N16" s="15"/>
      <c r="O16" s="1068"/>
      <c r="P16" s="1061"/>
      <c r="Q16" s="858">
        <f t="shared" si="5"/>
        <v>0</v>
      </c>
      <c r="R16" s="422"/>
      <c r="S16" s="423"/>
      <c r="T16" s="267">
        <f t="shared" si="2"/>
        <v>4478.17</v>
      </c>
      <c r="U16" s="268">
        <f t="shared" si="3"/>
        <v>162</v>
      </c>
    </row>
    <row r="17" spans="1:21" x14ac:dyDescent="0.25">
      <c r="A17" s="296"/>
      <c r="B17" s="83"/>
      <c r="C17" s="15"/>
      <c r="D17" s="1068"/>
      <c r="E17" s="1070"/>
      <c r="F17" s="1170">
        <f t="shared" si="4"/>
        <v>0</v>
      </c>
      <c r="G17" s="1171"/>
      <c r="H17" s="1172"/>
      <c r="I17" s="1182">
        <f t="shared" si="0"/>
        <v>0</v>
      </c>
      <c r="J17" s="1183">
        <f t="shared" si="1"/>
        <v>0</v>
      </c>
      <c r="L17" s="296"/>
      <c r="M17" s="83"/>
      <c r="N17" s="15"/>
      <c r="O17" s="1068"/>
      <c r="P17" s="1070"/>
      <c r="Q17" s="858">
        <f t="shared" si="5"/>
        <v>0</v>
      </c>
      <c r="R17" s="422"/>
      <c r="S17" s="423"/>
      <c r="T17" s="267">
        <f t="shared" si="2"/>
        <v>4478.17</v>
      </c>
      <c r="U17" s="268">
        <f t="shared" si="3"/>
        <v>162</v>
      </c>
    </row>
    <row r="18" spans="1:21" x14ac:dyDescent="0.25">
      <c r="A18" s="930"/>
      <c r="B18" s="83"/>
      <c r="C18" s="15"/>
      <c r="D18" s="1068"/>
      <c r="E18" s="1070"/>
      <c r="F18" s="1170">
        <f t="shared" si="4"/>
        <v>0</v>
      </c>
      <c r="G18" s="1184"/>
      <c r="H18" s="1172"/>
      <c r="I18" s="1182">
        <f t="shared" si="0"/>
        <v>0</v>
      </c>
      <c r="J18" s="1183">
        <f t="shared" si="1"/>
        <v>0</v>
      </c>
      <c r="L18" s="930"/>
      <c r="M18" s="83"/>
      <c r="N18" s="15"/>
      <c r="O18" s="1068"/>
      <c r="P18" s="1070"/>
      <c r="Q18" s="858">
        <f t="shared" si="5"/>
        <v>0</v>
      </c>
      <c r="R18" s="1071"/>
      <c r="S18" s="423"/>
      <c r="T18" s="267">
        <f t="shared" si="2"/>
        <v>4478.17</v>
      </c>
      <c r="U18" s="268">
        <f t="shared" si="3"/>
        <v>162</v>
      </c>
    </row>
    <row r="19" spans="1:21" x14ac:dyDescent="0.25">
      <c r="A19" s="930"/>
      <c r="B19" s="83"/>
      <c r="C19" s="53"/>
      <c r="D19" s="1068"/>
      <c r="E19" s="1070"/>
      <c r="F19" s="1170">
        <f t="shared" si="4"/>
        <v>0</v>
      </c>
      <c r="G19" s="1171"/>
      <c r="H19" s="1172"/>
      <c r="I19" s="1182">
        <f t="shared" si="0"/>
        <v>0</v>
      </c>
      <c r="J19" s="1183">
        <f t="shared" si="1"/>
        <v>0</v>
      </c>
      <c r="L19" s="930"/>
      <c r="M19" s="83"/>
      <c r="N19" s="53"/>
      <c r="O19" s="1068"/>
      <c r="P19" s="1070"/>
      <c r="Q19" s="858">
        <f t="shared" si="5"/>
        <v>0</v>
      </c>
      <c r="R19" s="422"/>
      <c r="S19" s="423"/>
      <c r="T19" s="267">
        <f t="shared" si="2"/>
        <v>4478.17</v>
      </c>
      <c r="U19" s="268">
        <f t="shared" si="3"/>
        <v>162</v>
      </c>
    </row>
    <row r="20" spans="1:21" x14ac:dyDescent="0.25">
      <c r="A20" s="930"/>
      <c r="B20" s="83"/>
      <c r="C20" s="15"/>
      <c r="D20" s="1068"/>
      <c r="E20" s="1059"/>
      <c r="F20" s="227">
        <f t="shared" si="4"/>
        <v>0</v>
      </c>
      <c r="G20" s="422"/>
      <c r="H20" s="423"/>
      <c r="I20" s="267">
        <f t="shared" si="0"/>
        <v>0</v>
      </c>
      <c r="J20" s="268">
        <f t="shared" si="1"/>
        <v>0</v>
      </c>
      <c r="L20" s="930"/>
      <c r="M20" s="83"/>
      <c r="N20" s="15"/>
      <c r="O20" s="1068"/>
      <c r="P20" s="1059"/>
      <c r="Q20" s="227">
        <f t="shared" si="5"/>
        <v>0</v>
      </c>
      <c r="R20" s="422"/>
      <c r="S20" s="423"/>
      <c r="T20" s="267">
        <f t="shared" si="2"/>
        <v>4478.17</v>
      </c>
      <c r="U20" s="268">
        <f t="shared" si="3"/>
        <v>162</v>
      </c>
    </row>
    <row r="21" spans="1:21" x14ac:dyDescent="0.25">
      <c r="A21" s="930"/>
      <c r="B21" s="83"/>
      <c r="C21" s="15"/>
      <c r="D21" s="1068"/>
      <c r="E21" s="1059"/>
      <c r="F21" s="227">
        <f t="shared" si="4"/>
        <v>0</v>
      </c>
      <c r="G21" s="422"/>
      <c r="H21" s="423"/>
      <c r="I21" s="267">
        <f t="shared" si="0"/>
        <v>0</v>
      </c>
      <c r="J21" s="268">
        <f t="shared" si="1"/>
        <v>0</v>
      </c>
      <c r="L21" s="930"/>
      <c r="M21" s="83"/>
      <c r="N21" s="15"/>
      <c r="O21" s="1068"/>
      <c r="P21" s="1059"/>
      <c r="Q21" s="227">
        <f t="shared" si="5"/>
        <v>0</v>
      </c>
      <c r="R21" s="422"/>
      <c r="S21" s="423"/>
      <c r="T21" s="267">
        <f t="shared" si="2"/>
        <v>4478.17</v>
      </c>
      <c r="U21" s="268">
        <f t="shared" si="3"/>
        <v>162</v>
      </c>
    </row>
    <row r="22" spans="1:21" x14ac:dyDescent="0.25">
      <c r="A22" s="930"/>
      <c r="B22" s="83"/>
      <c r="C22" s="15"/>
      <c r="D22" s="1068"/>
      <c r="E22" s="1062"/>
      <c r="F22" s="227">
        <f t="shared" si="4"/>
        <v>0</v>
      </c>
      <c r="G22" s="911"/>
      <c r="H22" s="912"/>
      <c r="I22" s="267">
        <f t="shared" si="0"/>
        <v>0</v>
      </c>
      <c r="J22" s="268">
        <f t="shared" si="1"/>
        <v>0</v>
      </c>
      <c r="L22" s="930"/>
      <c r="M22" s="83"/>
      <c r="N22" s="15"/>
      <c r="O22" s="1068"/>
      <c r="P22" s="1062"/>
      <c r="Q22" s="227">
        <f t="shared" si="5"/>
        <v>0</v>
      </c>
      <c r="R22" s="911"/>
      <c r="S22" s="912"/>
      <c r="T22" s="267">
        <f t="shared" si="2"/>
        <v>4478.17</v>
      </c>
      <c r="U22" s="268">
        <f t="shared" si="3"/>
        <v>162</v>
      </c>
    </row>
    <row r="23" spans="1:21" x14ac:dyDescent="0.25">
      <c r="A23" s="930"/>
      <c r="B23" s="83"/>
      <c r="C23" s="15"/>
      <c r="D23" s="1068"/>
      <c r="E23" s="1062"/>
      <c r="F23" s="227">
        <f t="shared" si="4"/>
        <v>0</v>
      </c>
      <c r="G23" s="911"/>
      <c r="H23" s="912"/>
      <c r="I23" s="267">
        <f t="shared" si="0"/>
        <v>0</v>
      </c>
      <c r="J23" s="268">
        <f t="shared" si="1"/>
        <v>0</v>
      </c>
      <c r="L23" s="930"/>
      <c r="M23" s="83"/>
      <c r="N23" s="15"/>
      <c r="O23" s="1068"/>
      <c r="P23" s="1062"/>
      <c r="Q23" s="227">
        <f t="shared" si="5"/>
        <v>0</v>
      </c>
      <c r="R23" s="911"/>
      <c r="S23" s="912"/>
      <c r="T23" s="267">
        <f t="shared" si="2"/>
        <v>4478.17</v>
      </c>
      <c r="U23" s="268">
        <f t="shared" si="3"/>
        <v>162</v>
      </c>
    </row>
    <row r="24" spans="1:21" x14ac:dyDescent="0.25">
      <c r="A24" s="2"/>
      <c r="B24" s="83"/>
      <c r="C24" s="15"/>
      <c r="D24" s="1068"/>
      <c r="E24" s="1062"/>
      <c r="F24" s="227">
        <f t="shared" si="4"/>
        <v>0</v>
      </c>
      <c r="G24" s="911"/>
      <c r="H24" s="912"/>
      <c r="I24" s="267">
        <f t="shared" si="0"/>
        <v>0</v>
      </c>
      <c r="J24" s="127">
        <f t="shared" si="1"/>
        <v>0</v>
      </c>
      <c r="L24" s="2"/>
      <c r="M24" s="83"/>
      <c r="N24" s="15"/>
      <c r="O24" s="1068"/>
      <c r="P24" s="1062"/>
      <c r="Q24" s="227">
        <f t="shared" si="5"/>
        <v>0</v>
      </c>
      <c r="R24" s="911"/>
      <c r="S24" s="912"/>
      <c r="T24" s="267">
        <f t="shared" si="2"/>
        <v>4478.17</v>
      </c>
      <c r="U24" s="127">
        <f t="shared" si="3"/>
        <v>162</v>
      </c>
    </row>
    <row r="25" spans="1:21" x14ac:dyDescent="0.25">
      <c r="A25" s="2"/>
      <c r="B25" s="83"/>
      <c r="C25" s="15"/>
      <c r="D25" s="1068"/>
      <c r="E25" s="1062"/>
      <c r="F25" s="227">
        <f t="shared" si="4"/>
        <v>0</v>
      </c>
      <c r="G25" s="911"/>
      <c r="H25" s="912"/>
      <c r="I25" s="267">
        <f t="shared" si="0"/>
        <v>0</v>
      </c>
      <c r="J25" s="127">
        <f t="shared" si="1"/>
        <v>0</v>
      </c>
      <c r="L25" s="2"/>
      <c r="M25" s="83"/>
      <c r="N25" s="15"/>
      <c r="O25" s="1068"/>
      <c r="P25" s="1062"/>
      <c r="Q25" s="227">
        <f t="shared" si="5"/>
        <v>0</v>
      </c>
      <c r="R25" s="911"/>
      <c r="S25" s="912"/>
      <c r="T25" s="267">
        <f t="shared" si="2"/>
        <v>4478.17</v>
      </c>
      <c r="U25" s="127">
        <f t="shared" si="3"/>
        <v>162</v>
      </c>
    </row>
    <row r="26" spans="1:21" x14ac:dyDescent="0.25">
      <c r="A26" s="2"/>
      <c r="B26" s="83"/>
      <c r="C26" s="15"/>
      <c r="D26" s="1068"/>
      <c r="E26" s="1062"/>
      <c r="F26" s="227">
        <f t="shared" si="4"/>
        <v>0</v>
      </c>
      <c r="G26" s="911"/>
      <c r="H26" s="912"/>
      <c r="I26" s="222">
        <f t="shared" si="0"/>
        <v>0</v>
      </c>
      <c r="J26" s="127">
        <f t="shared" si="1"/>
        <v>0</v>
      </c>
      <c r="L26" s="2"/>
      <c r="M26" s="83"/>
      <c r="N26" s="15"/>
      <c r="O26" s="1068"/>
      <c r="P26" s="1062"/>
      <c r="Q26" s="227">
        <f t="shared" si="5"/>
        <v>0</v>
      </c>
      <c r="R26" s="911"/>
      <c r="S26" s="912"/>
      <c r="T26" s="222">
        <f t="shared" si="2"/>
        <v>4478.17</v>
      </c>
      <c r="U26" s="127">
        <f t="shared" si="3"/>
        <v>162</v>
      </c>
    </row>
    <row r="27" spans="1:21" x14ac:dyDescent="0.25">
      <c r="A27" s="2"/>
      <c r="B27" s="83"/>
      <c r="C27" s="15"/>
      <c r="D27" s="1068"/>
      <c r="E27" s="1062"/>
      <c r="F27" s="227">
        <f t="shared" si="4"/>
        <v>0</v>
      </c>
      <c r="G27" s="911"/>
      <c r="H27" s="912"/>
      <c r="I27" s="222">
        <f t="shared" si="0"/>
        <v>0</v>
      </c>
      <c r="J27" s="127">
        <f t="shared" si="1"/>
        <v>0</v>
      </c>
      <c r="L27" s="2"/>
      <c r="M27" s="83"/>
      <c r="N27" s="15"/>
      <c r="O27" s="1068"/>
      <c r="P27" s="1062"/>
      <c r="Q27" s="227">
        <f t="shared" si="5"/>
        <v>0</v>
      </c>
      <c r="R27" s="911"/>
      <c r="S27" s="912"/>
      <c r="T27" s="222">
        <f t="shared" si="2"/>
        <v>4478.17</v>
      </c>
      <c r="U27" s="127">
        <f t="shared" si="3"/>
        <v>162</v>
      </c>
    </row>
    <row r="28" spans="1:21" x14ac:dyDescent="0.25">
      <c r="A28" s="2"/>
      <c r="B28" s="83"/>
      <c r="C28" s="15"/>
      <c r="D28" s="1068"/>
      <c r="E28" s="1062"/>
      <c r="F28" s="227">
        <f t="shared" si="4"/>
        <v>0</v>
      </c>
      <c r="G28" s="911"/>
      <c r="H28" s="912"/>
      <c r="I28" s="222">
        <f t="shared" si="0"/>
        <v>0</v>
      </c>
      <c r="J28" s="127">
        <f t="shared" si="1"/>
        <v>0</v>
      </c>
      <c r="L28" s="2"/>
      <c r="M28" s="83"/>
      <c r="N28" s="15"/>
      <c r="O28" s="1068"/>
      <c r="P28" s="1062"/>
      <c r="Q28" s="227">
        <f t="shared" si="5"/>
        <v>0</v>
      </c>
      <c r="R28" s="911"/>
      <c r="S28" s="912"/>
      <c r="T28" s="222">
        <f t="shared" si="2"/>
        <v>4478.17</v>
      </c>
      <c r="U28" s="127">
        <f t="shared" si="3"/>
        <v>162</v>
      </c>
    </row>
    <row r="29" spans="1:21" x14ac:dyDescent="0.25">
      <c r="A29" s="2"/>
      <c r="B29" s="83"/>
      <c r="C29" s="15"/>
      <c r="D29" s="1068"/>
      <c r="E29" s="1062"/>
      <c r="F29" s="227">
        <f t="shared" si="4"/>
        <v>0</v>
      </c>
      <c r="G29" s="911"/>
      <c r="H29" s="912"/>
      <c r="I29" s="222">
        <f t="shared" si="0"/>
        <v>0</v>
      </c>
      <c r="J29" s="127">
        <f t="shared" si="1"/>
        <v>0</v>
      </c>
      <c r="L29" s="2"/>
      <c r="M29" s="83"/>
      <c r="N29" s="15"/>
      <c r="O29" s="1068"/>
      <c r="P29" s="1062"/>
      <c r="Q29" s="227">
        <f t="shared" si="5"/>
        <v>0</v>
      </c>
      <c r="R29" s="911"/>
      <c r="S29" s="912"/>
      <c r="T29" s="222">
        <f t="shared" si="2"/>
        <v>4478.17</v>
      </c>
      <c r="U29" s="127">
        <f t="shared" si="3"/>
        <v>162</v>
      </c>
    </row>
    <row r="30" spans="1:21" x14ac:dyDescent="0.25">
      <c r="A30" s="2"/>
      <c r="B30" s="83"/>
      <c r="C30" s="15"/>
      <c r="D30" s="1068"/>
      <c r="E30" s="1062"/>
      <c r="F30" s="227">
        <f t="shared" si="4"/>
        <v>0</v>
      </c>
      <c r="G30" s="911"/>
      <c r="H30" s="912"/>
      <c r="I30" s="222">
        <f t="shared" si="0"/>
        <v>0</v>
      </c>
      <c r="J30" s="127">
        <f t="shared" si="1"/>
        <v>0</v>
      </c>
      <c r="L30" s="2"/>
      <c r="M30" s="83"/>
      <c r="N30" s="15"/>
      <c r="O30" s="1068"/>
      <c r="P30" s="1062"/>
      <c r="Q30" s="227">
        <f t="shared" si="5"/>
        <v>0</v>
      </c>
      <c r="R30" s="911"/>
      <c r="S30" s="912"/>
      <c r="T30" s="222">
        <f t="shared" si="2"/>
        <v>4478.17</v>
      </c>
      <c r="U30" s="127">
        <f t="shared" si="3"/>
        <v>162</v>
      </c>
    </row>
    <row r="31" spans="1:21" x14ac:dyDescent="0.25">
      <c r="A31" s="2"/>
      <c r="B31" s="83"/>
      <c r="C31" s="15"/>
      <c r="D31" s="1068"/>
      <c r="E31" s="1062"/>
      <c r="F31" s="227">
        <f t="shared" si="4"/>
        <v>0</v>
      </c>
      <c r="G31" s="911"/>
      <c r="H31" s="912"/>
      <c r="I31" s="222">
        <f t="shared" si="0"/>
        <v>0</v>
      </c>
      <c r="J31" s="127">
        <f t="shared" si="1"/>
        <v>0</v>
      </c>
      <c r="L31" s="2"/>
      <c r="M31" s="83"/>
      <c r="N31" s="15"/>
      <c r="O31" s="1068"/>
      <c r="P31" s="1062"/>
      <c r="Q31" s="227">
        <f t="shared" si="5"/>
        <v>0</v>
      </c>
      <c r="R31" s="911"/>
      <c r="S31" s="912"/>
      <c r="T31" s="222">
        <f t="shared" si="2"/>
        <v>4478.17</v>
      </c>
      <c r="U31" s="127">
        <f t="shared" si="3"/>
        <v>162</v>
      </c>
    </row>
    <row r="32" spans="1:21" x14ac:dyDescent="0.25">
      <c r="A32" s="2"/>
      <c r="B32" s="83"/>
      <c r="C32" s="15"/>
      <c r="D32" s="1068"/>
      <c r="E32" s="1062"/>
      <c r="F32" s="227">
        <f t="shared" si="4"/>
        <v>0</v>
      </c>
      <c r="G32" s="911"/>
      <c r="H32" s="912"/>
      <c r="I32" s="222">
        <f t="shared" si="0"/>
        <v>0</v>
      </c>
      <c r="J32" s="127">
        <f t="shared" si="1"/>
        <v>0</v>
      </c>
      <c r="L32" s="2"/>
      <c r="M32" s="83"/>
      <c r="N32" s="15"/>
      <c r="O32" s="1068"/>
      <c r="P32" s="1062"/>
      <c r="Q32" s="227">
        <f t="shared" si="5"/>
        <v>0</v>
      </c>
      <c r="R32" s="911"/>
      <c r="S32" s="912"/>
      <c r="T32" s="222">
        <f t="shared" si="2"/>
        <v>4478.17</v>
      </c>
      <c r="U32" s="127">
        <f t="shared" si="3"/>
        <v>162</v>
      </c>
    </row>
    <row r="33" spans="1:21" x14ac:dyDescent="0.25">
      <c r="A33" s="2"/>
      <c r="B33" s="83"/>
      <c r="C33" s="15"/>
      <c r="D33" s="1068"/>
      <c r="E33" s="1062"/>
      <c r="F33" s="227">
        <f t="shared" si="4"/>
        <v>0</v>
      </c>
      <c r="G33" s="911"/>
      <c r="H33" s="912"/>
      <c r="I33" s="222">
        <f t="shared" si="0"/>
        <v>0</v>
      </c>
      <c r="J33" s="127">
        <f t="shared" si="1"/>
        <v>0</v>
      </c>
      <c r="L33" s="2"/>
      <c r="M33" s="83"/>
      <c r="N33" s="15"/>
      <c r="O33" s="1068"/>
      <c r="P33" s="1062"/>
      <c r="Q33" s="227">
        <f t="shared" si="5"/>
        <v>0</v>
      </c>
      <c r="R33" s="911"/>
      <c r="S33" s="912"/>
      <c r="T33" s="222">
        <f t="shared" si="2"/>
        <v>4478.17</v>
      </c>
      <c r="U33" s="127">
        <f t="shared" si="3"/>
        <v>162</v>
      </c>
    </row>
    <row r="34" spans="1:21" x14ac:dyDescent="0.25">
      <c r="A34" s="2"/>
      <c r="B34" s="83"/>
      <c r="C34" s="15"/>
      <c r="D34" s="1068"/>
      <c r="E34" s="1062"/>
      <c r="F34" s="227">
        <f t="shared" si="4"/>
        <v>0</v>
      </c>
      <c r="G34" s="911"/>
      <c r="H34" s="912"/>
      <c r="I34" s="222">
        <f t="shared" si="0"/>
        <v>0</v>
      </c>
      <c r="J34" s="127">
        <f t="shared" si="1"/>
        <v>0</v>
      </c>
      <c r="L34" s="2"/>
      <c r="M34" s="83"/>
      <c r="N34" s="15"/>
      <c r="O34" s="1068"/>
      <c r="P34" s="1062"/>
      <c r="Q34" s="227">
        <f t="shared" si="5"/>
        <v>0</v>
      </c>
      <c r="R34" s="911"/>
      <c r="S34" s="912"/>
      <c r="T34" s="222">
        <f t="shared" si="2"/>
        <v>4478.17</v>
      </c>
      <c r="U34" s="127">
        <f t="shared" si="3"/>
        <v>162</v>
      </c>
    </row>
    <row r="35" spans="1:21" x14ac:dyDescent="0.25">
      <c r="A35" s="2"/>
      <c r="B35" s="83"/>
      <c r="C35" s="15"/>
      <c r="D35" s="1068"/>
      <c r="E35" s="1062"/>
      <c r="F35" s="227">
        <f t="shared" si="4"/>
        <v>0</v>
      </c>
      <c r="G35" s="911"/>
      <c r="H35" s="912"/>
      <c r="I35" s="222">
        <f t="shared" si="0"/>
        <v>0</v>
      </c>
      <c r="J35" s="127">
        <f t="shared" si="1"/>
        <v>0</v>
      </c>
      <c r="L35" s="2"/>
      <c r="M35" s="83"/>
      <c r="N35" s="15"/>
      <c r="O35" s="1068"/>
      <c r="P35" s="1062"/>
      <c r="Q35" s="227">
        <f t="shared" si="5"/>
        <v>0</v>
      </c>
      <c r="R35" s="911"/>
      <c r="S35" s="912"/>
      <c r="T35" s="222">
        <f t="shared" si="2"/>
        <v>4478.17</v>
      </c>
      <c r="U35" s="127">
        <f t="shared" si="3"/>
        <v>162</v>
      </c>
    </row>
    <row r="36" spans="1:21" x14ac:dyDescent="0.25">
      <c r="A36" s="2"/>
      <c r="B36" s="83"/>
      <c r="C36" s="15"/>
      <c r="D36" s="1068"/>
      <c r="E36" s="1062"/>
      <c r="F36" s="227">
        <f t="shared" si="4"/>
        <v>0</v>
      </c>
      <c r="G36" s="911"/>
      <c r="H36" s="912"/>
      <c r="I36" s="222">
        <f t="shared" si="0"/>
        <v>0</v>
      </c>
      <c r="J36" s="127">
        <f t="shared" si="1"/>
        <v>0</v>
      </c>
      <c r="L36" s="2"/>
      <c r="M36" s="83"/>
      <c r="N36" s="15"/>
      <c r="O36" s="1068"/>
      <c r="P36" s="1062"/>
      <c r="Q36" s="227">
        <f t="shared" si="5"/>
        <v>0</v>
      </c>
      <c r="R36" s="911"/>
      <c r="S36" s="912"/>
      <c r="T36" s="222">
        <f t="shared" si="2"/>
        <v>4478.17</v>
      </c>
      <c r="U36" s="127">
        <f t="shared" si="3"/>
        <v>162</v>
      </c>
    </row>
    <row r="37" spans="1:21" x14ac:dyDescent="0.25">
      <c r="A37" s="2"/>
      <c r="B37" s="83"/>
      <c r="C37" s="15"/>
      <c r="D37" s="1068"/>
      <c r="E37" s="1062"/>
      <c r="F37" s="227">
        <f t="shared" si="4"/>
        <v>0</v>
      </c>
      <c r="G37" s="911"/>
      <c r="H37" s="912"/>
      <c r="I37" s="222">
        <f t="shared" si="0"/>
        <v>0</v>
      </c>
      <c r="J37" s="127">
        <f t="shared" si="1"/>
        <v>0</v>
      </c>
      <c r="L37" s="2"/>
      <c r="M37" s="83"/>
      <c r="N37" s="15"/>
      <c r="O37" s="1068"/>
      <c r="P37" s="1062"/>
      <c r="Q37" s="227">
        <f t="shared" si="5"/>
        <v>0</v>
      </c>
      <c r="R37" s="911"/>
      <c r="S37" s="912"/>
      <c r="T37" s="222">
        <f t="shared" si="2"/>
        <v>4478.17</v>
      </c>
      <c r="U37" s="127">
        <f t="shared" si="3"/>
        <v>162</v>
      </c>
    </row>
    <row r="38" spans="1:21" x14ac:dyDescent="0.25">
      <c r="A38" s="2"/>
      <c r="B38" s="83"/>
      <c r="C38" s="15"/>
      <c r="D38" s="1068"/>
      <c r="E38" s="1062"/>
      <c r="F38" s="227">
        <f t="shared" si="4"/>
        <v>0</v>
      </c>
      <c r="G38" s="911"/>
      <c r="H38" s="912"/>
      <c r="I38" s="222">
        <f t="shared" si="0"/>
        <v>0</v>
      </c>
      <c r="J38" s="127">
        <f t="shared" si="1"/>
        <v>0</v>
      </c>
      <c r="L38" s="2"/>
      <c r="M38" s="83"/>
      <c r="N38" s="15"/>
      <c r="O38" s="1068"/>
      <c r="P38" s="1062"/>
      <c r="Q38" s="227">
        <f t="shared" si="5"/>
        <v>0</v>
      </c>
      <c r="R38" s="911"/>
      <c r="S38" s="912"/>
      <c r="T38" s="222">
        <f t="shared" si="2"/>
        <v>4478.17</v>
      </c>
      <c r="U38" s="127">
        <f t="shared" si="3"/>
        <v>162</v>
      </c>
    </row>
    <row r="39" spans="1:21" x14ac:dyDescent="0.25">
      <c r="A39" s="2"/>
      <c r="B39" s="83"/>
      <c r="C39" s="15"/>
      <c r="D39" s="1068"/>
      <c r="E39" s="1062"/>
      <c r="F39" s="227">
        <f t="shared" si="4"/>
        <v>0</v>
      </c>
      <c r="G39" s="911"/>
      <c r="H39" s="912"/>
      <c r="I39" s="222">
        <f t="shared" si="0"/>
        <v>0</v>
      </c>
      <c r="J39" s="127">
        <f t="shared" si="1"/>
        <v>0</v>
      </c>
      <c r="L39" s="2"/>
      <c r="M39" s="83"/>
      <c r="N39" s="15"/>
      <c r="O39" s="1068"/>
      <c r="P39" s="1062"/>
      <c r="Q39" s="227">
        <f t="shared" si="5"/>
        <v>0</v>
      </c>
      <c r="R39" s="911"/>
      <c r="S39" s="912"/>
      <c r="T39" s="222">
        <f t="shared" si="2"/>
        <v>4478.17</v>
      </c>
      <c r="U39" s="127">
        <f t="shared" si="3"/>
        <v>162</v>
      </c>
    </row>
    <row r="40" spans="1:21" x14ac:dyDescent="0.25">
      <c r="A40" s="2"/>
      <c r="B40" s="83"/>
      <c r="C40" s="15"/>
      <c r="D40" s="156"/>
      <c r="E40" s="325"/>
      <c r="F40" s="69">
        <f t="shared" si="4"/>
        <v>0</v>
      </c>
      <c r="G40" s="70"/>
      <c r="H40" s="71"/>
      <c r="I40" s="222">
        <f t="shared" si="0"/>
        <v>0</v>
      </c>
      <c r="J40" s="127">
        <f t="shared" si="1"/>
        <v>0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4478.17</v>
      </c>
      <c r="U40" s="127">
        <f t="shared" si="3"/>
        <v>162</v>
      </c>
    </row>
    <row r="41" spans="1:21" x14ac:dyDescent="0.25">
      <c r="A41" s="2"/>
      <c r="B41" s="83"/>
      <c r="C41" s="15"/>
      <c r="D41" s="156"/>
      <c r="E41" s="325"/>
      <c r="F41" s="69">
        <f t="shared" si="4"/>
        <v>0</v>
      </c>
      <c r="G41" s="70"/>
      <c r="H41" s="71"/>
      <c r="I41" s="222">
        <f t="shared" si="0"/>
        <v>0</v>
      </c>
      <c r="J41" s="127">
        <f t="shared" si="1"/>
        <v>0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4478.17</v>
      </c>
      <c r="U41" s="127">
        <f t="shared" si="3"/>
        <v>162</v>
      </c>
    </row>
    <row r="42" spans="1:21" x14ac:dyDescent="0.25">
      <c r="A42" s="2"/>
      <c r="B42" s="83"/>
      <c r="C42" s="15"/>
      <c r="D42" s="156"/>
      <c r="E42" s="325"/>
      <c r="F42" s="69">
        <f t="shared" si="4"/>
        <v>0</v>
      </c>
      <c r="G42" s="70"/>
      <c r="H42" s="71"/>
      <c r="I42" s="222">
        <f t="shared" si="0"/>
        <v>0</v>
      </c>
      <c r="J42" s="127">
        <f t="shared" si="1"/>
        <v>0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4478.17</v>
      </c>
      <c r="U42" s="127">
        <f t="shared" si="3"/>
        <v>162</v>
      </c>
    </row>
    <row r="43" spans="1:21" x14ac:dyDescent="0.25">
      <c r="A43" s="2"/>
      <c r="B43" s="83"/>
      <c r="C43" s="15"/>
      <c r="D43" s="156"/>
      <c r="E43" s="325"/>
      <c r="F43" s="69">
        <f t="shared" si="4"/>
        <v>0</v>
      </c>
      <c r="G43" s="70"/>
      <c r="H43" s="71"/>
      <c r="I43" s="222">
        <f t="shared" si="0"/>
        <v>0</v>
      </c>
      <c r="J43" s="127">
        <f t="shared" si="1"/>
        <v>0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4478.17</v>
      </c>
      <c r="U43" s="127">
        <f t="shared" si="3"/>
        <v>162</v>
      </c>
    </row>
    <row r="44" spans="1:21" x14ac:dyDescent="0.25">
      <c r="A44" s="2"/>
      <c r="B44" s="83"/>
      <c r="C44" s="15"/>
      <c r="D44" s="156"/>
      <c r="E44" s="325"/>
      <c r="F44" s="69">
        <f t="shared" si="4"/>
        <v>0</v>
      </c>
      <c r="G44" s="70"/>
      <c r="H44" s="71"/>
      <c r="I44" s="222">
        <f t="shared" si="0"/>
        <v>0</v>
      </c>
      <c r="J44" s="127">
        <f t="shared" si="1"/>
        <v>0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4478.17</v>
      </c>
      <c r="U44" s="127">
        <f t="shared" si="3"/>
        <v>162</v>
      </c>
    </row>
    <row r="45" spans="1:21" x14ac:dyDescent="0.25">
      <c r="A45" s="2"/>
      <c r="B45" s="83"/>
      <c r="C45" s="15"/>
      <c r="D45" s="156"/>
      <c r="E45" s="325"/>
      <c r="F45" s="69">
        <f t="shared" si="4"/>
        <v>0</v>
      </c>
      <c r="G45" s="70"/>
      <c r="H45" s="71"/>
      <c r="I45" s="222">
        <f t="shared" si="0"/>
        <v>0</v>
      </c>
      <c r="J45" s="127">
        <f t="shared" si="1"/>
        <v>0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4478.17</v>
      </c>
      <c r="U45" s="127">
        <f t="shared" si="3"/>
        <v>162</v>
      </c>
    </row>
    <row r="46" spans="1:21" x14ac:dyDescent="0.25">
      <c r="A46" s="2"/>
      <c r="B46" s="83"/>
      <c r="C46" s="15"/>
      <c r="D46" s="156"/>
      <c r="E46" s="325"/>
      <c r="F46" s="69">
        <f t="shared" si="4"/>
        <v>0</v>
      </c>
      <c r="G46" s="70"/>
      <c r="H46" s="71"/>
      <c r="I46" s="222">
        <f t="shared" si="0"/>
        <v>0</v>
      </c>
      <c r="J46" s="127">
        <f t="shared" si="1"/>
        <v>0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4478.17</v>
      </c>
      <c r="U46" s="127">
        <f t="shared" si="3"/>
        <v>162</v>
      </c>
    </row>
    <row r="47" spans="1:21" x14ac:dyDescent="0.25">
      <c r="A47" s="2"/>
      <c r="B47" s="83"/>
      <c r="C47" s="15"/>
      <c r="D47" s="156"/>
      <c r="E47" s="325"/>
      <c r="F47" s="69">
        <f t="shared" si="4"/>
        <v>0</v>
      </c>
      <c r="G47" s="70"/>
      <c r="H47" s="71"/>
      <c r="I47" s="222">
        <f t="shared" si="0"/>
        <v>0</v>
      </c>
      <c r="J47" s="127">
        <f t="shared" si="1"/>
        <v>0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4478.17</v>
      </c>
      <c r="U47" s="127">
        <f t="shared" si="3"/>
        <v>162</v>
      </c>
    </row>
    <row r="48" spans="1:21" x14ac:dyDescent="0.25">
      <c r="A48" s="2"/>
      <c r="B48" s="83"/>
      <c r="C48" s="15"/>
      <c r="D48" s="156"/>
      <c r="E48" s="325"/>
      <c r="F48" s="69">
        <f t="shared" si="4"/>
        <v>0</v>
      </c>
      <c r="G48" s="987"/>
      <c r="H48" s="988"/>
      <c r="I48" s="222">
        <f t="shared" si="0"/>
        <v>0</v>
      </c>
      <c r="J48" s="127">
        <f t="shared" si="1"/>
        <v>0</v>
      </c>
      <c r="L48" s="2"/>
      <c r="M48" s="83"/>
      <c r="N48" s="15"/>
      <c r="O48" s="156"/>
      <c r="P48" s="325"/>
      <c r="Q48" s="69">
        <f t="shared" si="5"/>
        <v>0</v>
      </c>
      <c r="R48" s="987"/>
      <c r="S48" s="988"/>
      <c r="T48" s="222">
        <f t="shared" si="2"/>
        <v>4478.17</v>
      </c>
      <c r="U48" s="127">
        <f t="shared" si="3"/>
        <v>162</v>
      </c>
    </row>
    <row r="49" spans="1:21" x14ac:dyDescent="0.25">
      <c r="A49" s="2"/>
      <c r="B49" s="83"/>
      <c r="C49" s="15"/>
      <c r="D49" s="156"/>
      <c r="E49" s="325"/>
      <c r="F49" s="69">
        <f t="shared" si="4"/>
        <v>0</v>
      </c>
      <c r="G49" s="987"/>
      <c r="H49" s="988"/>
      <c r="I49" s="222">
        <f t="shared" si="0"/>
        <v>0</v>
      </c>
      <c r="J49" s="127">
        <f t="shared" si="1"/>
        <v>0</v>
      </c>
      <c r="L49" s="2"/>
      <c r="M49" s="83"/>
      <c r="N49" s="15"/>
      <c r="O49" s="156"/>
      <c r="P49" s="325"/>
      <c r="Q49" s="69">
        <f t="shared" si="5"/>
        <v>0</v>
      </c>
      <c r="R49" s="987"/>
      <c r="S49" s="988"/>
      <c r="T49" s="222">
        <f t="shared" si="2"/>
        <v>4478.17</v>
      </c>
      <c r="U49" s="127">
        <f t="shared" si="3"/>
        <v>162</v>
      </c>
    </row>
    <row r="50" spans="1:21" x14ac:dyDescent="0.25">
      <c r="A50" s="2"/>
      <c r="B50" s="83"/>
      <c r="C50" s="15"/>
      <c r="D50" s="156"/>
      <c r="E50" s="325"/>
      <c r="F50" s="69">
        <f t="shared" si="4"/>
        <v>0</v>
      </c>
      <c r="G50" s="987"/>
      <c r="H50" s="988"/>
      <c r="I50" s="222">
        <f t="shared" si="0"/>
        <v>0</v>
      </c>
      <c r="J50" s="127">
        <f t="shared" si="1"/>
        <v>0</v>
      </c>
      <c r="L50" s="2"/>
      <c r="M50" s="83"/>
      <c r="N50" s="15"/>
      <c r="O50" s="156"/>
      <c r="P50" s="325"/>
      <c r="Q50" s="69">
        <f t="shared" si="5"/>
        <v>0</v>
      </c>
      <c r="R50" s="987"/>
      <c r="S50" s="988"/>
      <c r="T50" s="222">
        <f t="shared" si="2"/>
        <v>4478.17</v>
      </c>
      <c r="U50" s="127">
        <f t="shared" si="3"/>
        <v>162</v>
      </c>
    </row>
    <row r="51" spans="1:21" ht="12.75" customHeight="1" x14ac:dyDescent="0.25">
      <c r="A51" s="2"/>
      <c r="B51" s="83"/>
      <c r="C51" s="15"/>
      <c r="D51" s="156">
        <v>0</v>
      </c>
      <c r="E51" s="325"/>
      <c r="F51" s="69">
        <f t="shared" si="4"/>
        <v>0</v>
      </c>
      <c r="G51" s="987"/>
      <c r="H51" s="988"/>
      <c r="I51" s="222">
        <f t="shared" si="0"/>
        <v>0</v>
      </c>
      <c r="J51" s="127">
        <f t="shared" si="1"/>
        <v>0</v>
      </c>
      <c r="L51" s="2"/>
      <c r="M51" s="83"/>
      <c r="N51" s="15"/>
      <c r="O51" s="156">
        <v>0</v>
      </c>
      <c r="P51" s="325"/>
      <c r="Q51" s="69">
        <f t="shared" si="5"/>
        <v>0</v>
      </c>
      <c r="R51" s="987"/>
      <c r="S51" s="988"/>
      <c r="T51" s="222">
        <f t="shared" si="2"/>
        <v>4478.17</v>
      </c>
      <c r="U51" s="127">
        <f t="shared" si="3"/>
        <v>162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125</v>
      </c>
      <c r="D53" s="156">
        <v>0</v>
      </c>
      <c r="E53" s="38"/>
      <c r="F53" s="5">
        <f>SUM(F10:F52)</f>
        <v>3243.0899999999997</v>
      </c>
      <c r="N53" s="90">
        <f>SUM(N10:N52)</f>
        <v>40</v>
      </c>
      <c r="O53" s="156">
        <v>0</v>
      </c>
      <c r="P53" s="38"/>
      <c r="Q53" s="5">
        <f>SUM(Q10:Q52)</f>
        <v>1199.94</v>
      </c>
    </row>
    <row r="54" spans="1:21" ht="15.75" thickBot="1" x14ac:dyDescent="0.3">
      <c r="A54" s="51"/>
      <c r="D54" s="156">
        <v>0</v>
      </c>
      <c r="E54" s="68">
        <f>F4+F5+F6-+C53+F7</f>
        <v>0</v>
      </c>
      <c r="F54" s="5"/>
      <c r="L54" s="51"/>
      <c r="O54" s="156">
        <v>0</v>
      </c>
      <c r="P54" s="68">
        <f>Q4+Q5+Q6-+N53+Q7</f>
        <v>162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283" t="s">
        <v>11</v>
      </c>
      <c r="D56" s="1284"/>
      <c r="E56" s="146">
        <f>E5+E4+E6+-F53+E7</f>
        <v>4.5474735088646412E-13</v>
      </c>
      <c r="F56" s="5"/>
      <c r="L56" s="47"/>
      <c r="N56" s="1283" t="s">
        <v>11</v>
      </c>
      <c r="O56" s="1284"/>
      <c r="P56" s="146">
        <f>P5+P4+P6+-Q53+P7</f>
        <v>4478.17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H1" workbookViewId="0">
      <selection activeCell="R13" sqref="R1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97" t="s">
        <v>271</v>
      </c>
      <c r="B1" s="1297"/>
      <c r="C1" s="1297"/>
      <c r="D1" s="1297"/>
      <c r="E1" s="1297"/>
      <c r="F1" s="1297"/>
      <c r="G1" s="1297"/>
      <c r="H1" s="99">
        <v>1</v>
      </c>
      <c r="L1" s="1303" t="s">
        <v>271</v>
      </c>
      <c r="M1" s="1303"/>
      <c r="N1" s="1303"/>
      <c r="O1" s="1303"/>
      <c r="P1" s="1303"/>
      <c r="Q1" s="1303"/>
      <c r="R1" s="1303"/>
      <c r="S1" s="99">
        <v>2</v>
      </c>
      <c r="W1" s="1303" t="s">
        <v>271</v>
      </c>
      <c r="X1" s="1303"/>
      <c r="Y1" s="1303"/>
      <c r="Z1" s="1303"/>
      <c r="AA1" s="1303"/>
      <c r="AB1" s="1303"/>
      <c r="AC1" s="1303"/>
      <c r="AD1" s="99">
        <v>3</v>
      </c>
    </row>
    <row r="2" spans="1:32" ht="15.75" thickBot="1" x14ac:dyDescent="0.3">
      <c r="B2" s="240"/>
      <c r="D2" s="47"/>
      <c r="F2" s="5"/>
      <c r="M2" s="240"/>
      <c r="O2" s="47"/>
      <c r="Q2" s="5"/>
      <c r="X2" s="240"/>
      <c r="Z2" s="47"/>
      <c r="AB2" s="5"/>
    </row>
    <row r="3" spans="1:32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2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2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0"/>
      <c r="D4" s="430"/>
      <c r="E4" s="338"/>
      <c r="F4" s="315"/>
      <c r="G4" s="73"/>
      <c r="N4" s="290"/>
      <c r="O4" s="430"/>
      <c r="P4" s="338"/>
      <c r="Q4" s="315"/>
      <c r="R4" s="73"/>
      <c r="Y4" s="290"/>
      <c r="Z4" s="430"/>
      <c r="AA4" s="338"/>
      <c r="AB4" s="315"/>
      <c r="AC4" s="73"/>
    </row>
    <row r="5" spans="1:32" ht="15" customHeight="1" x14ac:dyDescent="0.25">
      <c r="A5" s="1306" t="s">
        <v>222</v>
      </c>
      <c r="B5" s="1304" t="s">
        <v>265</v>
      </c>
      <c r="C5" s="290">
        <v>108</v>
      </c>
      <c r="D5" s="430">
        <v>44702</v>
      </c>
      <c r="E5" s="338">
        <v>51.08</v>
      </c>
      <c r="F5" s="315">
        <v>5</v>
      </c>
      <c r="G5" s="302"/>
      <c r="H5" s="58">
        <f>E4+E5+E6-G5</f>
        <v>156.01999999999998</v>
      </c>
      <c r="L5" s="1306" t="s">
        <v>357</v>
      </c>
      <c r="M5" s="1304" t="s">
        <v>356</v>
      </c>
      <c r="N5" s="290">
        <v>82</v>
      </c>
      <c r="O5" s="430">
        <v>44718</v>
      </c>
      <c r="P5" s="338">
        <v>500</v>
      </c>
      <c r="Q5" s="315">
        <v>50</v>
      </c>
      <c r="R5" s="302"/>
      <c r="S5" s="58">
        <f>P4+P5+P6-R5</f>
        <v>500</v>
      </c>
      <c r="W5" s="1157" t="s">
        <v>67</v>
      </c>
      <c r="X5" s="1304" t="s">
        <v>356</v>
      </c>
      <c r="Y5" s="290">
        <v>110</v>
      </c>
      <c r="Z5" s="430">
        <v>44740</v>
      </c>
      <c r="AA5" s="338">
        <v>105.79</v>
      </c>
      <c r="AB5" s="315">
        <v>10</v>
      </c>
      <c r="AC5" s="302"/>
      <c r="AD5" s="58">
        <f>AA4+AA5+AA6-AC5</f>
        <v>105.79</v>
      </c>
    </row>
    <row r="6" spans="1:32" ht="16.5" customHeight="1" x14ac:dyDescent="0.25">
      <c r="A6" s="1306"/>
      <c r="B6" s="1305"/>
      <c r="C6" s="290">
        <v>110</v>
      </c>
      <c r="D6" s="430">
        <v>44709</v>
      </c>
      <c r="E6" s="338">
        <v>104.94</v>
      </c>
      <c r="F6" s="315">
        <v>10</v>
      </c>
      <c r="G6" s="243"/>
      <c r="H6" s="240"/>
      <c r="I6" s="240"/>
      <c r="L6" s="1306"/>
      <c r="M6" s="1305"/>
      <c r="N6" s="290"/>
      <c r="O6" s="430"/>
      <c r="P6" s="338"/>
      <c r="Q6" s="315"/>
      <c r="R6" s="243"/>
      <c r="S6" s="240"/>
      <c r="T6" s="240"/>
      <c r="W6" s="1157"/>
      <c r="X6" s="1305"/>
      <c r="Y6" s="290"/>
      <c r="Z6" s="430"/>
      <c r="AA6" s="338"/>
      <c r="AB6" s="315"/>
      <c r="AC6" s="243"/>
      <c r="AD6" s="240"/>
      <c r="AE6" s="240"/>
    </row>
    <row r="7" spans="1:32" ht="15.75" customHeight="1" thickBot="1" x14ac:dyDescent="0.35">
      <c r="A7" s="1306"/>
      <c r="B7" s="1305"/>
      <c r="C7" s="290"/>
      <c r="D7" s="430"/>
      <c r="E7" s="338"/>
      <c r="F7" s="315"/>
      <c r="G7" s="243"/>
      <c r="H7" s="240"/>
      <c r="I7" s="648"/>
      <c r="J7" s="511"/>
      <c r="L7" s="1306"/>
      <c r="M7" s="1305"/>
      <c r="N7" s="290"/>
      <c r="O7" s="430"/>
      <c r="P7" s="338"/>
      <c r="Q7" s="315"/>
      <c r="R7" s="243"/>
      <c r="S7" s="240"/>
      <c r="T7" s="648"/>
      <c r="U7" s="511"/>
      <c r="W7" s="1157"/>
      <c r="X7" s="1305"/>
      <c r="Y7" s="290"/>
      <c r="Z7" s="430"/>
      <c r="AA7" s="338"/>
      <c r="AB7" s="315"/>
      <c r="AC7" s="243"/>
      <c r="AD7" s="240"/>
      <c r="AE7" s="648"/>
      <c r="AF7" s="511"/>
    </row>
    <row r="8" spans="1:32" ht="16.5" customHeight="1" thickTop="1" thickBot="1" x14ac:dyDescent="0.3">
      <c r="A8" s="240"/>
      <c r="B8" s="599"/>
      <c r="C8" s="290"/>
      <c r="D8" s="311"/>
      <c r="E8" s="428"/>
      <c r="F8" s="429"/>
      <c r="G8" s="243"/>
      <c r="H8" s="240"/>
      <c r="I8" s="1301" t="s">
        <v>47</v>
      </c>
      <c r="J8" s="1295" t="s">
        <v>4</v>
      </c>
      <c r="L8" s="240"/>
      <c r="M8" s="599"/>
      <c r="N8" s="290"/>
      <c r="O8" s="311"/>
      <c r="P8" s="428"/>
      <c r="Q8" s="429"/>
      <c r="R8" s="243"/>
      <c r="S8" s="240"/>
      <c r="T8" s="1301" t="s">
        <v>47</v>
      </c>
      <c r="U8" s="1295" t="s">
        <v>4</v>
      </c>
      <c r="W8" s="240"/>
      <c r="X8" s="599"/>
      <c r="Y8" s="290"/>
      <c r="Z8" s="311"/>
      <c r="AA8" s="428"/>
      <c r="AB8" s="429"/>
      <c r="AC8" s="243"/>
      <c r="AD8" s="240"/>
      <c r="AE8" s="1301" t="s">
        <v>47</v>
      </c>
      <c r="AF8" s="1295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9" t="s">
        <v>15</v>
      </c>
      <c r="H9" s="650"/>
      <c r="I9" s="1302"/>
      <c r="J9" s="1296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9" t="s">
        <v>15</v>
      </c>
      <c r="S9" s="650"/>
      <c r="T9" s="1302"/>
      <c r="U9" s="1296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49" t="s">
        <v>15</v>
      </c>
      <c r="AD9" s="650"/>
      <c r="AE9" s="1302"/>
      <c r="AF9" s="1296"/>
    </row>
    <row r="10" spans="1:32" ht="15.75" thickTop="1" x14ac:dyDescent="0.25">
      <c r="A10" s="2"/>
      <c r="B10" s="83"/>
      <c r="C10" s="15">
        <v>1</v>
      </c>
      <c r="D10" s="156">
        <v>10.3</v>
      </c>
      <c r="E10" s="324">
        <v>44704</v>
      </c>
      <c r="F10" s="69">
        <f t="shared" ref="F10:F39" si="0">D10</f>
        <v>10.3</v>
      </c>
      <c r="G10" s="265" t="s">
        <v>237</v>
      </c>
      <c r="H10" s="266">
        <v>110</v>
      </c>
      <c r="I10" s="267">
        <f>E4+E5+E6-F10+E7+E8</f>
        <v>145.71999999999997</v>
      </c>
      <c r="J10" s="268">
        <f>F4+F5+F6+F7-C10+F8</f>
        <v>14</v>
      </c>
      <c r="L10" s="2"/>
      <c r="M10" s="83"/>
      <c r="N10" s="15">
        <v>2</v>
      </c>
      <c r="O10" s="156">
        <v>20</v>
      </c>
      <c r="P10" s="324">
        <v>44718</v>
      </c>
      <c r="Q10" s="69">
        <f t="shared" ref="Q10:Q39" si="1">O10</f>
        <v>20</v>
      </c>
      <c r="R10" s="265" t="s">
        <v>545</v>
      </c>
      <c r="S10" s="266">
        <v>84</v>
      </c>
      <c r="T10" s="267">
        <f>P4+P5+P6-Q10+P7+P8</f>
        <v>480</v>
      </c>
      <c r="U10" s="268">
        <f>Q4+Q5+Q6+Q7-N10+Q8</f>
        <v>48</v>
      </c>
      <c r="W10" s="2"/>
      <c r="X10" s="83"/>
      <c r="Y10" s="15"/>
      <c r="Z10" s="156">
        <v>0</v>
      </c>
      <c r="AA10" s="324"/>
      <c r="AB10" s="69">
        <f t="shared" ref="AB10:AB39" si="2">Z10</f>
        <v>0</v>
      </c>
      <c r="AC10" s="265"/>
      <c r="AD10" s="266"/>
      <c r="AE10" s="267">
        <f>AA4+AA5+AA6-AB10+AA7+AA8</f>
        <v>105.79</v>
      </c>
      <c r="AF10" s="268">
        <f>AB4+AB5+AB6+AB7-Y10+AB8</f>
        <v>10</v>
      </c>
    </row>
    <row r="11" spans="1:32" x14ac:dyDescent="0.25">
      <c r="A11" s="2"/>
      <c r="B11" s="83"/>
      <c r="C11" s="15">
        <v>2</v>
      </c>
      <c r="D11" s="156">
        <v>20.59</v>
      </c>
      <c r="E11" s="731">
        <v>44705</v>
      </c>
      <c r="F11" s="264">
        <f t="shared" si="0"/>
        <v>20.59</v>
      </c>
      <c r="G11" s="265" t="s">
        <v>238</v>
      </c>
      <c r="H11" s="266">
        <v>110</v>
      </c>
      <c r="I11" s="267">
        <f>I10-F11</f>
        <v>125.12999999999997</v>
      </c>
      <c r="J11" s="268">
        <f>J10-C11</f>
        <v>12</v>
      </c>
      <c r="L11" s="2"/>
      <c r="M11" s="83"/>
      <c r="N11" s="15">
        <v>10</v>
      </c>
      <c r="O11" s="156">
        <v>100</v>
      </c>
      <c r="P11" s="731">
        <v>44718</v>
      </c>
      <c r="Q11" s="264">
        <f t="shared" si="1"/>
        <v>100</v>
      </c>
      <c r="R11" s="265" t="s">
        <v>546</v>
      </c>
      <c r="S11" s="266">
        <v>84</v>
      </c>
      <c r="T11" s="267">
        <f>T10-Q11</f>
        <v>380</v>
      </c>
      <c r="U11" s="268">
        <f>U10-N11</f>
        <v>38</v>
      </c>
      <c r="W11" s="2"/>
      <c r="X11" s="83"/>
      <c r="Y11" s="15"/>
      <c r="Z11" s="156">
        <v>0</v>
      </c>
      <c r="AA11" s="731"/>
      <c r="AB11" s="264">
        <f t="shared" si="2"/>
        <v>0</v>
      </c>
      <c r="AC11" s="265"/>
      <c r="AD11" s="266"/>
      <c r="AE11" s="267">
        <f>AE10-AB11</f>
        <v>105.79</v>
      </c>
      <c r="AF11" s="268">
        <f>AF10-Y11</f>
        <v>10</v>
      </c>
    </row>
    <row r="12" spans="1:32" x14ac:dyDescent="0.25">
      <c r="A12" s="80" t="s">
        <v>32</v>
      </c>
      <c r="B12" s="83"/>
      <c r="C12" s="15">
        <v>2</v>
      </c>
      <c r="D12" s="156">
        <v>20.190000000000001</v>
      </c>
      <c r="E12" s="328">
        <v>44705</v>
      </c>
      <c r="F12" s="264">
        <f t="shared" si="0"/>
        <v>20.190000000000001</v>
      </c>
      <c r="G12" s="265" t="s">
        <v>240</v>
      </c>
      <c r="H12" s="266">
        <v>110</v>
      </c>
      <c r="I12" s="267">
        <f t="shared" ref="I12:I37" si="3">I11-F12</f>
        <v>104.93999999999997</v>
      </c>
      <c r="J12" s="268">
        <f t="shared" ref="J12:J37" si="4">J11-C12</f>
        <v>10</v>
      </c>
      <c r="L12" s="80" t="s">
        <v>32</v>
      </c>
      <c r="M12" s="83"/>
      <c r="N12" s="15">
        <v>1</v>
      </c>
      <c r="O12" s="156">
        <v>10</v>
      </c>
      <c r="P12" s="328">
        <v>44719</v>
      </c>
      <c r="Q12" s="264">
        <f t="shared" si="1"/>
        <v>10</v>
      </c>
      <c r="R12" s="265" t="s">
        <v>549</v>
      </c>
      <c r="S12" s="266">
        <v>84</v>
      </c>
      <c r="T12" s="267">
        <f t="shared" ref="T12:T37" si="5">T11-Q12</f>
        <v>370</v>
      </c>
      <c r="U12" s="268">
        <f t="shared" ref="U12:U37" si="6">U11-N12</f>
        <v>37</v>
      </c>
      <c r="W12" s="80" t="s">
        <v>32</v>
      </c>
      <c r="X12" s="83"/>
      <c r="Y12" s="15"/>
      <c r="Z12" s="156">
        <v>0</v>
      </c>
      <c r="AA12" s="328"/>
      <c r="AB12" s="264">
        <f t="shared" si="2"/>
        <v>0</v>
      </c>
      <c r="AC12" s="265"/>
      <c r="AD12" s="266"/>
      <c r="AE12" s="267">
        <f t="shared" ref="AE12:AE37" si="7">AE11-AB12</f>
        <v>105.79</v>
      </c>
      <c r="AF12" s="268">
        <f t="shared" ref="AF12:AF37" si="8">AF11-Y12</f>
        <v>10</v>
      </c>
    </row>
    <row r="13" spans="1:32" x14ac:dyDescent="0.25">
      <c r="A13" s="81"/>
      <c r="B13" s="83"/>
      <c r="C13" s="15">
        <v>1</v>
      </c>
      <c r="D13" s="1068">
        <v>10.57</v>
      </c>
      <c r="E13" s="1070">
        <v>44711</v>
      </c>
      <c r="F13" s="858">
        <f t="shared" si="0"/>
        <v>10.57</v>
      </c>
      <c r="G13" s="422" t="s">
        <v>473</v>
      </c>
      <c r="H13" s="423">
        <v>112</v>
      </c>
      <c r="I13" s="267">
        <f t="shared" si="3"/>
        <v>94.369999999999976</v>
      </c>
      <c r="J13" s="268">
        <f t="shared" si="4"/>
        <v>9</v>
      </c>
      <c r="L13" s="81"/>
      <c r="M13" s="83"/>
      <c r="N13" s="15"/>
      <c r="O13" s="156">
        <v>0</v>
      </c>
      <c r="P13" s="494"/>
      <c r="Q13" s="264">
        <f t="shared" si="1"/>
        <v>0</v>
      </c>
      <c r="R13" s="265"/>
      <c r="S13" s="266"/>
      <c r="T13" s="267">
        <f t="shared" si="5"/>
        <v>370</v>
      </c>
      <c r="U13" s="268">
        <f t="shared" si="6"/>
        <v>37</v>
      </c>
      <c r="W13" s="81"/>
      <c r="X13" s="83"/>
      <c r="Y13" s="15"/>
      <c r="Z13" s="156">
        <v>0</v>
      </c>
      <c r="AA13" s="494"/>
      <c r="AB13" s="264">
        <f t="shared" si="2"/>
        <v>0</v>
      </c>
      <c r="AC13" s="265"/>
      <c r="AD13" s="266"/>
      <c r="AE13" s="267">
        <f t="shared" si="7"/>
        <v>105.79</v>
      </c>
      <c r="AF13" s="268">
        <f t="shared" si="8"/>
        <v>10</v>
      </c>
    </row>
    <row r="14" spans="1:32" x14ac:dyDescent="0.25">
      <c r="A14" s="83"/>
      <c r="B14" s="83"/>
      <c r="C14" s="15">
        <v>5</v>
      </c>
      <c r="D14" s="1068">
        <v>52.24</v>
      </c>
      <c r="E14" s="1070">
        <v>44711</v>
      </c>
      <c r="F14" s="858">
        <f t="shared" si="0"/>
        <v>52.24</v>
      </c>
      <c r="G14" s="422" t="s">
        <v>474</v>
      </c>
      <c r="H14" s="423">
        <v>112</v>
      </c>
      <c r="I14" s="267">
        <f t="shared" si="3"/>
        <v>42.129999999999974</v>
      </c>
      <c r="J14" s="268">
        <f t="shared" si="4"/>
        <v>4</v>
      </c>
      <c r="L14" s="83"/>
      <c r="M14" s="83"/>
      <c r="N14" s="15"/>
      <c r="O14" s="156">
        <v>0</v>
      </c>
      <c r="P14" s="494"/>
      <c r="Q14" s="264">
        <f t="shared" si="1"/>
        <v>0</v>
      </c>
      <c r="R14" s="265"/>
      <c r="S14" s="266"/>
      <c r="T14" s="267">
        <f t="shared" si="5"/>
        <v>370</v>
      </c>
      <c r="U14" s="268">
        <f t="shared" si="6"/>
        <v>37</v>
      </c>
      <c r="W14" s="83"/>
      <c r="X14" s="83"/>
      <c r="Y14" s="15"/>
      <c r="Z14" s="156">
        <v>0</v>
      </c>
      <c r="AA14" s="494"/>
      <c r="AB14" s="264">
        <f t="shared" si="2"/>
        <v>0</v>
      </c>
      <c r="AC14" s="265"/>
      <c r="AD14" s="266"/>
      <c r="AE14" s="267">
        <f t="shared" si="7"/>
        <v>105.79</v>
      </c>
      <c r="AF14" s="268">
        <f t="shared" si="8"/>
        <v>10</v>
      </c>
    </row>
    <row r="15" spans="1:32" x14ac:dyDescent="0.25">
      <c r="A15" s="82" t="s">
        <v>33</v>
      </c>
      <c r="B15" s="83"/>
      <c r="C15" s="15">
        <v>2</v>
      </c>
      <c r="D15" s="1068">
        <v>21.31</v>
      </c>
      <c r="E15" s="1070">
        <v>44711</v>
      </c>
      <c r="F15" s="858">
        <f t="shared" si="0"/>
        <v>21.31</v>
      </c>
      <c r="G15" s="422" t="s">
        <v>476</v>
      </c>
      <c r="H15" s="423">
        <v>112</v>
      </c>
      <c r="I15" s="267">
        <f t="shared" si="3"/>
        <v>20.819999999999975</v>
      </c>
      <c r="J15" s="268">
        <f t="shared" si="4"/>
        <v>2</v>
      </c>
      <c r="L15" s="82" t="s">
        <v>33</v>
      </c>
      <c r="M15" s="83"/>
      <c r="N15" s="15"/>
      <c r="O15" s="156">
        <v>0</v>
      </c>
      <c r="P15" s="494"/>
      <c r="Q15" s="264">
        <f t="shared" si="1"/>
        <v>0</v>
      </c>
      <c r="R15" s="265"/>
      <c r="S15" s="266"/>
      <c r="T15" s="267">
        <f t="shared" si="5"/>
        <v>370</v>
      </c>
      <c r="U15" s="268">
        <f t="shared" si="6"/>
        <v>37</v>
      </c>
      <c r="W15" s="82" t="s">
        <v>33</v>
      </c>
      <c r="X15" s="83"/>
      <c r="Y15" s="15"/>
      <c r="Z15" s="156">
        <v>0</v>
      </c>
      <c r="AA15" s="494"/>
      <c r="AB15" s="264">
        <f t="shared" si="2"/>
        <v>0</v>
      </c>
      <c r="AC15" s="265"/>
      <c r="AD15" s="266"/>
      <c r="AE15" s="267">
        <f t="shared" si="7"/>
        <v>105.79</v>
      </c>
      <c r="AF15" s="268">
        <f t="shared" si="8"/>
        <v>10</v>
      </c>
    </row>
    <row r="16" spans="1:32" x14ac:dyDescent="0.25">
      <c r="A16" s="81"/>
      <c r="B16" s="83"/>
      <c r="C16" s="15">
        <v>2</v>
      </c>
      <c r="D16" s="1068">
        <v>20.82</v>
      </c>
      <c r="E16" s="1059">
        <v>44711</v>
      </c>
      <c r="F16" s="227">
        <f t="shared" si="0"/>
        <v>20.82</v>
      </c>
      <c r="G16" s="422" t="s">
        <v>479</v>
      </c>
      <c r="H16" s="423">
        <v>112</v>
      </c>
      <c r="I16" s="267">
        <f t="shared" si="3"/>
        <v>0</v>
      </c>
      <c r="J16" s="268">
        <f t="shared" si="4"/>
        <v>0</v>
      </c>
      <c r="L16" s="81"/>
      <c r="M16" s="83"/>
      <c r="N16" s="15"/>
      <c r="O16" s="156">
        <v>0</v>
      </c>
      <c r="P16" s="324"/>
      <c r="Q16" s="69">
        <f t="shared" si="1"/>
        <v>0</v>
      </c>
      <c r="R16" s="265"/>
      <c r="S16" s="266"/>
      <c r="T16" s="267">
        <f t="shared" si="5"/>
        <v>370</v>
      </c>
      <c r="U16" s="268">
        <f t="shared" si="6"/>
        <v>37</v>
      </c>
      <c r="W16" s="81"/>
      <c r="X16" s="83"/>
      <c r="Y16" s="15"/>
      <c r="Z16" s="156">
        <v>0</v>
      </c>
      <c r="AA16" s="324"/>
      <c r="AB16" s="69">
        <f t="shared" si="2"/>
        <v>0</v>
      </c>
      <c r="AC16" s="265"/>
      <c r="AD16" s="266"/>
      <c r="AE16" s="267">
        <f t="shared" si="7"/>
        <v>105.79</v>
      </c>
      <c r="AF16" s="268">
        <f t="shared" si="8"/>
        <v>10</v>
      </c>
    </row>
    <row r="17" spans="1:32" x14ac:dyDescent="0.25">
      <c r="A17" s="83"/>
      <c r="B17" s="83"/>
      <c r="C17" s="15"/>
      <c r="D17" s="1068">
        <v>0</v>
      </c>
      <c r="E17" s="1072"/>
      <c r="F17" s="227">
        <f t="shared" si="0"/>
        <v>0</v>
      </c>
      <c r="G17" s="1171"/>
      <c r="H17" s="1172"/>
      <c r="I17" s="1182">
        <f t="shared" si="3"/>
        <v>0</v>
      </c>
      <c r="J17" s="1183">
        <f t="shared" si="4"/>
        <v>0</v>
      </c>
      <c r="L17" s="83"/>
      <c r="M17" s="83"/>
      <c r="N17" s="15"/>
      <c r="O17" s="156">
        <v>0</v>
      </c>
      <c r="P17" s="336"/>
      <c r="Q17" s="69">
        <f t="shared" si="1"/>
        <v>0</v>
      </c>
      <c r="R17" s="265"/>
      <c r="S17" s="266"/>
      <c r="T17" s="267">
        <f t="shared" si="5"/>
        <v>370</v>
      </c>
      <c r="U17" s="268">
        <f t="shared" si="6"/>
        <v>37</v>
      </c>
      <c r="W17" s="83"/>
      <c r="X17" s="83"/>
      <c r="Y17" s="15"/>
      <c r="Z17" s="156">
        <v>0</v>
      </c>
      <c r="AA17" s="336"/>
      <c r="AB17" s="69">
        <f t="shared" si="2"/>
        <v>0</v>
      </c>
      <c r="AC17" s="265"/>
      <c r="AD17" s="266"/>
      <c r="AE17" s="267">
        <f t="shared" si="7"/>
        <v>105.79</v>
      </c>
      <c r="AF17" s="268">
        <f t="shared" si="8"/>
        <v>10</v>
      </c>
    </row>
    <row r="18" spans="1:32" x14ac:dyDescent="0.25">
      <c r="A18" s="2"/>
      <c r="B18" s="83"/>
      <c r="C18" s="15"/>
      <c r="D18" s="1068">
        <f t="shared" ref="D18:D36" si="9">C18*B18</f>
        <v>0</v>
      </c>
      <c r="E18" s="1072"/>
      <c r="F18" s="227">
        <f t="shared" si="0"/>
        <v>0</v>
      </c>
      <c r="G18" s="1184"/>
      <c r="H18" s="1172"/>
      <c r="I18" s="1182">
        <f t="shared" si="3"/>
        <v>0</v>
      </c>
      <c r="J18" s="1183">
        <f t="shared" si="4"/>
        <v>0</v>
      </c>
      <c r="L18" s="2"/>
      <c r="M18" s="83"/>
      <c r="N18" s="15"/>
      <c r="O18" s="156">
        <v>0</v>
      </c>
      <c r="P18" s="336"/>
      <c r="Q18" s="69">
        <f t="shared" si="1"/>
        <v>0</v>
      </c>
      <c r="R18" s="592"/>
      <c r="S18" s="266"/>
      <c r="T18" s="267">
        <f t="shared" si="5"/>
        <v>370</v>
      </c>
      <c r="U18" s="268">
        <f t="shared" si="6"/>
        <v>37</v>
      </c>
      <c r="W18" s="2"/>
      <c r="X18" s="83"/>
      <c r="Y18" s="15"/>
      <c r="Z18" s="156">
        <v>0</v>
      </c>
      <c r="AA18" s="336"/>
      <c r="AB18" s="69">
        <f t="shared" si="2"/>
        <v>0</v>
      </c>
      <c r="AC18" s="592"/>
      <c r="AD18" s="266"/>
      <c r="AE18" s="267">
        <f t="shared" si="7"/>
        <v>105.79</v>
      </c>
      <c r="AF18" s="268">
        <f t="shared" si="8"/>
        <v>10</v>
      </c>
    </row>
    <row r="19" spans="1:32" x14ac:dyDescent="0.25">
      <c r="A19" s="2"/>
      <c r="B19" s="83"/>
      <c r="C19" s="53"/>
      <c r="D19" s="1068">
        <f t="shared" si="9"/>
        <v>0</v>
      </c>
      <c r="E19" s="1072"/>
      <c r="F19" s="227">
        <f t="shared" si="0"/>
        <v>0</v>
      </c>
      <c r="G19" s="1171"/>
      <c r="H19" s="1172"/>
      <c r="I19" s="1182">
        <f t="shared" si="3"/>
        <v>0</v>
      </c>
      <c r="J19" s="1183">
        <f t="shared" si="4"/>
        <v>0</v>
      </c>
      <c r="L19" s="2"/>
      <c r="M19" s="83"/>
      <c r="N19" s="53"/>
      <c r="O19" s="156">
        <v>0</v>
      </c>
      <c r="P19" s="336"/>
      <c r="Q19" s="69">
        <f t="shared" si="1"/>
        <v>0</v>
      </c>
      <c r="R19" s="265"/>
      <c r="S19" s="266"/>
      <c r="T19" s="267">
        <f t="shared" si="5"/>
        <v>370</v>
      </c>
      <c r="U19" s="268">
        <f t="shared" si="6"/>
        <v>37</v>
      </c>
      <c r="W19" s="2"/>
      <c r="X19" s="83"/>
      <c r="Y19" s="53"/>
      <c r="Z19" s="156">
        <v>0</v>
      </c>
      <c r="AA19" s="336"/>
      <c r="AB19" s="69">
        <f t="shared" si="2"/>
        <v>0</v>
      </c>
      <c r="AC19" s="265"/>
      <c r="AD19" s="266"/>
      <c r="AE19" s="267">
        <f t="shared" si="7"/>
        <v>105.79</v>
      </c>
      <c r="AF19" s="268">
        <f t="shared" si="8"/>
        <v>10</v>
      </c>
    </row>
    <row r="20" spans="1:32" x14ac:dyDescent="0.25">
      <c r="A20" s="2"/>
      <c r="B20" s="83"/>
      <c r="C20" s="15"/>
      <c r="D20" s="1068">
        <f t="shared" si="9"/>
        <v>0</v>
      </c>
      <c r="E20" s="1059"/>
      <c r="F20" s="227">
        <f t="shared" si="0"/>
        <v>0</v>
      </c>
      <c r="G20" s="1171"/>
      <c r="H20" s="1172"/>
      <c r="I20" s="1182">
        <f t="shared" si="3"/>
        <v>0</v>
      </c>
      <c r="J20" s="1183">
        <f t="shared" si="4"/>
        <v>0</v>
      </c>
      <c r="L20" s="2"/>
      <c r="M20" s="83"/>
      <c r="N20" s="15"/>
      <c r="O20" s="156">
        <v>0</v>
      </c>
      <c r="P20" s="324"/>
      <c r="Q20" s="69">
        <f t="shared" si="1"/>
        <v>0</v>
      </c>
      <c r="R20" s="265"/>
      <c r="S20" s="266"/>
      <c r="T20" s="267">
        <f t="shared" si="5"/>
        <v>370</v>
      </c>
      <c r="U20" s="268">
        <f t="shared" si="6"/>
        <v>37</v>
      </c>
      <c r="W20" s="2"/>
      <c r="X20" s="83"/>
      <c r="Y20" s="15"/>
      <c r="Z20" s="156">
        <v>0</v>
      </c>
      <c r="AA20" s="324"/>
      <c r="AB20" s="69">
        <f t="shared" si="2"/>
        <v>0</v>
      </c>
      <c r="AC20" s="265"/>
      <c r="AD20" s="266"/>
      <c r="AE20" s="267">
        <f t="shared" si="7"/>
        <v>105.79</v>
      </c>
      <c r="AF20" s="268">
        <f t="shared" si="8"/>
        <v>10</v>
      </c>
    </row>
    <row r="21" spans="1:32" x14ac:dyDescent="0.25">
      <c r="A21" s="2"/>
      <c r="B21" s="83"/>
      <c r="C21" s="15"/>
      <c r="D21" s="1068">
        <f t="shared" si="9"/>
        <v>0</v>
      </c>
      <c r="E21" s="1059"/>
      <c r="F21" s="227">
        <f t="shared" si="0"/>
        <v>0</v>
      </c>
      <c r="G21" s="422"/>
      <c r="H21" s="423"/>
      <c r="I21" s="267">
        <f t="shared" si="3"/>
        <v>0</v>
      </c>
      <c r="J21" s="268">
        <f t="shared" si="4"/>
        <v>0</v>
      </c>
      <c r="L21" s="2"/>
      <c r="M21" s="83"/>
      <c r="N21" s="15"/>
      <c r="O21" s="156">
        <v>0</v>
      </c>
      <c r="P21" s="324"/>
      <c r="Q21" s="69">
        <f t="shared" si="1"/>
        <v>0</v>
      </c>
      <c r="R21" s="265"/>
      <c r="S21" s="266"/>
      <c r="T21" s="267">
        <f t="shared" si="5"/>
        <v>370</v>
      </c>
      <c r="U21" s="268">
        <f t="shared" si="6"/>
        <v>37</v>
      </c>
      <c r="W21" s="2"/>
      <c r="X21" s="83"/>
      <c r="Y21" s="15"/>
      <c r="Z21" s="156">
        <v>0</v>
      </c>
      <c r="AA21" s="324"/>
      <c r="AB21" s="69">
        <f t="shared" si="2"/>
        <v>0</v>
      </c>
      <c r="AC21" s="265"/>
      <c r="AD21" s="266"/>
      <c r="AE21" s="267">
        <f t="shared" si="7"/>
        <v>105.79</v>
      </c>
      <c r="AF21" s="268">
        <f t="shared" si="8"/>
        <v>10</v>
      </c>
    </row>
    <row r="22" spans="1:32" x14ac:dyDescent="0.25">
      <c r="A22" s="2"/>
      <c r="B22" s="83"/>
      <c r="C22" s="15"/>
      <c r="D22" s="1068">
        <f t="shared" si="9"/>
        <v>0</v>
      </c>
      <c r="E22" s="1062"/>
      <c r="F22" s="227">
        <f t="shared" si="0"/>
        <v>0</v>
      </c>
      <c r="G22" s="911"/>
      <c r="H22" s="912"/>
      <c r="I22" s="267">
        <f t="shared" si="3"/>
        <v>0</v>
      </c>
      <c r="J22" s="268">
        <f t="shared" si="4"/>
        <v>0</v>
      </c>
      <c r="L22" s="2"/>
      <c r="M22" s="83"/>
      <c r="N22" s="15"/>
      <c r="O22" s="156">
        <v>0</v>
      </c>
      <c r="P22" s="325"/>
      <c r="Q22" s="69">
        <f t="shared" si="1"/>
        <v>0</v>
      </c>
      <c r="R22" s="70"/>
      <c r="S22" s="71"/>
      <c r="T22" s="267">
        <f t="shared" si="5"/>
        <v>370</v>
      </c>
      <c r="U22" s="268">
        <f t="shared" si="6"/>
        <v>37</v>
      </c>
      <c r="W22" s="2"/>
      <c r="X22" s="83"/>
      <c r="Y22" s="15"/>
      <c r="Z22" s="156">
        <v>0</v>
      </c>
      <c r="AA22" s="325"/>
      <c r="AB22" s="69">
        <f t="shared" si="2"/>
        <v>0</v>
      </c>
      <c r="AC22" s="70"/>
      <c r="AD22" s="71"/>
      <c r="AE22" s="267">
        <f t="shared" si="7"/>
        <v>105.79</v>
      </c>
      <c r="AF22" s="268">
        <f t="shared" si="8"/>
        <v>10</v>
      </c>
    </row>
    <row r="23" spans="1:32" x14ac:dyDescent="0.25">
      <c r="A23" s="2"/>
      <c r="B23" s="83"/>
      <c r="C23" s="15"/>
      <c r="D23" s="1068">
        <f t="shared" si="9"/>
        <v>0</v>
      </c>
      <c r="E23" s="1062"/>
      <c r="F23" s="227">
        <f t="shared" si="0"/>
        <v>0</v>
      </c>
      <c r="G23" s="911"/>
      <c r="H23" s="912"/>
      <c r="I23" s="267">
        <f t="shared" si="3"/>
        <v>0</v>
      </c>
      <c r="J23" s="268">
        <f t="shared" si="4"/>
        <v>0</v>
      </c>
      <c r="L23" s="2"/>
      <c r="M23" s="83"/>
      <c r="N23" s="15"/>
      <c r="O23" s="156">
        <v>0</v>
      </c>
      <c r="P23" s="325"/>
      <c r="Q23" s="69">
        <f t="shared" si="1"/>
        <v>0</v>
      </c>
      <c r="R23" s="70"/>
      <c r="S23" s="71"/>
      <c r="T23" s="267">
        <f t="shared" si="5"/>
        <v>370</v>
      </c>
      <c r="U23" s="268">
        <f t="shared" si="6"/>
        <v>37</v>
      </c>
      <c r="W23" s="2"/>
      <c r="X23" s="83"/>
      <c r="Y23" s="15"/>
      <c r="Z23" s="156">
        <v>0</v>
      </c>
      <c r="AA23" s="325"/>
      <c r="AB23" s="69">
        <f t="shared" si="2"/>
        <v>0</v>
      </c>
      <c r="AC23" s="70"/>
      <c r="AD23" s="71"/>
      <c r="AE23" s="267">
        <f t="shared" si="7"/>
        <v>105.79</v>
      </c>
      <c r="AF23" s="268">
        <f t="shared" si="8"/>
        <v>10</v>
      </c>
    </row>
    <row r="24" spans="1:32" x14ac:dyDescent="0.25">
      <c r="A24" s="2"/>
      <c r="B24" s="83"/>
      <c r="C24" s="15"/>
      <c r="D24" s="1068">
        <f t="shared" si="9"/>
        <v>0</v>
      </c>
      <c r="E24" s="1062"/>
      <c r="F24" s="227">
        <f t="shared" si="0"/>
        <v>0</v>
      </c>
      <c r="G24" s="911"/>
      <c r="H24" s="912"/>
      <c r="I24" s="267">
        <f t="shared" si="3"/>
        <v>0</v>
      </c>
      <c r="J24" s="127">
        <f t="shared" si="4"/>
        <v>0</v>
      </c>
      <c r="L24" s="2"/>
      <c r="M24" s="83"/>
      <c r="N24" s="15"/>
      <c r="O24" s="156">
        <v>0</v>
      </c>
      <c r="P24" s="325"/>
      <c r="Q24" s="69">
        <f t="shared" si="1"/>
        <v>0</v>
      </c>
      <c r="R24" s="70"/>
      <c r="S24" s="71"/>
      <c r="T24" s="267">
        <f t="shared" si="5"/>
        <v>370</v>
      </c>
      <c r="U24" s="127">
        <f t="shared" si="6"/>
        <v>37</v>
      </c>
      <c r="W24" s="2"/>
      <c r="X24" s="83"/>
      <c r="Y24" s="15"/>
      <c r="Z24" s="156">
        <v>0</v>
      </c>
      <c r="AA24" s="325"/>
      <c r="AB24" s="69">
        <f t="shared" si="2"/>
        <v>0</v>
      </c>
      <c r="AC24" s="70"/>
      <c r="AD24" s="71"/>
      <c r="AE24" s="267">
        <f t="shared" si="7"/>
        <v>105.79</v>
      </c>
      <c r="AF24" s="127">
        <f t="shared" si="8"/>
        <v>10</v>
      </c>
    </row>
    <row r="25" spans="1:32" x14ac:dyDescent="0.25">
      <c r="A25" s="2"/>
      <c r="B25" s="83"/>
      <c r="C25" s="15"/>
      <c r="D25" s="1068">
        <f t="shared" si="9"/>
        <v>0</v>
      </c>
      <c r="E25" s="1062"/>
      <c r="F25" s="227">
        <f t="shared" si="0"/>
        <v>0</v>
      </c>
      <c r="G25" s="911"/>
      <c r="H25" s="912"/>
      <c r="I25" s="267">
        <f t="shared" si="3"/>
        <v>0</v>
      </c>
      <c r="J25" s="127">
        <f t="shared" si="4"/>
        <v>0</v>
      </c>
      <c r="L25" s="2"/>
      <c r="M25" s="83"/>
      <c r="N25" s="15"/>
      <c r="O25" s="156">
        <v>0</v>
      </c>
      <c r="P25" s="325"/>
      <c r="Q25" s="69">
        <f t="shared" si="1"/>
        <v>0</v>
      </c>
      <c r="R25" s="70"/>
      <c r="S25" s="71"/>
      <c r="T25" s="267">
        <f t="shared" si="5"/>
        <v>370</v>
      </c>
      <c r="U25" s="127">
        <f t="shared" si="6"/>
        <v>37</v>
      </c>
      <c r="W25" s="2"/>
      <c r="X25" s="83"/>
      <c r="Y25" s="15"/>
      <c r="Z25" s="156">
        <v>0</v>
      </c>
      <c r="AA25" s="325"/>
      <c r="AB25" s="69">
        <f t="shared" si="2"/>
        <v>0</v>
      </c>
      <c r="AC25" s="70"/>
      <c r="AD25" s="71"/>
      <c r="AE25" s="267">
        <f t="shared" si="7"/>
        <v>105.79</v>
      </c>
      <c r="AF25" s="127">
        <f t="shared" si="8"/>
        <v>10</v>
      </c>
    </row>
    <row r="26" spans="1:32" x14ac:dyDescent="0.25">
      <c r="A26" s="2"/>
      <c r="B26" s="83"/>
      <c r="C26" s="15"/>
      <c r="D26" s="1068">
        <f t="shared" si="9"/>
        <v>0</v>
      </c>
      <c r="E26" s="1062"/>
      <c r="F26" s="227">
        <f t="shared" si="0"/>
        <v>0</v>
      </c>
      <c r="G26" s="911"/>
      <c r="H26" s="912"/>
      <c r="I26" s="222">
        <f t="shared" si="3"/>
        <v>0</v>
      </c>
      <c r="J26" s="127">
        <f t="shared" si="4"/>
        <v>0</v>
      </c>
      <c r="L26" s="2"/>
      <c r="M26" s="83"/>
      <c r="N26" s="15"/>
      <c r="O26" s="156">
        <v>0</v>
      </c>
      <c r="P26" s="325"/>
      <c r="Q26" s="69">
        <f t="shared" si="1"/>
        <v>0</v>
      </c>
      <c r="R26" s="70"/>
      <c r="S26" s="71"/>
      <c r="T26" s="222">
        <f t="shared" si="5"/>
        <v>370</v>
      </c>
      <c r="U26" s="127">
        <f t="shared" si="6"/>
        <v>37</v>
      </c>
      <c r="W26" s="2"/>
      <c r="X26" s="83"/>
      <c r="Y26" s="15"/>
      <c r="Z26" s="156">
        <v>0</v>
      </c>
      <c r="AA26" s="325"/>
      <c r="AB26" s="69">
        <f t="shared" si="2"/>
        <v>0</v>
      </c>
      <c r="AC26" s="70"/>
      <c r="AD26" s="71"/>
      <c r="AE26" s="222">
        <f t="shared" si="7"/>
        <v>105.79</v>
      </c>
      <c r="AF26" s="127">
        <f t="shared" si="8"/>
        <v>10</v>
      </c>
    </row>
    <row r="27" spans="1:32" x14ac:dyDescent="0.25">
      <c r="A27" s="2"/>
      <c r="B27" s="83"/>
      <c r="C27" s="15"/>
      <c r="D27" s="1068">
        <f t="shared" si="9"/>
        <v>0</v>
      </c>
      <c r="E27" s="1062"/>
      <c r="F27" s="227">
        <f t="shared" si="0"/>
        <v>0</v>
      </c>
      <c r="G27" s="911"/>
      <c r="H27" s="912"/>
      <c r="I27" s="222">
        <f t="shared" si="3"/>
        <v>0</v>
      </c>
      <c r="J27" s="127">
        <f t="shared" si="4"/>
        <v>0</v>
      </c>
      <c r="L27" s="2"/>
      <c r="M27" s="83"/>
      <c r="N27" s="15"/>
      <c r="O27" s="156">
        <v>0</v>
      </c>
      <c r="P27" s="325"/>
      <c r="Q27" s="69">
        <f t="shared" si="1"/>
        <v>0</v>
      </c>
      <c r="R27" s="70"/>
      <c r="S27" s="71"/>
      <c r="T27" s="222">
        <f t="shared" si="5"/>
        <v>370</v>
      </c>
      <c r="U27" s="127">
        <f t="shared" si="6"/>
        <v>37</v>
      </c>
      <c r="W27" s="2"/>
      <c r="X27" s="83"/>
      <c r="Y27" s="15"/>
      <c r="Z27" s="156">
        <v>0</v>
      </c>
      <c r="AA27" s="325"/>
      <c r="AB27" s="69">
        <f t="shared" si="2"/>
        <v>0</v>
      </c>
      <c r="AC27" s="70"/>
      <c r="AD27" s="71"/>
      <c r="AE27" s="222">
        <f t="shared" si="7"/>
        <v>105.79</v>
      </c>
      <c r="AF27" s="127">
        <f t="shared" si="8"/>
        <v>10</v>
      </c>
    </row>
    <row r="28" spans="1:32" x14ac:dyDescent="0.25">
      <c r="A28" s="2"/>
      <c r="B28" s="83"/>
      <c r="C28" s="15"/>
      <c r="D28" s="1068">
        <f t="shared" si="9"/>
        <v>0</v>
      </c>
      <c r="E28" s="1062"/>
      <c r="F28" s="227">
        <f t="shared" si="0"/>
        <v>0</v>
      </c>
      <c r="G28" s="911"/>
      <c r="H28" s="912"/>
      <c r="I28" s="222">
        <f t="shared" si="3"/>
        <v>0</v>
      </c>
      <c r="J28" s="127">
        <f t="shared" si="4"/>
        <v>0</v>
      </c>
      <c r="L28" s="2"/>
      <c r="M28" s="83"/>
      <c r="N28" s="15"/>
      <c r="O28" s="156">
        <v>0</v>
      </c>
      <c r="P28" s="325"/>
      <c r="Q28" s="69">
        <f t="shared" si="1"/>
        <v>0</v>
      </c>
      <c r="R28" s="70"/>
      <c r="S28" s="71"/>
      <c r="T28" s="222">
        <f t="shared" si="5"/>
        <v>370</v>
      </c>
      <c r="U28" s="127">
        <f t="shared" si="6"/>
        <v>37</v>
      </c>
      <c r="W28" s="2"/>
      <c r="X28" s="83"/>
      <c r="Y28" s="15"/>
      <c r="Z28" s="156">
        <v>0</v>
      </c>
      <c r="AA28" s="325"/>
      <c r="AB28" s="69">
        <f t="shared" si="2"/>
        <v>0</v>
      </c>
      <c r="AC28" s="70"/>
      <c r="AD28" s="71"/>
      <c r="AE28" s="222">
        <f t="shared" si="7"/>
        <v>105.79</v>
      </c>
      <c r="AF28" s="127">
        <f t="shared" si="8"/>
        <v>10</v>
      </c>
    </row>
    <row r="29" spans="1:32" x14ac:dyDescent="0.25">
      <c r="A29" s="2"/>
      <c r="B29" s="83"/>
      <c r="C29" s="15"/>
      <c r="D29" s="156">
        <f t="shared" si="9"/>
        <v>0</v>
      </c>
      <c r="E29" s="992"/>
      <c r="F29" s="69">
        <f t="shared" si="0"/>
        <v>0</v>
      </c>
      <c r="G29" s="70"/>
      <c r="H29" s="71"/>
      <c r="I29" s="222">
        <f t="shared" si="3"/>
        <v>0</v>
      </c>
      <c r="J29" s="127">
        <f t="shared" si="4"/>
        <v>0</v>
      </c>
      <c r="L29" s="2"/>
      <c r="M29" s="83"/>
      <c r="N29" s="15"/>
      <c r="O29" s="156">
        <v>0</v>
      </c>
      <c r="P29" s="325"/>
      <c r="Q29" s="69">
        <f t="shared" si="1"/>
        <v>0</v>
      </c>
      <c r="R29" s="70"/>
      <c r="S29" s="71"/>
      <c r="T29" s="222">
        <f t="shared" si="5"/>
        <v>370</v>
      </c>
      <c r="U29" s="127">
        <f t="shared" si="6"/>
        <v>37</v>
      </c>
      <c r="W29" s="2"/>
      <c r="X29" s="83"/>
      <c r="Y29" s="15"/>
      <c r="Z29" s="156">
        <v>0</v>
      </c>
      <c r="AA29" s="325"/>
      <c r="AB29" s="69">
        <f t="shared" si="2"/>
        <v>0</v>
      </c>
      <c r="AC29" s="70"/>
      <c r="AD29" s="71"/>
      <c r="AE29" s="222">
        <f t="shared" si="7"/>
        <v>105.79</v>
      </c>
      <c r="AF29" s="127">
        <f t="shared" si="8"/>
        <v>10</v>
      </c>
    </row>
    <row r="30" spans="1:32" x14ac:dyDescent="0.25">
      <c r="A30" s="2"/>
      <c r="B30" s="83"/>
      <c r="C30" s="15"/>
      <c r="D30" s="156">
        <f t="shared" si="9"/>
        <v>0</v>
      </c>
      <c r="E30" s="992"/>
      <c r="F30" s="69">
        <f t="shared" si="0"/>
        <v>0</v>
      </c>
      <c r="G30" s="70"/>
      <c r="H30" s="71"/>
      <c r="I30" s="222">
        <f t="shared" si="3"/>
        <v>0</v>
      </c>
      <c r="J30" s="127">
        <f t="shared" si="4"/>
        <v>0</v>
      </c>
      <c r="L30" s="2"/>
      <c r="M30" s="83"/>
      <c r="N30" s="15"/>
      <c r="O30" s="156">
        <v>0</v>
      </c>
      <c r="P30" s="992"/>
      <c r="Q30" s="69">
        <f t="shared" si="1"/>
        <v>0</v>
      </c>
      <c r="R30" s="70"/>
      <c r="S30" s="71"/>
      <c r="T30" s="222">
        <f t="shared" si="5"/>
        <v>370</v>
      </c>
      <c r="U30" s="127">
        <f t="shared" si="6"/>
        <v>37</v>
      </c>
      <c r="W30" s="2"/>
      <c r="X30" s="83"/>
      <c r="Y30" s="15"/>
      <c r="Z30" s="156">
        <v>0</v>
      </c>
      <c r="AA30" s="992"/>
      <c r="AB30" s="69">
        <f t="shared" si="2"/>
        <v>0</v>
      </c>
      <c r="AC30" s="70"/>
      <c r="AD30" s="71"/>
      <c r="AE30" s="222">
        <f t="shared" si="7"/>
        <v>105.79</v>
      </c>
      <c r="AF30" s="127">
        <f t="shared" si="8"/>
        <v>10</v>
      </c>
    </row>
    <row r="31" spans="1:32" x14ac:dyDescent="0.25">
      <c r="A31" s="2"/>
      <c r="B31" s="83"/>
      <c r="C31" s="15"/>
      <c r="D31" s="156">
        <f t="shared" si="9"/>
        <v>0</v>
      </c>
      <c r="E31" s="992"/>
      <c r="F31" s="69">
        <f t="shared" si="0"/>
        <v>0</v>
      </c>
      <c r="G31" s="70"/>
      <c r="H31" s="71"/>
      <c r="I31" s="222">
        <f t="shared" si="3"/>
        <v>0</v>
      </c>
      <c r="J31" s="127">
        <f t="shared" si="4"/>
        <v>0</v>
      </c>
      <c r="L31" s="2"/>
      <c r="M31" s="83"/>
      <c r="N31" s="15"/>
      <c r="O31" s="156">
        <v>0</v>
      </c>
      <c r="P31" s="992"/>
      <c r="Q31" s="69">
        <f t="shared" si="1"/>
        <v>0</v>
      </c>
      <c r="R31" s="70"/>
      <c r="S31" s="71"/>
      <c r="T31" s="222">
        <f t="shared" si="5"/>
        <v>370</v>
      </c>
      <c r="U31" s="127">
        <f t="shared" si="6"/>
        <v>37</v>
      </c>
      <c r="W31" s="2"/>
      <c r="X31" s="83"/>
      <c r="Y31" s="15"/>
      <c r="Z31" s="156">
        <v>0</v>
      </c>
      <c r="AA31" s="992"/>
      <c r="AB31" s="69">
        <f t="shared" si="2"/>
        <v>0</v>
      </c>
      <c r="AC31" s="70"/>
      <c r="AD31" s="71"/>
      <c r="AE31" s="222">
        <f t="shared" si="7"/>
        <v>105.79</v>
      </c>
      <c r="AF31" s="127">
        <f t="shared" si="8"/>
        <v>10</v>
      </c>
    </row>
    <row r="32" spans="1:32" x14ac:dyDescent="0.25">
      <c r="A32" s="2"/>
      <c r="B32" s="83"/>
      <c r="C32" s="15"/>
      <c r="D32" s="156">
        <f t="shared" si="9"/>
        <v>0</v>
      </c>
      <c r="E32" s="992"/>
      <c r="F32" s="69">
        <f t="shared" si="0"/>
        <v>0</v>
      </c>
      <c r="G32" s="265"/>
      <c r="H32" s="266"/>
      <c r="I32" s="267">
        <f t="shared" si="3"/>
        <v>0</v>
      </c>
      <c r="J32" s="268">
        <f t="shared" si="4"/>
        <v>0</v>
      </c>
      <c r="L32" s="2"/>
      <c r="M32" s="83"/>
      <c r="N32" s="15"/>
      <c r="O32" s="156">
        <v>0</v>
      </c>
      <c r="P32" s="992"/>
      <c r="Q32" s="69">
        <f t="shared" si="1"/>
        <v>0</v>
      </c>
      <c r="R32" s="265"/>
      <c r="S32" s="266"/>
      <c r="T32" s="267">
        <f t="shared" si="5"/>
        <v>370</v>
      </c>
      <c r="U32" s="268">
        <f t="shared" si="6"/>
        <v>37</v>
      </c>
      <c r="W32" s="2"/>
      <c r="X32" s="83"/>
      <c r="Y32" s="15"/>
      <c r="Z32" s="156">
        <v>0</v>
      </c>
      <c r="AA32" s="992"/>
      <c r="AB32" s="69">
        <f t="shared" si="2"/>
        <v>0</v>
      </c>
      <c r="AC32" s="265"/>
      <c r="AD32" s="266"/>
      <c r="AE32" s="267">
        <f t="shared" si="7"/>
        <v>105.79</v>
      </c>
      <c r="AF32" s="268">
        <f t="shared" si="8"/>
        <v>10</v>
      </c>
    </row>
    <row r="33" spans="1:32" x14ac:dyDescent="0.25">
      <c r="A33" s="2"/>
      <c r="B33" s="83"/>
      <c r="C33" s="15"/>
      <c r="D33" s="156">
        <f t="shared" si="9"/>
        <v>0</v>
      </c>
      <c r="E33" s="992"/>
      <c r="F33" s="69">
        <f t="shared" si="0"/>
        <v>0</v>
      </c>
      <c r="G33" s="265"/>
      <c r="H33" s="266"/>
      <c r="I33" s="267">
        <f t="shared" si="3"/>
        <v>0</v>
      </c>
      <c r="J33" s="268">
        <f t="shared" si="4"/>
        <v>0</v>
      </c>
      <c r="L33" s="2"/>
      <c r="M33" s="83"/>
      <c r="N33" s="15"/>
      <c r="O33" s="156">
        <v>0</v>
      </c>
      <c r="P33" s="992"/>
      <c r="Q33" s="69">
        <f t="shared" si="1"/>
        <v>0</v>
      </c>
      <c r="R33" s="265"/>
      <c r="S33" s="266"/>
      <c r="T33" s="267">
        <f t="shared" si="5"/>
        <v>370</v>
      </c>
      <c r="U33" s="268">
        <f t="shared" si="6"/>
        <v>37</v>
      </c>
      <c r="W33" s="2"/>
      <c r="X33" s="83"/>
      <c r="Y33" s="15"/>
      <c r="Z33" s="156">
        <v>0</v>
      </c>
      <c r="AA33" s="992"/>
      <c r="AB33" s="69">
        <f t="shared" si="2"/>
        <v>0</v>
      </c>
      <c r="AC33" s="265"/>
      <c r="AD33" s="266"/>
      <c r="AE33" s="267">
        <f t="shared" si="7"/>
        <v>105.79</v>
      </c>
      <c r="AF33" s="268">
        <f t="shared" si="8"/>
        <v>10</v>
      </c>
    </row>
    <row r="34" spans="1:32" x14ac:dyDescent="0.25">
      <c r="A34" s="2"/>
      <c r="B34" s="83"/>
      <c r="C34" s="15"/>
      <c r="D34" s="156">
        <f t="shared" si="9"/>
        <v>0</v>
      </c>
      <c r="E34" s="992"/>
      <c r="F34" s="69">
        <f t="shared" si="0"/>
        <v>0</v>
      </c>
      <c r="G34" s="265"/>
      <c r="H34" s="266"/>
      <c r="I34" s="267">
        <f t="shared" si="3"/>
        <v>0</v>
      </c>
      <c r="J34" s="268">
        <f t="shared" si="4"/>
        <v>0</v>
      </c>
      <c r="L34" s="2"/>
      <c r="M34" s="83"/>
      <c r="N34" s="15"/>
      <c r="O34" s="156">
        <v>0</v>
      </c>
      <c r="P34" s="992"/>
      <c r="Q34" s="69">
        <f t="shared" si="1"/>
        <v>0</v>
      </c>
      <c r="R34" s="265"/>
      <c r="S34" s="266"/>
      <c r="T34" s="267">
        <f t="shared" si="5"/>
        <v>370</v>
      </c>
      <c r="U34" s="268">
        <f t="shared" si="6"/>
        <v>37</v>
      </c>
      <c r="W34" s="2"/>
      <c r="X34" s="83"/>
      <c r="Y34" s="15"/>
      <c r="Z34" s="156">
        <v>0</v>
      </c>
      <c r="AA34" s="992"/>
      <c r="AB34" s="69">
        <f t="shared" si="2"/>
        <v>0</v>
      </c>
      <c r="AC34" s="265"/>
      <c r="AD34" s="266"/>
      <c r="AE34" s="267">
        <f t="shared" si="7"/>
        <v>105.79</v>
      </c>
      <c r="AF34" s="268">
        <f t="shared" si="8"/>
        <v>10</v>
      </c>
    </row>
    <row r="35" spans="1:32" x14ac:dyDescent="0.25">
      <c r="A35" s="2"/>
      <c r="B35" s="83"/>
      <c r="C35" s="15"/>
      <c r="D35" s="156">
        <f t="shared" si="9"/>
        <v>0</v>
      </c>
      <c r="E35" s="992"/>
      <c r="F35" s="69">
        <f t="shared" si="0"/>
        <v>0</v>
      </c>
      <c r="G35" s="265"/>
      <c r="H35" s="266"/>
      <c r="I35" s="267">
        <f t="shared" si="3"/>
        <v>0</v>
      </c>
      <c r="J35" s="268">
        <f t="shared" si="4"/>
        <v>0</v>
      </c>
      <c r="L35" s="2"/>
      <c r="M35" s="83"/>
      <c r="N35" s="15"/>
      <c r="O35" s="156">
        <v>0</v>
      </c>
      <c r="P35" s="992"/>
      <c r="Q35" s="69">
        <f t="shared" si="1"/>
        <v>0</v>
      </c>
      <c r="R35" s="265"/>
      <c r="S35" s="266"/>
      <c r="T35" s="267">
        <f t="shared" si="5"/>
        <v>370</v>
      </c>
      <c r="U35" s="268">
        <f t="shared" si="6"/>
        <v>37</v>
      </c>
      <c r="W35" s="2"/>
      <c r="X35" s="83"/>
      <c r="Y35" s="15"/>
      <c r="Z35" s="156">
        <v>0</v>
      </c>
      <c r="AA35" s="992"/>
      <c r="AB35" s="69">
        <f t="shared" si="2"/>
        <v>0</v>
      </c>
      <c r="AC35" s="265"/>
      <c r="AD35" s="266"/>
      <c r="AE35" s="267">
        <f t="shared" si="7"/>
        <v>105.79</v>
      </c>
      <c r="AF35" s="268">
        <f t="shared" si="8"/>
        <v>10</v>
      </c>
    </row>
    <row r="36" spans="1:32" x14ac:dyDescent="0.25">
      <c r="A36" s="2"/>
      <c r="B36" s="83"/>
      <c r="C36" s="15"/>
      <c r="D36" s="156">
        <f t="shared" si="9"/>
        <v>0</v>
      </c>
      <c r="E36" s="992"/>
      <c r="F36" s="69">
        <f t="shared" si="0"/>
        <v>0</v>
      </c>
      <c r="G36" s="265"/>
      <c r="H36" s="266"/>
      <c r="I36" s="267">
        <f t="shared" si="3"/>
        <v>0</v>
      </c>
      <c r="J36" s="268">
        <f t="shared" si="4"/>
        <v>0</v>
      </c>
      <c r="L36" s="2"/>
      <c r="M36" s="83"/>
      <c r="N36" s="15"/>
      <c r="O36" s="156">
        <v>0</v>
      </c>
      <c r="P36" s="992"/>
      <c r="Q36" s="69">
        <f t="shared" si="1"/>
        <v>0</v>
      </c>
      <c r="R36" s="265"/>
      <c r="S36" s="266"/>
      <c r="T36" s="267">
        <f t="shared" si="5"/>
        <v>370</v>
      </c>
      <c r="U36" s="268">
        <f t="shared" si="6"/>
        <v>37</v>
      </c>
      <c r="W36" s="2"/>
      <c r="X36" s="83"/>
      <c r="Y36" s="15"/>
      <c r="Z36" s="156">
        <v>0</v>
      </c>
      <c r="AA36" s="992"/>
      <c r="AB36" s="69">
        <f t="shared" si="2"/>
        <v>0</v>
      </c>
      <c r="AC36" s="265"/>
      <c r="AD36" s="266"/>
      <c r="AE36" s="267">
        <f t="shared" si="7"/>
        <v>105.79</v>
      </c>
      <c r="AF36" s="268">
        <f t="shared" si="8"/>
        <v>10</v>
      </c>
    </row>
    <row r="37" spans="1:32" ht="14.25" customHeight="1" x14ac:dyDescent="0.25">
      <c r="A37" s="2"/>
      <c r="B37" s="83"/>
      <c r="C37" s="15"/>
      <c r="D37" s="995"/>
      <c r="E37" s="992"/>
      <c r="F37" s="69">
        <f t="shared" si="0"/>
        <v>0</v>
      </c>
      <c r="G37" s="265"/>
      <c r="H37" s="266"/>
      <c r="I37" s="267">
        <f t="shared" si="3"/>
        <v>0</v>
      </c>
      <c r="J37" s="268">
        <f t="shared" si="4"/>
        <v>0</v>
      </c>
      <c r="L37" s="2"/>
      <c r="M37" s="83"/>
      <c r="N37" s="15"/>
      <c r="O37" s="995"/>
      <c r="P37" s="992"/>
      <c r="Q37" s="69">
        <f t="shared" si="1"/>
        <v>0</v>
      </c>
      <c r="R37" s="265"/>
      <c r="S37" s="266"/>
      <c r="T37" s="267">
        <f t="shared" si="5"/>
        <v>370</v>
      </c>
      <c r="U37" s="268">
        <f t="shared" si="6"/>
        <v>37</v>
      </c>
      <c r="W37" s="2"/>
      <c r="X37" s="83"/>
      <c r="Y37" s="15"/>
      <c r="Z37" s="995"/>
      <c r="AA37" s="992"/>
      <c r="AB37" s="69">
        <f t="shared" si="2"/>
        <v>0</v>
      </c>
      <c r="AC37" s="265"/>
      <c r="AD37" s="266"/>
      <c r="AE37" s="267">
        <f t="shared" si="7"/>
        <v>105.79</v>
      </c>
      <c r="AF37" s="268">
        <f t="shared" si="8"/>
        <v>10</v>
      </c>
    </row>
    <row r="38" spans="1:32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  <c r="W38" s="4"/>
      <c r="X38" s="83"/>
      <c r="Y38" s="37"/>
      <c r="Z38" s="198">
        <v>0</v>
      </c>
      <c r="AA38" s="162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15</v>
      </c>
      <c r="D39" s="156">
        <v>0</v>
      </c>
      <c r="E39" s="38"/>
      <c r="F39" s="69">
        <f t="shared" si="0"/>
        <v>0</v>
      </c>
      <c r="N39" s="90">
        <f>SUM(N10:N38)</f>
        <v>13</v>
      </c>
      <c r="O39" s="156">
        <v>0</v>
      </c>
      <c r="P39" s="38"/>
      <c r="Q39" s="69">
        <f t="shared" si="1"/>
        <v>0</v>
      </c>
      <c r="Y39" s="90">
        <f>SUM(Y10:Y38)</f>
        <v>0</v>
      </c>
      <c r="Z39" s="156">
        <v>0</v>
      </c>
      <c r="AA39" s="38"/>
      <c r="AB39" s="69">
        <f t="shared" si="2"/>
        <v>0</v>
      </c>
    </row>
    <row r="40" spans="1:32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37</v>
      </c>
      <c r="Q40" s="5"/>
      <c r="W40" s="51"/>
      <c r="Z40" s="156">
        <v>0</v>
      </c>
      <c r="AA40" s="68">
        <f>AB4+AB5+AB6-+Y39</f>
        <v>10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283" t="s">
        <v>11</v>
      </c>
      <c r="D42" s="1284"/>
      <c r="E42" s="146">
        <f>E5+E4+E6+-F39</f>
        <v>156.01999999999998</v>
      </c>
      <c r="F42" s="5"/>
      <c r="L42" s="47"/>
      <c r="N42" s="1283" t="s">
        <v>11</v>
      </c>
      <c r="O42" s="1284"/>
      <c r="P42" s="146">
        <f>P5+P4+P6+-Q39</f>
        <v>500</v>
      </c>
      <c r="Q42" s="5"/>
      <c r="W42" s="47"/>
      <c r="Y42" s="1283" t="s">
        <v>11</v>
      </c>
      <c r="Z42" s="1284"/>
      <c r="AA42" s="146">
        <f>AA5+AA4+AA6+-AB39</f>
        <v>105.79</v>
      </c>
      <c r="AB42" s="5"/>
    </row>
  </sheetData>
  <mergeCells count="17"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  <mergeCell ref="Y42:Z42"/>
    <mergeCell ref="W1:AC1"/>
    <mergeCell ref="X5:X7"/>
    <mergeCell ref="AE8:AE9"/>
    <mergeCell ref="AF8:AF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52"/>
      <c r="B1" s="1252"/>
      <c r="C1" s="1252"/>
      <c r="D1" s="1252"/>
      <c r="E1" s="1252"/>
      <c r="F1" s="1252"/>
      <c r="G1" s="125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62"/>
      <c r="F4" s="313"/>
    </row>
    <row r="5" spans="1:10" ht="15" customHeight="1" x14ac:dyDescent="0.25">
      <c r="A5" s="1309"/>
      <c r="B5" s="1311" t="s">
        <v>81</v>
      </c>
      <c r="C5" s="247"/>
      <c r="D5" s="311"/>
      <c r="E5" s="763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309"/>
      <c r="B6" s="1312"/>
      <c r="C6" s="247"/>
      <c r="D6" s="311"/>
      <c r="E6" s="763"/>
      <c r="F6" s="315"/>
      <c r="G6" s="302"/>
      <c r="H6" s="58"/>
    </row>
    <row r="7" spans="1:10" ht="16.5" customHeight="1" thickTop="1" thickBot="1" x14ac:dyDescent="0.3">
      <c r="A7" s="1310"/>
      <c r="B7" s="1313"/>
      <c r="C7" s="247"/>
      <c r="D7" s="311"/>
      <c r="E7" s="762"/>
      <c r="F7" s="313"/>
      <c r="G7" s="240"/>
      <c r="I7" s="1314" t="s">
        <v>3</v>
      </c>
      <c r="J7" s="1307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315"/>
      <c r="J8" s="1308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01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01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01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03"/>
      <c r="H15" s="801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03"/>
      <c r="H16" s="801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03"/>
      <c r="H17" s="801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04"/>
      <c r="H18" s="801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03"/>
      <c r="H19" s="801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01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01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01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01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01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01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01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83" t="s">
        <v>11</v>
      </c>
      <c r="D101" s="1284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52"/>
      <c r="B1" s="1252"/>
      <c r="C1" s="1252"/>
      <c r="D1" s="1252"/>
      <c r="E1" s="1252"/>
      <c r="F1" s="1252"/>
      <c r="G1" s="125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62"/>
      <c r="F4" s="313"/>
    </row>
    <row r="5" spans="1:11" ht="16.5" thickBot="1" x14ac:dyDescent="0.3">
      <c r="A5" s="1309"/>
      <c r="B5" s="1311" t="s">
        <v>84</v>
      </c>
      <c r="C5" s="909"/>
      <c r="D5" s="934"/>
      <c r="E5" s="763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310"/>
      <c r="B6" s="1313"/>
      <c r="C6" s="247"/>
      <c r="D6" s="311"/>
      <c r="E6" s="762"/>
      <c r="F6" s="313"/>
      <c r="G6" s="240"/>
      <c r="I6" s="1314" t="s">
        <v>3</v>
      </c>
      <c r="J6" s="130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15"/>
      <c r="J7" s="1308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2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83" t="s">
        <v>11</v>
      </c>
      <c r="D100" s="1284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52"/>
      <c r="B1" s="1252"/>
      <c r="C1" s="1252"/>
      <c r="D1" s="1252"/>
      <c r="E1" s="1252"/>
      <c r="F1" s="1252"/>
      <c r="G1" s="125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279"/>
      <c r="B5" s="1316" t="s">
        <v>76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280"/>
      <c r="B6" s="1317"/>
      <c r="C6" s="247"/>
      <c r="D6" s="311"/>
      <c r="E6" s="314"/>
      <c r="F6" s="315"/>
      <c r="G6" s="240"/>
      <c r="I6" s="1314" t="s">
        <v>3</v>
      </c>
      <c r="J6" s="130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15"/>
      <c r="J7" s="1308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1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1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1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00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83" t="s">
        <v>11</v>
      </c>
      <c r="D33" s="1284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52" t="s">
        <v>267</v>
      </c>
      <c r="B1" s="1252"/>
      <c r="C1" s="1252"/>
      <c r="D1" s="1252"/>
      <c r="E1" s="1252"/>
      <c r="F1" s="1252"/>
      <c r="G1" s="12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280</v>
      </c>
      <c r="B5" s="1253" t="s">
        <v>225</v>
      </c>
      <c r="C5" s="563">
        <v>65</v>
      </c>
      <c r="D5" s="248">
        <v>44711</v>
      </c>
      <c r="E5" s="267">
        <v>5018.1099999999997</v>
      </c>
      <c r="F5" s="253">
        <v>174</v>
      </c>
      <c r="G5" s="260"/>
    </row>
    <row r="6" spans="1:9" x14ac:dyDescent="0.25">
      <c r="A6" s="580"/>
      <c r="B6" s="1253"/>
      <c r="C6" s="271"/>
      <c r="D6" s="248"/>
      <c r="E6" s="259"/>
      <c r="F6" s="253"/>
      <c r="G6" s="262">
        <f>F78</f>
        <v>5018.1099999999997</v>
      </c>
      <c r="H6" s="7">
        <f>E6-G6+E7+E5-G5</f>
        <v>0</v>
      </c>
    </row>
    <row r="7" spans="1:9" ht="15.75" thickBot="1" x14ac:dyDescent="0.3">
      <c r="A7" s="240"/>
      <c r="B7" s="272"/>
      <c r="C7" s="735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>
        <v>174</v>
      </c>
      <c r="D9" s="264">
        <v>5018.1099999999997</v>
      </c>
      <c r="E9" s="293">
        <v>44712</v>
      </c>
      <c r="F9" s="264">
        <f t="shared" ref="F9:F10" si="0">D9</f>
        <v>5018.1099999999997</v>
      </c>
      <c r="G9" s="265" t="s">
        <v>481</v>
      </c>
      <c r="H9" s="266">
        <v>67</v>
      </c>
      <c r="I9" s="275">
        <f>E6-F9+E5+E7+E4</f>
        <v>0</v>
      </c>
    </row>
    <row r="10" spans="1:9" x14ac:dyDescent="0.25">
      <c r="A10" s="207"/>
      <c r="B10" s="83">
        <f>B9-C10</f>
        <v>0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0</v>
      </c>
    </row>
    <row r="16" spans="1:9" x14ac:dyDescent="0.25">
      <c r="B16" s="83">
        <f t="shared" si="1"/>
        <v>0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0</v>
      </c>
    </row>
    <row r="17" spans="1:9" x14ac:dyDescent="0.25">
      <c r="B17" s="83">
        <f t="shared" si="1"/>
        <v>0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0</v>
      </c>
    </row>
    <row r="22" spans="1:9" x14ac:dyDescent="0.25">
      <c r="A22" s="122"/>
      <c r="B22" s="281">
        <f t="shared" si="1"/>
        <v>0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0</v>
      </c>
    </row>
    <row r="23" spans="1:9" x14ac:dyDescent="0.25">
      <c r="A23" s="123"/>
      <c r="B23" s="281">
        <f t="shared" si="1"/>
        <v>0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0</v>
      </c>
    </row>
    <row r="24" spans="1:9" x14ac:dyDescent="0.25">
      <c r="A24" s="122"/>
      <c r="B24" s="281">
        <f t="shared" si="1"/>
        <v>0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0</v>
      </c>
    </row>
    <row r="25" spans="1:9" x14ac:dyDescent="0.25">
      <c r="A25" s="122"/>
      <c r="B25" s="281">
        <f t="shared" si="1"/>
        <v>0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0</v>
      </c>
    </row>
    <row r="27" spans="1:9" x14ac:dyDescent="0.25">
      <c r="A27" s="122"/>
      <c r="B27" s="281">
        <f t="shared" si="1"/>
        <v>0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0</v>
      </c>
    </row>
    <row r="29" spans="1:9" x14ac:dyDescent="0.25">
      <c r="A29" s="122"/>
      <c r="B29" s="281">
        <f t="shared" si="1"/>
        <v>0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0</v>
      </c>
    </row>
    <row r="30" spans="1:9" x14ac:dyDescent="0.25">
      <c r="A30" s="122"/>
      <c r="B30" s="281">
        <f t="shared" si="1"/>
        <v>0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0</v>
      </c>
    </row>
    <row r="31" spans="1:9" x14ac:dyDescent="0.25">
      <c r="A31" s="122"/>
      <c r="B31" s="281">
        <f t="shared" si="1"/>
        <v>0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0</v>
      </c>
    </row>
    <row r="32" spans="1:9" x14ac:dyDescent="0.25">
      <c r="A32" s="122"/>
      <c r="B32" s="281">
        <f t="shared" si="1"/>
        <v>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0</v>
      </c>
    </row>
    <row r="33" spans="1:9" x14ac:dyDescent="0.25">
      <c r="A33" s="122"/>
      <c r="B33" s="281">
        <f t="shared" si="1"/>
        <v>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0</v>
      </c>
    </row>
    <row r="34" spans="1:9" x14ac:dyDescent="0.25">
      <c r="A34" s="122"/>
      <c r="B34" s="281">
        <f t="shared" si="1"/>
        <v>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0</v>
      </c>
    </row>
    <row r="35" spans="1:9" x14ac:dyDescent="0.25">
      <c r="A35" s="122"/>
      <c r="B35" s="281">
        <f t="shared" si="1"/>
        <v>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0</v>
      </c>
    </row>
    <row r="36" spans="1:9" x14ac:dyDescent="0.25">
      <c r="A36" s="122" t="s">
        <v>22</v>
      </c>
      <c r="B36" s="281">
        <f t="shared" si="1"/>
        <v>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0</v>
      </c>
    </row>
    <row r="37" spans="1:9" x14ac:dyDescent="0.25">
      <c r="A37" s="123"/>
      <c r="B37" s="281">
        <f t="shared" si="1"/>
        <v>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0</v>
      </c>
    </row>
    <row r="38" spans="1:9" x14ac:dyDescent="0.25">
      <c r="A38" s="122"/>
      <c r="B38" s="281">
        <f t="shared" si="1"/>
        <v>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0</v>
      </c>
    </row>
    <row r="55" spans="1:9" x14ac:dyDescent="0.25">
      <c r="A55" s="122"/>
      <c r="B55" s="12">
        <f>B54-C55</f>
        <v>0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174</v>
      </c>
      <c r="D78" s="6">
        <f>SUM(D9:D77)</f>
        <v>5018.1099999999997</v>
      </c>
      <c r="F78" s="6">
        <f>SUM(F9:F77)</f>
        <v>5018.1099999999997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54" t="s">
        <v>11</v>
      </c>
      <c r="D83" s="1255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52"/>
      <c r="B1" s="1252"/>
      <c r="C1" s="1252"/>
      <c r="D1" s="1252"/>
      <c r="E1" s="1252"/>
      <c r="F1" s="1252"/>
      <c r="G1" s="125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2"/>
      <c r="B4" s="1318" t="s">
        <v>79</v>
      </c>
      <c r="C4" s="66"/>
      <c r="D4" s="245"/>
      <c r="E4" s="191"/>
      <c r="F4" s="144"/>
    </row>
    <row r="5" spans="1:10" ht="16.5" customHeight="1" thickBot="1" x14ac:dyDescent="0.3">
      <c r="A5" s="492" t="s">
        <v>52</v>
      </c>
      <c r="B5" s="1319"/>
      <c r="C5" s="247"/>
      <c r="D5" s="245"/>
      <c r="E5" s="491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3"/>
      <c r="B6" s="1320"/>
      <c r="C6" s="247"/>
      <c r="D6" s="245"/>
      <c r="E6" s="447"/>
      <c r="F6" s="268"/>
      <c r="G6" s="240"/>
      <c r="H6" s="240"/>
      <c r="I6" s="1314" t="s">
        <v>3</v>
      </c>
      <c r="J6" s="1307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15"/>
      <c r="J7" s="1321"/>
    </row>
    <row r="8" spans="1:10" ht="15.75" thickTop="1" x14ac:dyDescent="0.25">
      <c r="A8" s="80" t="s">
        <v>32</v>
      </c>
      <c r="B8" s="611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1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1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1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1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1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1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1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1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1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1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1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1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1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1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1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1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1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1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1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1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1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1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1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64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1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83" t="s">
        <v>11</v>
      </c>
      <c r="D36" s="1284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A16" workbookViewId="0">
      <selection activeCell="G32" sqref="G3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22" t="s">
        <v>278</v>
      </c>
      <c r="B1" s="1322"/>
      <c r="C1" s="1322"/>
      <c r="D1" s="1322"/>
      <c r="E1" s="1322"/>
      <c r="F1" s="1322"/>
      <c r="G1" s="1322"/>
      <c r="H1" s="356">
        <v>1</v>
      </c>
      <c r="I1" s="568"/>
      <c r="L1" s="1245" t="s">
        <v>127</v>
      </c>
      <c r="M1" s="1245"/>
      <c r="N1" s="1245"/>
      <c r="O1" s="1245"/>
      <c r="P1" s="1245"/>
      <c r="Q1" s="1245"/>
      <c r="R1" s="1245"/>
      <c r="S1" s="356">
        <v>2</v>
      </c>
      <c r="T1" s="568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6"/>
      <c r="L2" s="75"/>
      <c r="M2" s="75"/>
      <c r="N2" s="75"/>
      <c r="O2" s="75"/>
      <c r="P2" s="75"/>
      <c r="Q2" s="75"/>
      <c r="R2" s="75"/>
      <c r="S2" s="75"/>
      <c r="T2" s="566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69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69"/>
    </row>
    <row r="4" spans="1:21" ht="15.75" customHeight="1" thickTop="1" x14ac:dyDescent="0.25">
      <c r="A4" s="75"/>
      <c r="B4" s="75"/>
      <c r="C4" s="563"/>
      <c r="D4" s="248"/>
      <c r="E4" s="246"/>
      <c r="F4" s="243"/>
      <c r="G4" s="791"/>
      <c r="H4" s="153"/>
      <c r="I4" s="573"/>
      <c r="L4" s="75"/>
      <c r="M4" s="75"/>
      <c r="N4" s="563"/>
      <c r="O4" s="248"/>
      <c r="P4" s="246"/>
      <c r="Q4" s="243"/>
      <c r="R4" s="1013"/>
      <c r="S4" s="153"/>
      <c r="T4" s="573"/>
    </row>
    <row r="5" spans="1:21" ht="15" customHeight="1" x14ac:dyDescent="0.25">
      <c r="A5" s="914"/>
      <c r="B5" s="1323" t="s">
        <v>83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2887.18</v>
      </c>
      <c r="H5" s="138">
        <f>E5-G5</f>
        <v>-2382.2999999999997</v>
      </c>
      <c r="I5" s="570"/>
      <c r="L5" s="1010"/>
      <c r="M5" s="1323" t="s">
        <v>83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0</v>
      </c>
      <c r="S5" s="138">
        <f>P5-R5</f>
        <v>1001.73</v>
      </c>
      <c r="T5" s="570"/>
    </row>
    <row r="6" spans="1:21" ht="15.75" thickBot="1" x14ac:dyDescent="0.3">
      <c r="A6" s="250" t="s">
        <v>52</v>
      </c>
      <c r="B6" s="1324"/>
      <c r="C6" s="566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324"/>
      <c r="N6" s="566">
        <v>72</v>
      </c>
      <c r="O6" s="248">
        <v>44734</v>
      </c>
      <c r="P6" s="75">
        <v>2026.96</v>
      </c>
      <c r="Q6" s="73">
        <v>73</v>
      </c>
      <c r="R6" s="243"/>
      <c r="S6" s="242"/>
      <c r="T6" s="322"/>
    </row>
    <row r="7" spans="1:21" ht="14.25" customHeight="1" thickBot="1" x14ac:dyDescent="0.3">
      <c r="A7" s="250"/>
      <c r="B7" s="699"/>
      <c r="C7" s="566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699"/>
      <c r="N7" s="566">
        <v>74</v>
      </c>
      <c r="O7" s="248">
        <v>44740</v>
      </c>
      <c r="P7" s="75">
        <v>1810.96</v>
      </c>
      <c r="Q7" s="73">
        <v>63</v>
      </c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1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1"/>
    </row>
    <row r="9" spans="1:21" ht="15.75" thickTop="1" x14ac:dyDescent="0.25">
      <c r="A9" s="910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115</v>
      </c>
      <c r="H9" s="71">
        <v>70</v>
      </c>
      <c r="I9" s="566">
        <f>E4+E5+E6-F9+E7</f>
        <v>3854.52</v>
      </c>
      <c r="J9" s="60">
        <f>H9*F9</f>
        <v>4179.7</v>
      </c>
      <c r="L9" s="910"/>
      <c r="M9" s="195">
        <f>Q4+Q5+Q6-N9+Q7</f>
        <v>172</v>
      </c>
      <c r="N9" s="15"/>
      <c r="O9" s="69"/>
      <c r="P9" s="336"/>
      <c r="Q9" s="279">
        <f>O9</f>
        <v>0</v>
      </c>
      <c r="R9" s="70"/>
      <c r="S9" s="71"/>
      <c r="T9" s="566">
        <f>P4+P5+P6-Q9+P7</f>
        <v>4839.6499999999996</v>
      </c>
      <c r="U9" s="60">
        <f>S9*Q9</f>
        <v>0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4">
        <v>44676</v>
      </c>
      <c r="F10" s="279">
        <f t="shared" ref="F10:F38" si="0">D10</f>
        <v>117.35</v>
      </c>
      <c r="G10" s="265" t="s">
        <v>113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172</v>
      </c>
      <c r="N10" s="15"/>
      <c r="O10" s="69"/>
      <c r="P10" s="494"/>
      <c r="Q10" s="279">
        <f t="shared" ref="Q10:Q38" si="2">O10</f>
        <v>0</v>
      </c>
      <c r="R10" s="265"/>
      <c r="S10" s="266"/>
      <c r="T10" s="322">
        <f>T9-Q10</f>
        <v>4839.6499999999996</v>
      </c>
      <c r="U10" s="60">
        <f t="shared" ref="U10:U37" si="3">S10*Q10</f>
        <v>0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4">
        <v>44677</v>
      </c>
      <c r="F11" s="279">
        <f t="shared" si="0"/>
        <v>327.82</v>
      </c>
      <c r="G11" s="265" t="s">
        <v>118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172</v>
      </c>
      <c r="N11" s="15"/>
      <c r="O11" s="69"/>
      <c r="P11" s="494"/>
      <c r="Q11" s="279">
        <f t="shared" si="2"/>
        <v>0</v>
      </c>
      <c r="R11" s="265"/>
      <c r="S11" s="266"/>
      <c r="T11" s="322">
        <f t="shared" ref="T11:T38" si="7">T10-Q11</f>
        <v>4839.6499999999996</v>
      </c>
      <c r="U11" s="60">
        <f t="shared" si="3"/>
        <v>0</v>
      </c>
    </row>
    <row r="12" spans="1:21" x14ac:dyDescent="0.25">
      <c r="A12" s="910"/>
      <c r="B12" s="195">
        <f t="shared" si="4"/>
        <v>123</v>
      </c>
      <c r="C12" s="15">
        <v>1</v>
      </c>
      <c r="D12" s="986">
        <v>29.64</v>
      </c>
      <c r="E12" s="1002">
        <v>44686</v>
      </c>
      <c r="F12" s="1003">
        <f t="shared" si="0"/>
        <v>29.64</v>
      </c>
      <c r="G12" s="990" t="s">
        <v>137</v>
      </c>
      <c r="H12" s="991">
        <v>70</v>
      </c>
      <c r="I12" s="322">
        <f t="shared" si="5"/>
        <v>3379.71</v>
      </c>
      <c r="J12" s="60">
        <f t="shared" si="1"/>
        <v>2074.8000000000002</v>
      </c>
      <c r="L12" s="910"/>
      <c r="M12" s="195">
        <f t="shared" si="6"/>
        <v>172</v>
      </c>
      <c r="N12" s="15"/>
      <c r="O12" s="69"/>
      <c r="P12" s="494"/>
      <c r="Q12" s="279">
        <f t="shared" si="2"/>
        <v>0</v>
      </c>
      <c r="R12" s="265"/>
      <c r="S12" s="266"/>
      <c r="T12" s="322">
        <f t="shared" si="7"/>
        <v>4839.6499999999996</v>
      </c>
      <c r="U12" s="60">
        <f t="shared" si="3"/>
        <v>0</v>
      </c>
    </row>
    <row r="13" spans="1:21" x14ac:dyDescent="0.25">
      <c r="A13" s="242"/>
      <c r="B13" s="195">
        <f t="shared" si="4"/>
        <v>119</v>
      </c>
      <c r="C13" s="15">
        <v>4</v>
      </c>
      <c r="D13" s="986">
        <v>113.83</v>
      </c>
      <c r="E13" s="1002">
        <v>44686</v>
      </c>
      <c r="F13" s="1003">
        <f t="shared" si="0"/>
        <v>113.83</v>
      </c>
      <c r="G13" s="990" t="s">
        <v>140</v>
      </c>
      <c r="H13" s="991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172</v>
      </c>
      <c r="N13" s="15"/>
      <c r="O13" s="69"/>
      <c r="P13" s="494"/>
      <c r="Q13" s="279">
        <f t="shared" si="2"/>
        <v>0</v>
      </c>
      <c r="R13" s="265"/>
      <c r="S13" s="266"/>
      <c r="T13" s="322">
        <f t="shared" si="7"/>
        <v>4839.6499999999996</v>
      </c>
      <c r="U13" s="301">
        <f t="shared" si="3"/>
        <v>0</v>
      </c>
    </row>
    <row r="14" spans="1:21" x14ac:dyDescent="0.25">
      <c r="A14" s="242"/>
      <c r="B14" s="195">
        <f t="shared" si="4"/>
        <v>111</v>
      </c>
      <c r="C14" s="15">
        <v>8</v>
      </c>
      <c r="D14" s="986">
        <v>204.56</v>
      </c>
      <c r="E14" s="1002">
        <v>44687</v>
      </c>
      <c r="F14" s="1003">
        <f t="shared" si="0"/>
        <v>204.56</v>
      </c>
      <c r="G14" s="990" t="s">
        <v>139</v>
      </c>
      <c r="H14" s="991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172</v>
      </c>
      <c r="N14" s="15"/>
      <c r="O14" s="69"/>
      <c r="P14" s="494"/>
      <c r="Q14" s="279">
        <f t="shared" si="2"/>
        <v>0</v>
      </c>
      <c r="R14" s="265"/>
      <c r="S14" s="266"/>
      <c r="T14" s="322">
        <f t="shared" si="7"/>
        <v>4839.6499999999996</v>
      </c>
      <c r="U14" s="301">
        <f t="shared" si="3"/>
        <v>0</v>
      </c>
    </row>
    <row r="15" spans="1:21" x14ac:dyDescent="0.25">
      <c r="A15" s="242"/>
      <c r="B15" s="195">
        <f t="shared" si="4"/>
        <v>103</v>
      </c>
      <c r="C15" s="15">
        <v>8</v>
      </c>
      <c r="D15" s="986">
        <v>220.31</v>
      </c>
      <c r="E15" s="1004">
        <v>44688</v>
      </c>
      <c r="F15" s="1025">
        <f t="shared" si="0"/>
        <v>220.31</v>
      </c>
      <c r="G15" s="1026" t="s">
        <v>147</v>
      </c>
      <c r="H15" s="991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172</v>
      </c>
      <c r="N15" s="15"/>
      <c r="O15" s="69"/>
      <c r="P15" s="336"/>
      <c r="Q15" s="279">
        <f t="shared" si="2"/>
        <v>0</v>
      </c>
      <c r="R15" s="265"/>
      <c r="S15" s="266"/>
      <c r="T15" s="322">
        <f t="shared" si="7"/>
        <v>4839.6499999999996</v>
      </c>
      <c r="U15" s="301">
        <f t="shared" si="3"/>
        <v>0</v>
      </c>
    </row>
    <row r="16" spans="1:21" x14ac:dyDescent="0.25">
      <c r="A16" s="242"/>
      <c r="B16" s="195">
        <f t="shared" si="4"/>
        <v>99</v>
      </c>
      <c r="C16" s="15">
        <v>4</v>
      </c>
      <c r="D16" s="986">
        <v>113.24</v>
      </c>
      <c r="E16" s="1004">
        <v>44690</v>
      </c>
      <c r="F16" s="1003">
        <f t="shared" si="0"/>
        <v>113.24</v>
      </c>
      <c r="G16" s="990" t="s">
        <v>156</v>
      </c>
      <c r="H16" s="991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172</v>
      </c>
      <c r="N16" s="15"/>
      <c r="O16" s="69"/>
      <c r="P16" s="336"/>
      <c r="Q16" s="279">
        <f t="shared" si="2"/>
        <v>0</v>
      </c>
      <c r="R16" s="265"/>
      <c r="S16" s="266"/>
      <c r="T16" s="322">
        <f t="shared" si="7"/>
        <v>4839.6499999999996</v>
      </c>
      <c r="U16" s="301">
        <f t="shared" si="3"/>
        <v>0</v>
      </c>
    </row>
    <row r="17" spans="1:21" x14ac:dyDescent="0.25">
      <c r="A17" s="242"/>
      <c r="B17" s="195">
        <f t="shared" si="4"/>
        <v>98</v>
      </c>
      <c r="C17" s="15">
        <v>1</v>
      </c>
      <c r="D17" s="986">
        <v>30.96</v>
      </c>
      <c r="E17" s="1004">
        <v>44692</v>
      </c>
      <c r="F17" s="1003">
        <f t="shared" si="0"/>
        <v>30.96</v>
      </c>
      <c r="G17" s="990" t="s">
        <v>161</v>
      </c>
      <c r="H17" s="991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172</v>
      </c>
      <c r="N17" s="15"/>
      <c r="O17" s="69"/>
      <c r="P17" s="336"/>
      <c r="Q17" s="279">
        <f t="shared" si="2"/>
        <v>0</v>
      </c>
      <c r="R17" s="265"/>
      <c r="S17" s="266"/>
      <c r="T17" s="322">
        <f t="shared" si="7"/>
        <v>4839.6499999999996</v>
      </c>
      <c r="U17" s="301">
        <f t="shared" si="3"/>
        <v>0</v>
      </c>
    </row>
    <row r="18" spans="1:21" x14ac:dyDescent="0.25">
      <c r="A18" s="242"/>
      <c r="B18" s="195">
        <f t="shared" si="4"/>
        <v>90</v>
      </c>
      <c r="C18" s="15">
        <v>8</v>
      </c>
      <c r="D18" s="986">
        <v>208.82</v>
      </c>
      <c r="E18" s="1004">
        <v>44692</v>
      </c>
      <c r="F18" s="1003">
        <f t="shared" si="0"/>
        <v>208.82</v>
      </c>
      <c r="G18" s="990" t="s">
        <v>165</v>
      </c>
      <c r="H18" s="991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172</v>
      </c>
      <c r="N18" s="15"/>
      <c r="O18" s="69"/>
      <c r="P18" s="336"/>
      <c r="Q18" s="279">
        <f t="shared" si="2"/>
        <v>0</v>
      </c>
      <c r="R18" s="265"/>
      <c r="S18" s="266"/>
      <c r="T18" s="322">
        <f t="shared" si="7"/>
        <v>4839.6499999999996</v>
      </c>
      <c r="U18" s="301">
        <f t="shared" si="3"/>
        <v>0</v>
      </c>
    </row>
    <row r="19" spans="1:21" x14ac:dyDescent="0.25">
      <c r="A19" s="242"/>
      <c r="B19" s="195">
        <f t="shared" si="4"/>
        <v>86</v>
      </c>
      <c r="C19" s="15">
        <v>4</v>
      </c>
      <c r="D19" s="986">
        <v>107.91</v>
      </c>
      <c r="E19" s="1004">
        <v>44694</v>
      </c>
      <c r="F19" s="1025">
        <f t="shared" si="0"/>
        <v>107.91</v>
      </c>
      <c r="G19" s="1026" t="s">
        <v>186</v>
      </c>
      <c r="H19" s="991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172</v>
      </c>
      <c r="N19" s="15"/>
      <c r="O19" s="69"/>
      <c r="P19" s="336"/>
      <c r="Q19" s="279">
        <f t="shared" si="2"/>
        <v>0</v>
      </c>
      <c r="R19" s="265"/>
      <c r="S19" s="266"/>
      <c r="T19" s="322">
        <f t="shared" si="7"/>
        <v>4839.6499999999996</v>
      </c>
      <c r="U19" s="301">
        <f t="shared" si="3"/>
        <v>0</v>
      </c>
    </row>
    <row r="20" spans="1:21" x14ac:dyDescent="0.25">
      <c r="A20" s="75"/>
      <c r="B20" s="195">
        <f t="shared" si="4"/>
        <v>84</v>
      </c>
      <c r="C20" s="15">
        <v>2</v>
      </c>
      <c r="D20" s="986">
        <v>57.07</v>
      </c>
      <c r="E20" s="1004">
        <v>44695</v>
      </c>
      <c r="F20" s="1003">
        <f t="shared" si="0"/>
        <v>57.07</v>
      </c>
      <c r="G20" s="990" t="s">
        <v>181</v>
      </c>
      <c r="H20" s="991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172</v>
      </c>
      <c r="N20" s="15"/>
      <c r="O20" s="69"/>
      <c r="P20" s="336"/>
      <c r="Q20" s="279">
        <f t="shared" si="2"/>
        <v>0</v>
      </c>
      <c r="R20" s="265"/>
      <c r="S20" s="266"/>
      <c r="T20" s="322">
        <f t="shared" si="7"/>
        <v>4839.6499999999996</v>
      </c>
      <c r="U20" s="301">
        <f t="shared" si="3"/>
        <v>0</v>
      </c>
    </row>
    <row r="21" spans="1:21" x14ac:dyDescent="0.25">
      <c r="A21" s="75"/>
      <c r="B21" s="195">
        <f t="shared" si="4"/>
        <v>74</v>
      </c>
      <c r="C21" s="15">
        <v>10</v>
      </c>
      <c r="D21" s="986">
        <v>268.63</v>
      </c>
      <c r="E21" s="1004">
        <v>44695</v>
      </c>
      <c r="F21" s="1003">
        <f t="shared" si="0"/>
        <v>268.63</v>
      </c>
      <c r="G21" s="987" t="s">
        <v>190</v>
      </c>
      <c r="H21" s="988">
        <v>70</v>
      </c>
      <c r="I21" s="566">
        <f t="shared" si="5"/>
        <v>2054.38</v>
      </c>
      <c r="J21" s="60">
        <f t="shared" si="1"/>
        <v>18804.099999999999</v>
      </c>
      <c r="L21" s="75"/>
      <c r="M21" s="195">
        <f t="shared" si="6"/>
        <v>172</v>
      </c>
      <c r="N21" s="15"/>
      <c r="O21" s="69"/>
      <c r="P21" s="336"/>
      <c r="Q21" s="279">
        <f t="shared" si="2"/>
        <v>0</v>
      </c>
      <c r="R21" s="70"/>
      <c r="S21" s="71"/>
      <c r="T21" s="566">
        <f t="shared" si="7"/>
        <v>4839.6499999999996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86">
        <v>56.54</v>
      </c>
      <c r="E22" s="1004">
        <v>44697</v>
      </c>
      <c r="F22" s="1003">
        <f t="shared" si="0"/>
        <v>56.54</v>
      </c>
      <c r="G22" s="987" t="s">
        <v>196</v>
      </c>
      <c r="H22" s="988">
        <v>70</v>
      </c>
      <c r="I22" s="566">
        <f t="shared" si="5"/>
        <v>1997.8400000000001</v>
      </c>
      <c r="J22" s="60">
        <f t="shared" si="1"/>
        <v>3957.7999999999997</v>
      </c>
      <c r="L22" s="75"/>
      <c r="M22" s="195">
        <f t="shared" si="6"/>
        <v>172</v>
      </c>
      <c r="N22" s="15"/>
      <c r="O22" s="69"/>
      <c r="P22" s="336"/>
      <c r="Q22" s="279">
        <f t="shared" si="2"/>
        <v>0</v>
      </c>
      <c r="R22" s="70"/>
      <c r="S22" s="71"/>
      <c r="T22" s="566">
        <f t="shared" si="7"/>
        <v>4839.6499999999996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86">
        <v>170.62</v>
      </c>
      <c r="E23" s="993">
        <v>44697</v>
      </c>
      <c r="F23" s="1003">
        <f t="shared" si="0"/>
        <v>170.62</v>
      </c>
      <c r="G23" s="987" t="s">
        <v>197</v>
      </c>
      <c r="H23" s="988">
        <v>70</v>
      </c>
      <c r="I23" s="566">
        <f t="shared" si="5"/>
        <v>1827.2200000000003</v>
      </c>
      <c r="J23" s="60">
        <f t="shared" si="1"/>
        <v>11943.4</v>
      </c>
      <c r="L23" s="19"/>
      <c r="M23" s="195">
        <f t="shared" si="6"/>
        <v>172</v>
      </c>
      <c r="N23" s="73"/>
      <c r="O23" s="69"/>
      <c r="P23" s="134"/>
      <c r="Q23" s="279">
        <f t="shared" si="2"/>
        <v>0</v>
      </c>
      <c r="R23" s="70"/>
      <c r="S23" s="71"/>
      <c r="T23" s="566">
        <f t="shared" si="7"/>
        <v>4839.6499999999996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86">
        <v>150.04</v>
      </c>
      <c r="E24" s="993">
        <v>44697</v>
      </c>
      <c r="F24" s="1003">
        <f t="shared" si="0"/>
        <v>150.04</v>
      </c>
      <c r="G24" s="987" t="s">
        <v>201</v>
      </c>
      <c r="H24" s="988">
        <v>70</v>
      </c>
      <c r="I24" s="566">
        <f t="shared" si="5"/>
        <v>1677.1800000000003</v>
      </c>
      <c r="J24" s="60">
        <f t="shared" si="1"/>
        <v>10502.8</v>
      </c>
      <c r="L24" s="19"/>
      <c r="M24" s="195">
        <f t="shared" si="6"/>
        <v>172</v>
      </c>
      <c r="N24" s="73"/>
      <c r="O24" s="69"/>
      <c r="P24" s="134"/>
      <c r="Q24" s="279">
        <f t="shared" si="2"/>
        <v>0</v>
      </c>
      <c r="R24" s="70"/>
      <c r="S24" s="71"/>
      <c r="T24" s="566">
        <f t="shared" si="7"/>
        <v>4839.6499999999996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86">
        <v>49.88</v>
      </c>
      <c r="E25" s="993">
        <v>44699</v>
      </c>
      <c r="F25" s="1003">
        <f t="shared" si="0"/>
        <v>49.88</v>
      </c>
      <c r="G25" s="987" t="s">
        <v>207</v>
      </c>
      <c r="H25" s="988">
        <v>70</v>
      </c>
      <c r="I25" s="566">
        <f t="shared" si="5"/>
        <v>1627.3000000000002</v>
      </c>
      <c r="J25" s="60">
        <f t="shared" si="1"/>
        <v>3491.6000000000004</v>
      </c>
      <c r="L25" s="19"/>
      <c r="M25" s="195">
        <f t="shared" si="6"/>
        <v>172</v>
      </c>
      <c r="N25" s="73"/>
      <c r="O25" s="69"/>
      <c r="P25" s="134"/>
      <c r="Q25" s="279">
        <f t="shared" si="2"/>
        <v>0</v>
      </c>
      <c r="R25" s="70"/>
      <c r="S25" s="71"/>
      <c r="T25" s="566">
        <f t="shared" si="7"/>
        <v>4839.6499999999996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86">
        <v>107.74</v>
      </c>
      <c r="E26" s="993">
        <v>44699</v>
      </c>
      <c r="F26" s="1003">
        <f t="shared" si="0"/>
        <v>107.74</v>
      </c>
      <c r="G26" s="987" t="s">
        <v>208</v>
      </c>
      <c r="H26" s="988">
        <v>70</v>
      </c>
      <c r="I26" s="566">
        <f t="shared" si="5"/>
        <v>1519.5600000000002</v>
      </c>
      <c r="J26" s="60">
        <f t="shared" si="1"/>
        <v>7541.7999999999993</v>
      </c>
      <c r="L26" s="19"/>
      <c r="M26" s="195">
        <f t="shared" si="6"/>
        <v>172</v>
      </c>
      <c r="N26" s="15"/>
      <c r="O26" s="69"/>
      <c r="P26" s="134"/>
      <c r="Q26" s="279">
        <f t="shared" si="2"/>
        <v>0</v>
      </c>
      <c r="R26" s="70"/>
      <c r="S26" s="71"/>
      <c r="T26" s="566">
        <f t="shared" si="7"/>
        <v>4839.6499999999996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86">
        <v>103.23</v>
      </c>
      <c r="E27" s="993">
        <v>44702</v>
      </c>
      <c r="F27" s="1003">
        <f t="shared" si="0"/>
        <v>103.23</v>
      </c>
      <c r="G27" s="987" t="s">
        <v>217</v>
      </c>
      <c r="H27" s="988">
        <v>70</v>
      </c>
      <c r="I27" s="566">
        <f t="shared" si="5"/>
        <v>1416.3300000000002</v>
      </c>
      <c r="J27" s="60">
        <f t="shared" si="1"/>
        <v>7226.1</v>
      </c>
      <c r="L27" s="19"/>
      <c r="M27" s="195">
        <f t="shared" si="6"/>
        <v>172</v>
      </c>
      <c r="N27" s="15"/>
      <c r="O27" s="69"/>
      <c r="P27" s="134"/>
      <c r="Q27" s="279">
        <f t="shared" si="2"/>
        <v>0</v>
      </c>
      <c r="R27" s="70"/>
      <c r="S27" s="71"/>
      <c r="T27" s="566">
        <f t="shared" si="7"/>
        <v>4839.6499999999996</v>
      </c>
      <c r="U27" s="60">
        <f t="shared" si="3"/>
        <v>0</v>
      </c>
    </row>
    <row r="28" spans="1:21" x14ac:dyDescent="0.25">
      <c r="A28" s="19"/>
      <c r="B28" s="195">
        <f t="shared" si="4"/>
        <v>47</v>
      </c>
      <c r="C28" s="15">
        <v>4</v>
      </c>
      <c r="D28" s="227">
        <v>112.51</v>
      </c>
      <c r="E28" s="1065">
        <v>44712</v>
      </c>
      <c r="F28" s="1073">
        <f t="shared" si="0"/>
        <v>112.51</v>
      </c>
      <c r="G28" s="911" t="s">
        <v>482</v>
      </c>
      <c r="H28" s="912">
        <v>70</v>
      </c>
      <c r="I28" s="566">
        <f t="shared" si="5"/>
        <v>1303.8200000000002</v>
      </c>
      <c r="J28" s="60">
        <f t="shared" si="1"/>
        <v>7875.7000000000007</v>
      </c>
      <c r="L28" s="19"/>
      <c r="M28" s="195">
        <f t="shared" si="6"/>
        <v>172</v>
      </c>
      <c r="N28" s="15"/>
      <c r="O28" s="69"/>
      <c r="P28" s="134"/>
      <c r="Q28" s="279">
        <f t="shared" si="2"/>
        <v>0</v>
      </c>
      <c r="R28" s="70"/>
      <c r="S28" s="71"/>
      <c r="T28" s="566">
        <f t="shared" si="7"/>
        <v>4839.6499999999996</v>
      </c>
      <c r="U28" s="60">
        <f t="shared" si="3"/>
        <v>0</v>
      </c>
    </row>
    <row r="29" spans="1:21" x14ac:dyDescent="0.25">
      <c r="A29" s="19"/>
      <c r="B29" s="195">
        <f t="shared" si="4"/>
        <v>45</v>
      </c>
      <c r="C29" s="15">
        <v>2</v>
      </c>
      <c r="D29" s="227">
        <v>61.64</v>
      </c>
      <c r="E29" s="1065">
        <v>44716</v>
      </c>
      <c r="F29" s="1073">
        <f t="shared" si="0"/>
        <v>61.64</v>
      </c>
      <c r="G29" s="911" t="s">
        <v>535</v>
      </c>
      <c r="H29" s="912">
        <v>70</v>
      </c>
      <c r="I29" s="566">
        <f t="shared" si="5"/>
        <v>1242.18</v>
      </c>
      <c r="J29" s="60">
        <f t="shared" si="1"/>
        <v>4314.8</v>
      </c>
      <c r="L29" s="19"/>
      <c r="M29" s="195">
        <f t="shared" si="6"/>
        <v>172</v>
      </c>
      <c r="N29" s="15"/>
      <c r="O29" s="69"/>
      <c r="P29" s="134"/>
      <c r="Q29" s="279">
        <f t="shared" si="2"/>
        <v>0</v>
      </c>
      <c r="R29" s="70"/>
      <c r="S29" s="71"/>
      <c r="T29" s="566">
        <f t="shared" si="7"/>
        <v>4839.6499999999996</v>
      </c>
      <c r="U29" s="60">
        <f t="shared" si="3"/>
        <v>0</v>
      </c>
    </row>
    <row r="30" spans="1:21" x14ac:dyDescent="0.25">
      <c r="A30" s="19"/>
      <c r="B30" s="195">
        <f t="shared" si="4"/>
        <v>39</v>
      </c>
      <c r="C30" s="15">
        <v>6</v>
      </c>
      <c r="D30" s="227">
        <v>161.49</v>
      </c>
      <c r="E30" s="1065">
        <v>44718</v>
      </c>
      <c r="F30" s="1073">
        <f t="shared" si="0"/>
        <v>161.49</v>
      </c>
      <c r="G30" s="911" t="s">
        <v>540</v>
      </c>
      <c r="H30" s="912">
        <v>70</v>
      </c>
      <c r="I30" s="566">
        <f t="shared" si="5"/>
        <v>1080.69</v>
      </c>
      <c r="J30" s="60">
        <f t="shared" si="1"/>
        <v>11304.300000000001</v>
      </c>
      <c r="L30" s="19"/>
      <c r="M30" s="195">
        <f t="shared" si="6"/>
        <v>172</v>
      </c>
      <c r="N30" s="15"/>
      <c r="O30" s="69"/>
      <c r="P30" s="134"/>
      <c r="Q30" s="279">
        <f t="shared" si="2"/>
        <v>0</v>
      </c>
      <c r="R30" s="70"/>
      <c r="S30" s="71"/>
      <c r="T30" s="566">
        <f t="shared" si="7"/>
        <v>4839.6499999999996</v>
      </c>
      <c r="U30" s="60">
        <f t="shared" si="3"/>
        <v>0</v>
      </c>
    </row>
    <row r="31" spans="1:21" x14ac:dyDescent="0.25">
      <c r="A31" s="19"/>
      <c r="B31" s="195">
        <f t="shared" si="4"/>
        <v>37</v>
      </c>
      <c r="C31" s="15">
        <v>2</v>
      </c>
      <c r="D31" s="227">
        <v>53.64</v>
      </c>
      <c r="E31" s="1065">
        <v>44719</v>
      </c>
      <c r="F31" s="1073">
        <f t="shared" si="0"/>
        <v>53.64</v>
      </c>
      <c r="G31" s="911" t="s">
        <v>548</v>
      </c>
      <c r="H31" s="912">
        <v>70</v>
      </c>
      <c r="I31" s="566">
        <f t="shared" si="5"/>
        <v>1027.05</v>
      </c>
      <c r="J31" s="60">
        <f t="shared" si="1"/>
        <v>3754.8</v>
      </c>
      <c r="L31" s="19"/>
      <c r="M31" s="195">
        <f t="shared" si="6"/>
        <v>172</v>
      </c>
      <c r="N31" s="15"/>
      <c r="O31" s="69"/>
      <c r="P31" s="134"/>
      <c r="Q31" s="279">
        <f t="shared" si="2"/>
        <v>0</v>
      </c>
      <c r="R31" s="70"/>
      <c r="S31" s="71"/>
      <c r="T31" s="566">
        <f t="shared" si="7"/>
        <v>4839.6499999999996</v>
      </c>
      <c r="U31" s="60">
        <f t="shared" si="3"/>
        <v>0</v>
      </c>
    </row>
    <row r="32" spans="1:21" x14ac:dyDescent="0.25">
      <c r="A32" s="19"/>
      <c r="B32" s="195">
        <f t="shared" si="4"/>
        <v>37</v>
      </c>
      <c r="C32" s="15"/>
      <c r="D32" s="227"/>
      <c r="E32" s="1065"/>
      <c r="F32" s="1073">
        <f t="shared" si="0"/>
        <v>0</v>
      </c>
      <c r="G32" s="911"/>
      <c r="H32" s="912"/>
      <c r="I32" s="566">
        <f t="shared" si="5"/>
        <v>1027.05</v>
      </c>
      <c r="J32" s="60">
        <f t="shared" si="1"/>
        <v>0</v>
      </c>
      <c r="L32" s="19"/>
      <c r="M32" s="195">
        <f t="shared" si="6"/>
        <v>172</v>
      </c>
      <c r="N32" s="15"/>
      <c r="O32" s="69"/>
      <c r="P32" s="134"/>
      <c r="Q32" s="279">
        <f t="shared" si="2"/>
        <v>0</v>
      </c>
      <c r="R32" s="70"/>
      <c r="S32" s="71"/>
      <c r="T32" s="566">
        <f t="shared" si="7"/>
        <v>4839.6499999999996</v>
      </c>
      <c r="U32" s="60">
        <f t="shared" si="3"/>
        <v>0</v>
      </c>
    </row>
    <row r="33" spans="1:21" x14ac:dyDescent="0.25">
      <c r="A33" s="19"/>
      <c r="B33" s="195">
        <f t="shared" si="4"/>
        <v>37</v>
      </c>
      <c r="C33" s="15"/>
      <c r="D33" s="227"/>
      <c r="E33" s="1065"/>
      <c r="F33" s="1073">
        <f t="shared" si="0"/>
        <v>0</v>
      </c>
      <c r="G33" s="911"/>
      <c r="H33" s="912"/>
      <c r="I33" s="566">
        <f t="shared" si="5"/>
        <v>1027.05</v>
      </c>
      <c r="J33" s="60">
        <f t="shared" si="1"/>
        <v>0</v>
      </c>
      <c r="L33" s="19"/>
      <c r="M33" s="195">
        <f t="shared" si="6"/>
        <v>172</v>
      </c>
      <c r="N33" s="15"/>
      <c r="O33" s="69"/>
      <c r="P33" s="134"/>
      <c r="Q33" s="279">
        <f t="shared" si="2"/>
        <v>0</v>
      </c>
      <c r="R33" s="70"/>
      <c r="S33" s="71"/>
      <c r="T33" s="566">
        <f t="shared" si="7"/>
        <v>4839.6499999999996</v>
      </c>
      <c r="U33" s="60">
        <f t="shared" si="3"/>
        <v>0</v>
      </c>
    </row>
    <row r="34" spans="1:21" x14ac:dyDescent="0.25">
      <c r="A34" s="19"/>
      <c r="B34" s="195">
        <f t="shared" si="4"/>
        <v>37</v>
      </c>
      <c r="C34" s="15"/>
      <c r="D34" s="227"/>
      <c r="E34" s="1065"/>
      <c r="F34" s="1073">
        <f t="shared" si="0"/>
        <v>0</v>
      </c>
      <c r="G34" s="911"/>
      <c r="H34" s="912"/>
      <c r="I34" s="566">
        <f t="shared" si="5"/>
        <v>1027.05</v>
      </c>
      <c r="J34" s="60">
        <f t="shared" si="1"/>
        <v>0</v>
      </c>
      <c r="L34" s="19"/>
      <c r="M34" s="195">
        <f t="shared" si="6"/>
        <v>172</v>
      </c>
      <c r="N34" s="15"/>
      <c r="O34" s="69"/>
      <c r="P34" s="134"/>
      <c r="Q34" s="279">
        <f t="shared" si="2"/>
        <v>0</v>
      </c>
      <c r="R34" s="70"/>
      <c r="S34" s="71"/>
      <c r="T34" s="566">
        <f t="shared" si="7"/>
        <v>4839.6499999999996</v>
      </c>
      <c r="U34" s="60">
        <f t="shared" si="3"/>
        <v>0</v>
      </c>
    </row>
    <row r="35" spans="1:21" x14ac:dyDescent="0.25">
      <c r="A35" s="19"/>
      <c r="B35" s="195">
        <f t="shared" si="4"/>
        <v>37</v>
      </c>
      <c r="C35" s="15"/>
      <c r="D35" s="227"/>
      <c r="E35" s="1065"/>
      <c r="F35" s="1073">
        <f t="shared" si="0"/>
        <v>0</v>
      </c>
      <c r="G35" s="911"/>
      <c r="H35" s="912"/>
      <c r="I35" s="566">
        <f t="shared" si="5"/>
        <v>1027.05</v>
      </c>
      <c r="J35" s="60">
        <f t="shared" si="1"/>
        <v>0</v>
      </c>
      <c r="L35" s="19"/>
      <c r="M35" s="195">
        <f t="shared" si="6"/>
        <v>172</v>
      </c>
      <c r="N35" s="15"/>
      <c r="O35" s="69"/>
      <c r="P35" s="134"/>
      <c r="Q35" s="279">
        <f t="shared" si="2"/>
        <v>0</v>
      </c>
      <c r="R35" s="70"/>
      <c r="S35" s="71"/>
      <c r="T35" s="566">
        <f t="shared" si="7"/>
        <v>4839.6499999999996</v>
      </c>
      <c r="U35" s="60">
        <f t="shared" si="3"/>
        <v>0</v>
      </c>
    </row>
    <row r="36" spans="1:21" x14ac:dyDescent="0.25">
      <c r="A36" s="19"/>
      <c r="B36" s="195">
        <f t="shared" si="4"/>
        <v>37</v>
      </c>
      <c r="C36" s="15"/>
      <c r="D36" s="227"/>
      <c r="E36" s="1065"/>
      <c r="F36" s="1073">
        <f t="shared" si="0"/>
        <v>0</v>
      </c>
      <c r="G36" s="911"/>
      <c r="H36" s="912"/>
      <c r="I36" s="566">
        <f t="shared" si="5"/>
        <v>1027.05</v>
      </c>
      <c r="J36" s="60">
        <f t="shared" si="1"/>
        <v>0</v>
      </c>
      <c r="L36" s="19"/>
      <c r="M36" s="195">
        <f t="shared" si="6"/>
        <v>172</v>
      </c>
      <c r="N36" s="15"/>
      <c r="O36" s="69"/>
      <c r="P36" s="134"/>
      <c r="Q36" s="279">
        <f t="shared" si="2"/>
        <v>0</v>
      </c>
      <c r="R36" s="70"/>
      <c r="S36" s="71"/>
      <c r="T36" s="566">
        <f t="shared" si="7"/>
        <v>4839.6499999999996</v>
      </c>
      <c r="U36" s="60">
        <f t="shared" si="3"/>
        <v>0</v>
      </c>
    </row>
    <row r="37" spans="1:21" x14ac:dyDescent="0.25">
      <c r="B37" s="195">
        <f>B27-C37</f>
        <v>51</v>
      </c>
      <c r="C37" s="15"/>
      <c r="D37" s="227">
        <v>0</v>
      </c>
      <c r="E37" s="1065"/>
      <c r="F37" s="1073">
        <f t="shared" si="0"/>
        <v>0</v>
      </c>
      <c r="G37" s="911"/>
      <c r="H37" s="912"/>
      <c r="I37" s="566">
        <f t="shared" si="5"/>
        <v>1027.05</v>
      </c>
      <c r="J37" s="60">
        <f t="shared" si="1"/>
        <v>0</v>
      </c>
      <c r="M37" s="195">
        <f>M27-N37</f>
        <v>172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6">
        <f t="shared" si="7"/>
        <v>4839.6499999999996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6">
        <f t="shared" si="5"/>
        <v>1027.05</v>
      </c>
      <c r="J38" s="60">
        <f>SUM(J9:J37)</f>
        <v>202102.59999999992</v>
      </c>
      <c r="L38" s="121"/>
      <c r="M38" s="195">
        <f t="shared" ref="M38" si="8">M37-N38</f>
        <v>172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6">
        <f t="shared" si="7"/>
        <v>4839.6499999999996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2887.18</v>
      </c>
      <c r="E39" s="134"/>
      <c r="F39" s="105">
        <f>SUM(F9:F38)</f>
        <v>2887.18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41" t="s">
        <v>21</v>
      </c>
      <c r="E41" s="1242"/>
      <c r="F41" s="141">
        <f>G5-F39</f>
        <v>0</v>
      </c>
      <c r="M41" s="197"/>
      <c r="O41" s="1241" t="s">
        <v>21</v>
      </c>
      <c r="P41" s="1242"/>
      <c r="Q41" s="141">
        <f>R5-Q39</f>
        <v>0</v>
      </c>
    </row>
    <row r="42" spans="1:21" ht="15.75" thickBot="1" x14ac:dyDescent="0.3">
      <c r="A42" s="125"/>
      <c r="D42" s="789" t="s">
        <v>4</v>
      </c>
      <c r="E42" s="790"/>
      <c r="F42" s="49">
        <v>0</v>
      </c>
      <c r="L42" s="125"/>
      <c r="O42" s="1011" t="s">
        <v>4</v>
      </c>
      <c r="P42" s="1012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52"/>
      <c r="B1" s="1252"/>
      <c r="C1" s="1252"/>
      <c r="D1" s="1252"/>
      <c r="E1" s="1252"/>
      <c r="F1" s="1252"/>
      <c r="G1" s="125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250"/>
      <c r="B5" s="1247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250"/>
      <c r="B6" s="1247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29"/>
      <c r="B10" s="195">
        <f>B9-C10</f>
        <v>0</v>
      </c>
      <c r="C10" s="263"/>
      <c r="D10" s="264"/>
      <c r="E10" s="731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1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1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1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1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28"/>
      <c r="D15" s="264"/>
      <c r="E15" s="731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1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1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28"/>
      <c r="D18" s="264"/>
      <c r="E18" s="731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1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1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1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1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1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1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54" t="s">
        <v>11</v>
      </c>
      <c r="D60" s="125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workbookViewId="0">
      <pane ySplit="9" topLeftCell="A28" activePane="bottomLeft" state="frozen"/>
      <selection pane="bottomLeft" activeCell="E31" sqref="E3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56" t="s">
        <v>269</v>
      </c>
      <c r="B1" s="1256"/>
      <c r="C1" s="1256"/>
      <c r="D1" s="1256"/>
      <c r="E1" s="1256"/>
      <c r="F1" s="1256"/>
      <c r="G1" s="1256"/>
      <c r="H1" s="11">
        <v>1</v>
      </c>
      <c r="K1" s="1252" t="s">
        <v>279</v>
      </c>
      <c r="L1" s="1252"/>
      <c r="M1" s="1252"/>
      <c r="N1" s="1252"/>
      <c r="O1" s="1252"/>
      <c r="P1" s="1252"/>
      <c r="Q1" s="1252"/>
      <c r="R1" s="11">
        <v>2</v>
      </c>
    </row>
    <row r="2" spans="1:19" ht="15.75" thickBot="1" x14ac:dyDescent="0.3"/>
    <row r="3" spans="1:19" ht="16.5" thickTop="1" thickBot="1" x14ac:dyDescent="0.3">
      <c r="A3" s="50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2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03" t="s">
        <v>52</v>
      </c>
      <c r="B4" s="736"/>
      <c r="C4" s="128"/>
      <c r="D4" s="135"/>
      <c r="E4" s="86">
        <v>18.02</v>
      </c>
      <c r="F4" s="73">
        <v>0</v>
      </c>
      <c r="G4" s="972"/>
      <c r="K4" s="1203" t="s">
        <v>52</v>
      </c>
      <c r="L4" s="736"/>
      <c r="M4" s="128"/>
      <c r="N4" s="135"/>
      <c r="O4" s="86"/>
      <c r="P4" s="73"/>
      <c r="Q4" s="1108"/>
    </row>
    <row r="5" spans="1:19" ht="15" customHeight="1" x14ac:dyDescent="0.25">
      <c r="A5" s="1325"/>
      <c r="B5" s="1326" t="s">
        <v>73</v>
      </c>
      <c r="C5" s="249">
        <v>30</v>
      </c>
      <c r="D5" s="245">
        <v>44690</v>
      </c>
      <c r="E5" s="246">
        <v>1286.32</v>
      </c>
      <c r="F5" s="243">
        <v>45</v>
      </c>
      <c r="G5" s="48">
        <f>F52</f>
        <v>2444.3500000000004</v>
      </c>
      <c r="H5" s="138">
        <f>E5-G5+E4+E6+E7+E8</f>
        <v>2409.5299999999997</v>
      </c>
      <c r="K5" s="1325"/>
      <c r="L5" s="1326" t="s">
        <v>73</v>
      </c>
      <c r="M5" s="249">
        <v>32</v>
      </c>
      <c r="N5" s="245">
        <v>44729</v>
      </c>
      <c r="O5" s="246">
        <v>1006.3</v>
      </c>
      <c r="P5" s="243">
        <v>35</v>
      </c>
      <c r="Q5" s="48">
        <f>P52</f>
        <v>0</v>
      </c>
      <c r="R5" s="138">
        <f>O5-Q5+O4+O6+O7+O8</f>
        <v>4381.3900000000003</v>
      </c>
    </row>
    <row r="6" spans="1:19" ht="16.5" thickBot="1" x14ac:dyDescent="0.3">
      <c r="A6" s="1204"/>
      <c r="B6" s="1327"/>
      <c r="C6" s="909">
        <v>32</v>
      </c>
      <c r="D6" s="245">
        <v>44707</v>
      </c>
      <c r="E6" s="246">
        <v>3030.44</v>
      </c>
      <c r="F6" s="243">
        <v>102</v>
      </c>
      <c r="G6" s="73"/>
      <c r="K6" s="1204"/>
      <c r="L6" s="1327"/>
      <c r="M6" s="909">
        <v>33</v>
      </c>
      <c r="N6" s="245">
        <v>44734</v>
      </c>
      <c r="O6" s="246">
        <v>2938.76</v>
      </c>
      <c r="P6" s="243">
        <v>103</v>
      </c>
      <c r="Q6" s="73"/>
    </row>
    <row r="7" spans="1:19" ht="21.75" customHeight="1" x14ac:dyDescent="0.25">
      <c r="A7" s="837" t="s">
        <v>67</v>
      </c>
      <c r="C7" s="1014">
        <v>27.5</v>
      </c>
      <c r="D7" s="135">
        <v>44709</v>
      </c>
      <c r="E7" s="105">
        <v>519.1</v>
      </c>
      <c r="F7" s="73">
        <v>21</v>
      </c>
      <c r="G7" s="73"/>
      <c r="K7" s="837" t="s">
        <v>52</v>
      </c>
      <c r="M7" s="1014">
        <v>33</v>
      </c>
      <c r="N7" s="135">
        <v>44740</v>
      </c>
      <c r="O7" s="105">
        <v>436.33</v>
      </c>
      <c r="P7" s="73">
        <v>15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893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893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25"/>
      <c r="B10" s="284">
        <f>F4+F5+F6+F7+F8-C10</f>
        <v>161</v>
      </c>
      <c r="C10" s="15">
        <f>6+1</f>
        <v>7</v>
      </c>
      <c r="D10" s="92">
        <f>173.53+31.51</f>
        <v>205.04</v>
      </c>
      <c r="E10" s="875">
        <v>44695</v>
      </c>
      <c r="F10" s="830">
        <f>D10</f>
        <v>205.04</v>
      </c>
      <c r="G10" s="831" t="s">
        <v>191</v>
      </c>
      <c r="H10" s="238">
        <v>34</v>
      </c>
      <c r="I10" s="270">
        <f>E6+E5+E4-F10+E7+E8</f>
        <v>4648.8400000000011</v>
      </c>
      <c r="K10" s="925"/>
      <c r="L10" s="284">
        <f>P4+P5+P6+P7+P8-M10</f>
        <v>153</v>
      </c>
      <c r="M10" s="15"/>
      <c r="N10" s="92"/>
      <c r="O10" s="875"/>
      <c r="P10" s="830">
        <f>N10</f>
        <v>0</v>
      </c>
      <c r="Q10" s="831"/>
      <c r="R10" s="238"/>
      <c r="S10" s="270">
        <f>O6+O5+O4-P10+O7+O8</f>
        <v>4381.3900000000003</v>
      </c>
    </row>
    <row r="11" spans="1:19" x14ac:dyDescent="0.25">
      <c r="A11" s="242"/>
      <c r="B11" s="458">
        <f>B10-C11</f>
        <v>160</v>
      </c>
      <c r="C11" s="768">
        <v>1</v>
      </c>
      <c r="D11" s="432">
        <v>30.58</v>
      </c>
      <c r="E11" s="877">
        <v>44698</v>
      </c>
      <c r="F11" s="876">
        <f t="shared" ref="F11:F41" si="0">D11</f>
        <v>30.58</v>
      </c>
      <c r="G11" s="878" t="s">
        <v>188</v>
      </c>
      <c r="H11" s="879">
        <v>34</v>
      </c>
      <c r="I11" s="270">
        <f>I10-F11</f>
        <v>4618.2600000000011</v>
      </c>
      <c r="K11" s="242"/>
      <c r="L11" s="458">
        <f>L10-M11</f>
        <v>153</v>
      </c>
      <c r="M11" s="768"/>
      <c r="N11" s="432"/>
      <c r="O11" s="877"/>
      <c r="P11" s="876">
        <f t="shared" ref="P11:P41" si="1">N11</f>
        <v>0</v>
      </c>
      <c r="Q11" s="878"/>
      <c r="R11" s="879"/>
      <c r="S11" s="270">
        <f>S10-P11</f>
        <v>4381.3900000000003</v>
      </c>
    </row>
    <row r="12" spans="1:19" x14ac:dyDescent="0.25">
      <c r="A12" s="242"/>
      <c r="B12" s="458">
        <f t="shared" ref="B12:B41" si="2">B11-C12</f>
        <v>153</v>
      </c>
      <c r="C12" s="768">
        <v>7</v>
      </c>
      <c r="D12" s="432">
        <v>203.1</v>
      </c>
      <c r="E12" s="877">
        <v>44698</v>
      </c>
      <c r="F12" s="876">
        <f t="shared" si="0"/>
        <v>203.1</v>
      </c>
      <c r="G12" s="878" t="s">
        <v>200</v>
      </c>
      <c r="H12" s="879">
        <v>34</v>
      </c>
      <c r="I12" s="270">
        <f t="shared" ref="I12:I13" si="3">I11-F12</f>
        <v>4415.1600000000008</v>
      </c>
      <c r="K12" s="242"/>
      <c r="L12" s="458">
        <f t="shared" ref="L12:L41" si="4">L11-M12</f>
        <v>153</v>
      </c>
      <c r="M12" s="768"/>
      <c r="N12" s="432"/>
      <c r="O12" s="877"/>
      <c r="P12" s="876">
        <f t="shared" si="1"/>
        <v>0</v>
      </c>
      <c r="Q12" s="878"/>
      <c r="R12" s="879"/>
      <c r="S12" s="270">
        <f t="shared" ref="S12:S13" si="5">S11-P12</f>
        <v>4381.3900000000003</v>
      </c>
    </row>
    <row r="13" spans="1:19" x14ac:dyDescent="0.25">
      <c r="A13" s="925"/>
      <c r="B13" s="458">
        <f t="shared" si="2"/>
        <v>150</v>
      </c>
      <c r="C13" s="431">
        <v>3</v>
      </c>
      <c r="D13" s="567">
        <v>86.09</v>
      </c>
      <c r="E13" s="877">
        <v>44699</v>
      </c>
      <c r="F13" s="876">
        <f t="shared" si="0"/>
        <v>86.09</v>
      </c>
      <c r="G13" s="878" t="s">
        <v>183</v>
      </c>
      <c r="H13" s="879">
        <v>34</v>
      </c>
      <c r="I13" s="270">
        <f t="shared" si="3"/>
        <v>4329.0700000000006</v>
      </c>
      <c r="K13" s="925"/>
      <c r="L13" s="458">
        <f t="shared" si="4"/>
        <v>153</v>
      </c>
      <c r="M13" s="431"/>
      <c r="N13" s="567"/>
      <c r="O13" s="877"/>
      <c r="P13" s="876">
        <f t="shared" si="1"/>
        <v>0</v>
      </c>
      <c r="Q13" s="878"/>
      <c r="R13" s="879"/>
      <c r="S13" s="270">
        <f t="shared" si="5"/>
        <v>4381.3900000000003</v>
      </c>
    </row>
    <row r="14" spans="1:19" x14ac:dyDescent="0.25">
      <c r="A14" s="242"/>
      <c r="B14" s="458">
        <f t="shared" si="2"/>
        <v>146</v>
      </c>
      <c r="C14" s="431">
        <v>4</v>
      </c>
      <c r="D14" s="567">
        <v>119.65</v>
      </c>
      <c r="E14" s="877">
        <v>44701</v>
      </c>
      <c r="F14" s="876">
        <f t="shared" si="0"/>
        <v>119.65</v>
      </c>
      <c r="G14" s="878" t="s">
        <v>212</v>
      </c>
      <c r="H14" s="879">
        <v>34</v>
      </c>
      <c r="I14" s="270">
        <f>I13-F14</f>
        <v>4209.420000000001</v>
      </c>
      <c r="K14" s="242"/>
      <c r="L14" s="458">
        <f t="shared" si="4"/>
        <v>153</v>
      </c>
      <c r="M14" s="431"/>
      <c r="N14" s="567"/>
      <c r="O14" s="877"/>
      <c r="P14" s="876">
        <f t="shared" si="1"/>
        <v>0</v>
      </c>
      <c r="Q14" s="878"/>
      <c r="R14" s="879"/>
      <c r="S14" s="270">
        <f>S13-P14</f>
        <v>4381.3900000000003</v>
      </c>
    </row>
    <row r="15" spans="1:19" x14ac:dyDescent="0.25">
      <c r="A15" s="242"/>
      <c r="B15" s="458">
        <f t="shared" si="2"/>
        <v>145</v>
      </c>
      <c r="C15" s="431">
        <v>1</v>
      </c>
      <c r="D15" s="567">
        <v>23.43</v>
      </c>
      <c r="E15" s="877">
        <v>44702</v>
      </c>
      <c r="F15" s="876">
        <f t="shared" si="0"/>
        <v>23.43</v>
      </c>
      <c r="G15" s="878" t="s">
        <v>214</v>
      </c>
      <c r="H15" s="879">
        <v>34</v>
      </c>
      <c r="I15" s="270">
        <f t="shared" ref="I15:I41" si="6">I14-F15</f>
        <v>4185.9900000000007</v>
      </c>
      <c r="K15" s="242"/>
      <c r="L15" s="458">
        <f t="shared" si="4"/>
        <v>153</v>
      </c>
      <c r="M15" s="431"/>
      <c r="N15" s="567"/>
      <c r="O15" s="877"/>
      <c r="P15" s="876">
        <f t="shared" si="1"/>
        <v>0</v>
      </c>
      <c r="Q15" s="878"/>
      <c r="R15" s="879"/>
      <c r="S15" s="270">
        <f t="shared" ref="S15:S41" si="7">S14-P15</f>
        <v>4381.3900000000003</v>
      </c>
    </row>
    <row r="16" spans="1:19" x14ac:dyDescent="0.25">
      <c r="A16" s="240"/>
      <c r="B16" s="458">
        <f t="shared" si="2"/>
        <v>140</v>
      </c>
      <c r="C16" s="431">
        <v>5</v>
      </c>
      <c r="D16" s="567">
        <v>142.37</v>
      </c>
      <c r="E16" s="877">
        <v>44702</v>
      </c>
      <c r="F16" s="876">
        <f t="shared" si="0"/>
        <v>142.37</v>
      </c>
      <c r="G16" s="878" t="s">
        <v>217</v>
      </c>
      <c r="H16" s="879">
        <v>34</v>
      </c>
      <c r="I16" s="270">
        <f t="shared" si="6"/>
        <v>4043.6200000000008</v>
      </c>
      <c r="K16" s="240"/>
      <c r="L16" s="458">
        <f t="shared" si="4"/>
        <v>153</v>
      </c>
      <c r="M16" s="431"/>
      <c r="N16" s="567"/>
      <c r="O16" s="877"/>
      <c r="P16" s="876">
        <f t="shared" si="1"/>
        <v>0</v>
      </c>
      <c r="Q16" s="878"/>
      <c r="R16" s="879"/>
      <c r="S16" s="270">
        <f t="shared" si="7"/>
        <v>4381.3900000000003</v>
      </c>
    </row>
    <row r="17" spans="1:19" x14ac:dyDescent="0.25">
      <c r="A17" s="240"/>
      <c r="B17" s="458">
        <f t="shared" si="2"/>
        <v>133</v>
      </c>
      <c r="C17" s="431">
        <v>7</v>
      </c>
      <c r="D17" s="567">
        <v>206.24</v>
      </c>
      <c r="E17" s="877">
        <v>44704</v>
      </c>
      <c r="F17" s="876">
        <f t="shared" si="0"/>
        <v>206.24</v>
      </c>
      <c r="G17" s="878" t="s">
        <v>235</v>
      </c>
      <c r="H17" s="879">
        <v>34</v>
      </c>
      <c r="I17" s="270">
        <f t="shared" si="6"/>
        <v>3837.380000000001</v>
      </c>
      <c r="K17" s="240"/>
      <c r="L17" s="458">
        <f t="shared" si="4"/>
        <v>153</v>
      </c>
      <c r="M17" s="431"/>
      <c r="N17" s="567"/>
      <c r="O17" s="877"/>
      <c r="P17" s="876">
        <f t="shared" si="1"/>
        <v>0</v>
      </c>
      <c r="Q17" s="878"/>
      <c r="R17" s="879"/>
      <c r="S17" s="270">
        <f t="shared" si="7"/>
        <v>4381.3900000000003</v>
      </c>
    </row>
    <row r="18" spans="1:19" x14ac:dyDescent="0.25">
      <c r="A18" s="240"/>
      <c r="B18" s="458">
        <f t="shared" si="2"/>
        <v>126</v>
      </c>
      <c r="C18" s="431">
        <v>7</v>
      </c>
      <c r="D18" s="567">
        <v>200.93</v>
      </c>
      <c r="E18" s="877">
        <v>44707</v>
      </c>
      <c r="F18" s="876">
        <f t="shared" si="0"/>
        <v>200.93</v>
      </c>
      <c r="G18" s="878" t="s">
        <v>246</v>
      </c>
      <c r="H18" s="879">
        <v>34</v>
      </c>
      <c r="I18" s="270">
        <f t="shared" si="6"/>
        <v>3636.4500000000012</v>
      </c>
      <c r="K18" s="240"/>
      <c r="L18" s="458">
        <f t="shared" si="4"/>
        <v>153</v>
      </c>
      <c r="M18" s="431"/>
      <c r="N18" s="567"/>
      <c r="O18" s="877"/>
      <c r="P18" s="876">
        <f t="shared" si="1"/>
        <v>0</v>
      </c>
      <c r="Q18" s="878"/>
      <c r="R18" s="879"/>
      <c r="S18" s="270">
        <f t="shared" si="7"/>
        <v>4381.3900000000003</v>
      </c>
    </row>
    <row r="19" spans="1:19" x14ac:dyDescent="0.25">
      <c r="A19" s="240"/>
      <c r="B19" s="458">
        <f t="shared" si="2"/>
        <v>124</v>
      </c>
      <c r="C19" s="431">
        <v>2</v>
      </c>
      <c r="D19" s="567">
        <v>59.51</v>
      </c>
      <c r="E19" s="877">
        <v>44708</v>
      </c>
      <c r="F19" s="876">
        <f t="shared" si="0"/>
        <v>59.51</v>
      </c>
      <c r="G19" s="878" t="s">
        <v>255</v>
      </c>
      <c r="H19" s="879">
        <v>34</v>
      </c>
      <c r="I19" s="270">
        <f t="shared" si="6"/>
        <v>3576.940000000001</v>
      </c>
      <c r="K19" s="240"/>
      <c r="L19" s="458">
        <f t="shared" si="4"/>
        <v>153</v>
      </c>
      <c r="M19" s="431"/>
      <c r="N19" s="567"/>
      <c r="O19" s="877"/>
      <c r="P19" s="876">
        <f t="shared" si="1"/>
        <v>0</v>
      </c>
      <c r="Q19" s="878"/>
      <c r="R19" s="879"/>
      <c r="S19" s="270">
        <f t="shared" si="7"/>
        <v>4381.3900000000003</v>
      </c>
    </row>
    <row r="20" spans="1:19" x14ac:dyDescent="0.25">
      <c r="A20" s="240"/>
      <c r="B20" s="458">
        <f t="shared" si="2"/>
        <v>123</v>
      </c>
      <c r="C20" s="431">
        <v>1</v>
      </c>
      <c r="D20" s="567">
        <v>30.19</v>
      </c>
      <c r="E20" s="877">
        <v>44709</v>
      </c>
      <c r="F20" s="876">
        <f t="shared" si="0"/>
        <v>30.19</v>
      </c>
      <c r="G20" s="878" t="s">
        <v>258</v>
      </c>
      <c r="H20" s="879">
        <v>34</v>
      </c>
      <c r="I20" s="270">
        <f t="shared" si="6"/>
        <v>3546.7500000000009</v>
      </c>
      <c r="K20" s="240"/>
      <c r="L20" s="458">
        <f t="shared" si="4"/>
        <v>153</v>
      </c>
      <c r="M20" s="431"/>
      <c r="N20" s="567"/>
      <c r="O20" s="877"/>
      <c r="P20" s="876">
        <f t="shared" si="1"/>
        <v>0</v>
      </c>
      <c r="Q20" s="878"/>
      <c r="R20" s="879"/>
      <c r="S20" s="270">
        <f t="shared" si="7"/>
        <v>4381.3900000000003</v>
      </c>
    </row>
    <row r="21" spans="1:19" x14ac:dyDescent="0.25">
      <c r="A21" s="240"/>
      <c r="B21" s="458">
        <f t="shared" si="2"/>
        <v>122</v>
      </c>
      <c r="C21" s="431">
        <v>1</v>
      </c>
      <c r="D21" s="567">
        <v>28.88</v>
      </c>
      <c r="E21" s="877">
        <v>44709</v>
      </c>
      <c r="F21" s="876">
        <f t="shared" si="0"/>
        <v>28.88</v>
      </c>
      <c r="G21" s="880" t="s">
        <v>259</v>
      </c>
      <c r="H21" s="881">
        <v>34</v>
      </c>
      <c r="I21" s="132">
        <f t="shared" si="6"/>
        <v>3517.8700000000008</v>
      </c>
      <c r="K21" s="240"/>
      <c r="L21" s="458">
        <f t="shared" si="4"/>
        <v>153</v>
      </c>
      <c r="M21" s="431"/>
      <c r="N21" s="567"/>
      <c r="O21" s="877"/>
      <c r="P21" s="876">
        <f t="shared" si="1"/>
        <v>0</v>
      </c>
      <c r="Q21" s="880"/>
      <c r="R21" s="881"/>
      <c r="S21" s="132">
        <f t="shared" si="7"/>
        <v>4381.3900000000003</v>
      </c>
    </row>
    <row r="22" spans="1:19" x14ac:dyDescent="0.25">
      <c r="A22" s="240"/>
      <c r="B22" s="458">
        <f t="shared" si="2"/>
        <v>115</v>
      </c>
      <c r="C22" s="431">
        <v>7</v>
      </c>
      <c r="D22" s="1074">
        <v>189.33</v>
      </c>
      <c r="E22" s="1075">
        <v>44711</v>
      </c>
      <c r="F22" s="1076">
        <f t="shared" si="0"/>
        <v>189.33</v>
      </c>
      <c r="G22" s="1077" t="s">
        <v>474</v>
      </c>
      <c r="H22" s="1078">
        <v>34</v>
      </c>
      <c r="I22" s="132">
        <f t="shared" si="6"/>
        <v>3328.5400000000009</v>
      </c>
      <c r="K22" s="240"/>
      <c r="L22" s="458">
        <f t="shared" si="4"/>
        <v>153</v>
      </c>
      <c r="M22" s="431"/>
      <c r="N22" s="567"/>
      <c r="O22" s="460"/>
      <c r="P22" s="432">
        <f t="shared" si="1"/>
        <v>0</v>
      </c>
      <c r="Q22" s="1111"/>
      <c r="R22" s="1112"/>
      <c r="S22" s="132">
        <f t="shared" si="7"/>
        <v>4381.3900000000003</v>
      </c>
    </row>
    <row r="23" spans="1:19" x14ac:dyDescent="0.25">
      <c r="A23" s="240"/>
      <c r="B23" s="458">
        <f t="shared" si="2"/>
        <v>114</v>
      </c>
      <c r="C23" s="431">
        <v>1</v>
      </c>
      <c r="D23" s="1074">
        <v>30.04</v>
      </c>
      <c r="E23" s="1075">
        <v>44712</v>
      </c>
      <c r="F23" s="1076">
        <f t="shared" si="0"/>
        <v>30.04</v>
      </c>
      <c r="G23" s="1077" t="s">
        <v>483</v>
      </c>
      <c r="H23" s="1078">
        <v>34</v>
      </c>
      <c r="I23" s="132">
        <f t="shared" si="6"/>
        <v>3298.5000000000009</v>
      </c>
      <c r="K23" s="240"/>
      <c r="L23" s="458">
        <f t="shared" si="4"/>
        <v>153</v>
      </c>
      <c r="M23" s="431"/>
      <c r="N23" s="567"/>
      <c r="O23" s="460"/>
      <c r="P23" s="432">
        <f t="shared" si="1"/>
        <v>0</v>
      </c>
      <c r="Q23" s="1111"/>
      <c r="R23" s="1112"/>
      <c r="S23" s="132">
        <f t="shared" si="7"/>
        <v>4381.3900000000003</v>
      </c>
    </row>
    <row r="24" spans="1:19" x14ac:dyDescent="0.25">
      <c r="A24" s="240"/>
      <c r="B24" s="458">
        <f t="shared" si="2"/>
        <v>113</v>
      </c>
      <c r="C24" s="431">
        <v>1</v>
      </c>
      <c r="D24" s="1074">
        <v>29.46</v>
      </c>
      <c r="E24" s="1075">
        <v>44712</v>
      </c>
      <c r="F24" s="1076">
        <f t="shared" si="0"/>
        <v>29.46</v>
      </c>
      <c r="G24" s="1077" t="s">
        <v>486</v>
      </c>
      <c r="H24" s="1078">
        <v>34</v>
      </c>
      <c r="I24" s="132">
        <f t="shared" si="6"/>
        <v>3269.0400000000009</v>
      </c>
      <c r="K24" s="240"/>
      <c r="L24" s="458">
        <f t="shared" si="4"/>
        <v>153</v>
      </c>
      <c r="M24" s="431"/>
      <c r="N24" s="567"/>
      <c r="O24" s="460"/>
      <c r="P24" s="432">
        <f t="shared" si="1"/>
        <v>0</v>
      </c>
      <c r="Q24" s="1111"/>
      <c r="R24" s="1112"/>
      <c r="S24" s="132">
        <f t="shared" si="7"/>
        <v>4381.3900000000003</v>
      </c>
    </row>
    <row r="25" spans="1:19" x14ac:dyDescent="0.25">
      <c r="A25" s="240"/>
      <c r="B25" s="458">
        <f t="shared" si="2"/>
        <v>109</v>
      </c>
      <c r="C25" s="431">
        <v>4</v>
      </c>
      <c r="D25" s="1074">
        <v>120.83</v>
      </c>
      <c r="E25" s="1075">
        <v>44713</v>
      </c>
      <c r="F25" s="1076">
        <f t="shared" si="0"/>
        <v>120.83</v>
      </c>
      <c r="G25" s="1077" t="s">
        <v>501</v>
      </c>
      <c r="H25" s="1078">
        <v>34</v>
      </c>
      <c r="I25" s="132">
        <f t="shared" si="6"/>
        <v>3148.2100000000009</v>
      </c>
      <c r="K25" s="240"/>
      <c r="L25" s="458">
        <f t="shared" si="4"/>
        <v>153</v>
      </c>
      <c r="M25" s="431"/>
      <c r="N25" s="567"/>
      <c r="O25" s="460"/>
      <c r="P25" s="432">
        <f t="shared" si="1"/>
        <v>0</v>
      </c>
      <c r="Q25" s="1111"/>
      <c r="R25" s="1112"/>
      <c r="S25" s="132">
        <f t="shared" si="7"/>
        <v>4381.3900000000003</v>
      </c>
    </row>
    <row r="26" spans="1:19" x14ac:dyDescent="0.25">
      <c r="B26" s="458">
        <f t="shared" si="2"/>
        <v>108</v>
      </c>
      <c r="C26" s="431">
        <v>1</v>
      </c>
      <c r="D26" s="1074">
        <v>29.66</v>
      </c>
      <c r="E26" s="1075">
        <v>44715</v>
      </c>
      <c r="F26" s="1076">
        <f t="shared" si="0"/>
        <v>29.66</v>
      </c>
      <c r="G26" s="1077" t="s">
        <v>515</v>
      </c>
      <c r="H26" s="1078">
        <v>34</v>
      </c>
      <c r="I26" s="132">
        <f t="shared" si="6"/>
        <v>3118.5500000000011</v>
      </c>
      <c r="L26" s="458">
        <f t="shared" si="4"/>
        <v>153</v>
      </c>
      <c r="M26" s="431"/>
      <c r="N26" s="567"/>
      <c r="O26" s="460"/>
      <c r="P26" s="432">
        <f t="shared" si="1"/>
        <v>0</v>
      </c>
      <c r="Q26" s="1111"/>
      <c r="R26" s="1112"/>
      <c r="S26" s="132">
        <f t="shared" si="7"/>
        <v>4381.3900000000003</v>
      </c>
    </row>
    <row r="27" spans="1:19" x14ac:dyDescent="0.25">
      <c r="B27" s="458">
        <f t="shared" si="2"/>
        <v>101</v>
      </c>
      <c r="C27" s="431">
        <v>7</v>
      </c>
      <c r="D27" s="1074">
        <v>204.12</v>
      </c>
      <c r="E27" s="1075">
        <v>44715</v>
      </c>
      <c r="F27" s="1076">
        <f t="shared" si="0"/>
        <v>204.12</v>
      </c>
      <c r="G27" s="1077" t="s">
        <v>517</v>
      </c>
      <c r="H27" s="1078">
        <v>34</v>
      </c>
      <c r="I27" s="132">
        <f t="shared" si="6"/>
        <v>2914.4300000000012</v>
      </c>
      <c r="L27" s="458">
        <f t="shared" si="4"/>
        <v>153</v>
      </c>
      <c r="M27" s="431"/>
      <c r="N27" s="567"/>
      <c r="O27" s="460"/>
      <c r="P27" s="432">
        <f t="shared" si="1"/>
        <v>0</v>
      </c>
      <c r="Q27" s="1111"/>
      <c r="R27" s="1113"/>
      <c r="S27" s="132">
        <f t="shared" si="7"/>
        <v>4381.3900000000003</v>
      </c>
    </row>
    <row r="28" spans="1:19" x14ac:dyDescent="0.25">
      <c r="B28" s="458">
        <f t="shared" si="2"/>
        <v>100</v>
      </c>
      <c r="C28" s="431">
        <v>1</v>
      </c>
      <c r="D28" s="1074">
        <v>28.43</v>
      </c>
      <c r="E28" s="1075">
        <v>44715</v>
      </c>
      <c r="F28" s="1076">
        <f t="shared" si="0"/>
        <v>28.43</v>
      </c>
      <c r="G28" s="1077" t="s">
        <v>519</v>
      </c>
      <c r="H28" s="1078">
        <v>34</v>
      </c>
      <c r="I28" s="132">
        <f t="shared" si="6"/>
        <v>2886.0000000000014</v>
      </c>
      <c r="L28" s="458">
        <f t="shared" si="4"/>
        <v>153</v>
      </c>
      <c r="M28" s="431"/>
      <c r="N28" s="567"/>
      <c r="O28" s="460"/>
      <c r="P28" s="432">
        <f t="shared" si="1"/>
        <v>0</v>
      </c>
      <c r="Q28" s="1111"/>
      <c r="R28" s="1113"/>
      <c r="S28" s="132">
        <f t="shared" si="7"/>
        <v>4381.3900000000003</v>
      </c>
    </row>
    <row r="29" spans="1:19" x14ac:dyDescent="0.25">
      <c r="B29" s="458">
        <f t="shared" si="2"/>
        <v>91</v>
      </c>
      <c r="C29" s="431">
        <v>9</v>
      </c>
      <c r="D29" s="1074">
        <v>271.56</v>
      </c>
      <c r="E29" s="1075">
        <v>44718</v>
      </c>
      <c r="F29" s="1076">
        <f t="shared" si="0"/>
        <v>271.56</v>
      </c>
      <c r="G29" s="1077" t="s">
        <v>541</v>
      </c>
      <c r="H29" s="1078">
        <v>34</v>
      </c>
      <c r="I29" s="132">
        <f t="shared" si="6"/>
        <v>2614.4400000000014</v>
      </c>
      <c r="L29" s="458">
        <f t="shared" si="4"/>
        <v>153</v>
      </c>
      <c r="M29" s="431"/>
      <c r="N29" s="567"/>
      <c r="O29" s="460"/>
      <c r="P29" s="432">
        <f t="shared" si="1"/>
        <v>0</v>
      </c>
      <c r="Q29" s="1111"/>
      <c r="R29" s="1113"/>
      <c r="S29" s="132">
        <f t="shared" si="7"/>
        <v>4381.3900000000003</v>
      </c>
    </row>
    <row r="30" spans="1:19" x14ac:dyDescent="0.25">
      <c r="B30" s="458">
        <f t="shared" si="2"/>
        <v>84</v>
      </c>
      <c r="C30" s="431">
        <v>7</v>
      </c>
      <c r="D30" s="1074">
        <v>204.91</v>
      </c>
      <c r="E30" s="1075">
        <v>44719</v>
      </c>
      <c r="F30" s="1076">
        <f t="shared" si="0"/>
        <v>204.91</v>
      </c>
      <c r="G30" s="1077" t="s">
        <v>547</v>
      </c>
      <c r="H30" s="1078">
        <v>34</v>
      </c>
      <c r="I30" s="132">
        <f t="shared" si="6"/>
        <v>2409.5300000000016</v>
      </c>
      <c r="L30" s="458">
        <f t="shared" si="4"/>
        <v>153</v>
      </c>
      <c r="M30" s="431"/>
      <c r="N30" s="567"/>
      <c r="O30" s="460"/>
      <c r="P30" s="432">
        <f t="shared" si="1"/>
        <v>0</v>
      </c>
      <c r="Q30" s="1111"/>
      <c r="R30" s="1113"/>
      <c r="S30" s="132">
        <f t="shared" si="7"/>
        <v>4381.3900000000003</v>
      </c>
    </row>
    <row r="31" spans="1:19" x14ac:dyDescent="0.25">
      <c r="B31" s="458">
        <f t="shared" si="2"/>
        <v>84</v>
      </c>
      <c r="C31" s="431"/>
      <c r="D31" s="1074"/>
      <c r="E31" s="1080"/>
      <c r="F31" s="1076">
        <f t="shared" si="0"/>
        <v>0</v>
      </c>
      <c r="G31" s="1081"/>
      <c r="H31" s="1078"/>
      <c r="I31" s="132">
        <f t="shared" si="6"/>
        <v>2409.5300000000016</v>
      </c>
      <c r="L31" s="458">
        <f t="shared" si="4"/>
        <v>153</v>
      </c>
      <c r="M31" s="431"/>
      <c r="N31" s="567"/>
      <c r="O31" s="1114"/>
      <c r="P31" s="432">
        <f t="shared" si="1"/>
        <v>0</v>
      </c>
      <c r="Q31" s="1115"/>
      <c r="R31" s="1113"/>
      <c r="S31" s="132">
        <f t="shared" si="7"/>
        <v>4381.3900000000003</v>
      </c>
    </row>
    <row r="32" spans="1:19" x14ac:dyDescent="0.25">
      <c r="B32" s="458">
        <f t="shared" si="2"/>
        <v>84</v>
      </c>
      <c r="C32" s="431"/>
      <c r="D32" s="1074"/>
      <c r="E32" s="1080"/>
      <c r="F32" s="1076">
        <f t="shared" si="0"/>
        <v>0</v>
      </c>
      <c r="G32" s="1081"/>
      <c r="H32" s="1078"/>
      <c r="I32" s="132">
        <f t="shared" si="6"/>
        <v>2409.5300000000016</v>
      </c>
      <c r="L32" s="458">
        <f t="shared" si="4"/>
        <v>153</v>
      </c>
      <c r="M32" s="431"/>
      <c r="N32" s="567"/>
      <c r="O32" s="1114"/>
      <c r="P32" s="432">
        <f t="shared" si="1"/>
        <v>0</v>
      </c>
      <c r="Q32" s="1115"/>
      <c r="R32" s="1113"/>
      <c r="S32" s="132">
        <f t="shared" si="7"/>
        <v>4381.3900000000003</v>
      </c>
    </row>
    <row r="33" spans="2:19" x14ac:dyDescent="0.25">
      <c r="B33" s="458">
        <f t="shared" si="2"/>
        <v>84</v>
      </c>
      <c r="C33" s="431"/>
      <c r="D33" s="1074"/>
      <c r="E33" s="1080"/>
      <c r="F33" s="1076">
        <f t="shared" si="0"/>
        <v>0</v>
      </c>
      <c r="G33" s="1081"/>
      <c r="H33" s="1078"/>
      <c r="I33" s="132">
        <f t="shared" si="6"/>
        <v>2409.5300000000016</v>
      </c>
      <c r="L33" s="458">
        <f t="shared" si="4"/>
        <v>153</v>
      </c>
      <c r="M33" s="431"/>
      <c r="N33" s="567"/>
      <c r="O33" s="1114"/>
      <c r="P33" s="432">
        <f t="shared" si="1"/>
        <v>0</v>
      </c>
      <c r="Q33" s="1115"/>
      <c r="R33" s="1113"/>
      <c r="S33" s="132">
        <f t="shared" si="7"/>
        <v>4381.3900000000003</v>
      </c>
    </row>
    <row r="34" spans="2:19" x14ac:dyDescent="0.25">
      <c r="B34" s="458">
        <f t="shared" si="2"/>
        <v>84</v>
      </c>
      <c r="C34" s="431"/>
      <c r="D34" s="1074"/>
      <c r="E34" s="1080"/>
      <c r="F34" s="1076">
        <f t="shared" si="0"/>
        <v>0</v>
      </c>
      <c r="G34" s="1081"/>
      <c r="H34" s="1078"/>
      <c r="I34" s="132">
        <f t="shared" si="6"/>
        <v>2409.5300000000016</v>
      </c>
      <c r="L34" s="458">
        <f t="shared" si="4"/>
        <v>153</v>
      </c>
      <c r="M34" s="431"/>
      <c r="N34" s="567"/>
      <c r="O34" s="1114"/>
      <c r="P34" s="432">
        <f t="shared" si="1"/>
        <v>0</v>
      </c>
      <c r="Q34" s="1115"/>
      <c r="R34" s="1113"/>
      <c r="S34" s="132">
        <f t="shared" si="7"/>
        <v>4381.3900000000003</v>
      </c>
    </row>
    <row r="35" spans="2:19" x14ac:dyDescent="0.25">
      <c r="B35" s="458">
        <f t="shared" si="2"/>
        <v>84</v>
      </c>
      <c r="C35" s="431"/>
      <c r="D35" s="1074"/>
      <c r="E35" s="1080"/>
      <c r="F35" s="1076">
        <f t="shared" si="0"/>
        <v>0</v>
      </c>
      <c r="G35" s="1081"/>
      <c r="H35" s="1078"/>
      <c r="I35" s="132">
        <f t="shared" si="6"/>
        <v>2409.5300000000016</v>
      </c>
      <c r="L35" s="458">
        <f t="shared" si="4"/>
        <v>153</v>
      </c>
      <c r="M35" s="431"/>
      <c r="N35" s="567"/>
      <c r="O35" s="1114"/>
      <c r="P35" s="432">
        <f t="shared" si="1"/>
        <v>0</v>
      </c>
      <c r="Q35" s="1115"/>
      <c r="R35" s="1113"/>
      <c r="S35" s="132">
        <f t="shared" si="7"/>
        <v>4381.3900000000003</v>
      </c>
    </row>
    <row r="36" spans="2:19" x14ac:dyDescent="0.25">
      <c r="B36" s="458">
        <f t="shared" si="2"/>
        <v>84</v>
      </c>
      <c r="C36" s="431"/>
      <c r="D36" s="1074"/>
      <c r="E36" s="1080"/>
      <c r="F36" s="1076">
        <f t="shared" si="0"/>
        <v>0</v>
      </c>
      <c r="G36" s="1081"/>
      <c r="H36" s="1078"/>
      <c r="I36" s="132">
        <f t="shared" si="6"/>
        <v>2409.5300000000016</v>
      </c>
      <c r="L36" s="458">
        <f t="shared" si="4"/>
        <v>153</v>
      </c>
      <c r="M36" s="431"/>
      <c r="N36" s="567"/>
      <c r="O36" s="1114"/>
      <c r="P36" s="432">
        <f t="shared" si="1"/>
        <v>0</v>
      </c>
      <c r="Q36" s="1115"/>
      <c r="R36" s="1113"/>
      <c r="S36" s="132">
        <f t="shared" si="7"/>
        <v>4381.3900000000003</v>
      </c>
    </row>
    <row r="37" spans="2:19" x14ac:dyDescent="0.25">
      <c r="B37" s="458">
        <f t="shared" si="2"/>
        <v>84</v>
      </c>
      <c r="C37" s="431"/>
      <c r="D37" s="1074"/>
      <c r="E37" s="1080"/>
      <c r="F37" s="1076">
        <f t="shared" si="0"/>
        <v>0</v>
      </c>
      <c r="G37" s="1081"/>
      <c r="H37" s="1078"/>
      <c r="I37" s="132">
        <f t="shared" si="6"/>
        <v>2409.5300000000016</v>
      </c>
      <c r="L37" s="458">
        <f t="shared" si="4"/>
        <v>153</v>
      </c>
      <c r="M37" s="431"/>
      <c r="N37" s="567"/>
      <c r="O37" s="1114"/>
      <c r="P37" s="432">
        <f t="shared" si="1"/>
        <v>0</v>
      </c>
      <c r="Q37" s="1115"/>
      <c r="R37" s="1113"/>
      <c r="S37" s="132">
        <f t="shared" si="7"/>
        <v>4381.3900000000003</v>
      </c>
    </row>
    <row r="38" spans="2:19" x14ac:dyDescent="0.25">
      <c r="B38" s="458">
        <f t="shared" si="2"/>
        <v>84</v>
      </c>
      <c r="C38" s="431"/>
      <c r="D38" s="1074"/>
      <c r="E38" s="1080"/>
      <c r="F38" s="1076">
        <f t="shared" si="0"/>
        <v>0</v>
      </c>
      <c r="G38" s="1081"/>
      <c r="H38" s="1079"/>
      <c r="I38" s="132">
        <f t="shared" si="6"/>
        <v>2409.5300000000016</v>
      </c>
      <c r="L38" s="458">
        <f t="shared" si="4"/>
        <v>153</v>
      </c>
      <c r="M38" s="431"/>
      <c r="N38" s="567"/>
      <c r="O38" s="1114"/>
      <c r="P38" s="432">
        <f t="shared" si="1"/>
        <v>0</v>
      </c>
      <c r="Q38" s="1115"/>
      <c r="R38" s="1113"/>
      <c r="S38" s="132">
        <f t="shared" si="7"/>
        <v>4381.3900000000003</v>
      </c>
    </row>
    <row r="39" spans="2:19" x14ac:dyDescent="0.25">
      <c r="B39" s="458">
        <f t="shared" si="2"/>
        <v>84</v>
      </c>
      <c r="C39" s="431"/>
      <c r="D39" s="1074"/>
      <c r="E39" s="1080"/>
      <c r="F39" s="1076">
        <f t="shared" si="0"/>
        <v>0</v>
      </c>
      <c r="G39" s="1081"/>
      <c r="H39" s="1079"/>
      <c r="I39" s="132">
        <f t="shared" si="6"/>
        <v>2409.5300000000016</v>
      </c>
      <c r="L39" s="458">
        <f t="shared" si="4"/>
        <v>153</v>
      </c>
      <c r="M39" s="431"/>
      <c r="N39" s="567"/>
      <c r="O39" s="1114"/>
      <c r="P39" s="432">
        <f t="shared" si="1"/>
        <v>0</v>
      </c>
      <c r="Q39" s="1115"/>
      <c r="R39" s="1113"/>
      <c r="S39" s="132">
        <f t="shared" si="7"/>
        <v>4381.3900000000003</v>
      </c>
    </row>
    <row r="40" spans="2:19" x14ac:dyDescent="0.25">
      <c r="B40" s="458">
        <f t="shared" si="2"/>
        <v>84</v>
      </c>
      <c r="C40" s="431"/>
      <c r="D40" s="567"/>
      <c r="E40" s="883"/>
      <c r="F40" s="876">
        <f t="shared" si="0"/>
        <v>0</v>
      </c>
      <c r="G40" s="884"/>
      <c r="H40" s="882"/>
      <c r="I40" s="132">
        <f t="shared" si="6"/>
        <v>2409.5300000000016</v>
      </c>
      <c r="L40" s="458">
        <f t="shared" si="4"/>
        <v>153</v>
      </c>
      <c r="M40" s="431"/>
      <c r="N40" s="567"/>
      <c r="O40" s="1114"/>
      <c r="P40" s="432">
        <f t="shared" si="1"/>
        <v>0</v>
      </c>
      <c r="Q40" s="1115"/>
      <c r="R40" s="1113"/>
      <c r="S40" s="132">
        <f t="shared" si="7"/>
        <v>4381.3900000000003</v>
      </c>
    </row>
    <row r="41" spans="2:19" x14ac:dyDescent="0.25">
      <c r="B41" s="458">
        <f t="shared" si="2"/>
        <v>84</v>
      </c>
      <c r="C41" s="431"/>
      <c r="D41" s="567"/>
      <c r="E41" s="885"/>
      <c r="F41" s="876">
        <f t="shared" si="0"/>
        <v>0</v>
      </c>
      <c r="G41" s="886"/>
      <c r="H41" s="886"/>
      <c r="I41" s="132">
        <f t="shared" si="6"/>
        <v>2409.5300000000016</v>
      </c>
      <c r="L41" s="458">
        <f t="shared" si="4"/>
        <v>153</v>
      </c>
      <c r="M41" s="431"/>
      <c r="N41" s="567"/>
      <c r="O41" s="885"/>
      <c r="P41" s="876">
        <f t="shared" si="1"/>
        <v>0</v>
      </c>
      <c r="Q41" s="886"/>
      <c r="R41" s="886"/>
      <c r="S41" s="132">
        <f t="shared" si="7"/>
        <v>4381.3900000000003</v>
      </c>
    </row>
    <row r="42" spans="2:19" x14ac:dyDescent="0.25">
      <c r="B42" s="458"/>
      <c r="C42" s="431"/>
      <c r="D42" s="567"/>
      <c r="E42" s="885"/>
      <c r="F42" s="876"/>
      <c r="G42" s="886"/>
      <c r="H42" s="886"/>
      <c r="I42" s="132"/>
      <c r="L42" s="458"/>
      <c r="M42" s="431"/>
      <c r="N42" s="567"/>
      <c r="O42" s="885"/>
      <c r="P42" s="876"/>
      <c r="Q42" s="886"/>
      <c r="R42" s="886"/>
      <c r="S42" s="132"/>
    </row>
    <row r="43" spans="2:19" x14ac:dyDescent="0.25">
      <c r="B43" s="458"/>
      <c r="C43" s="431"/>
      <c r="D43" s="567"/>
      <c r="E43" s="885"/>
      <c r="F43" s="876"/>
      <c r="G43" s="886"/>
      <c r="H43" s="886"/>
      <c r="I43" s="132"/>
      <c r="L43" s="458"/>
      <c r="M43" s="431"/>
      <c r="N43" s="567"/>
      <c r="O43" s="885"/>
      <c r="P43" s="876"/>
      <c r="Q43" s="886"/>
      <c r="R43" s="886"/>
      <c r="S43" s="132"/>
    </row>
    <row r="44" spans="2:19" x14ac:dyDescent="0.25">
      <c r="B44" s="458"/>
      <c r="C44" s="431"/>
      <c r="D44" s="567"/>
      <c r="E44" s="885"/>
      <c r="F44" s="876"/>
      <c r="G44" s="886"/>
      <c r="H44" s="886"/>
      <c r="I44" s="132"/>
      <c r="L44" s="458"/>
      <c r="M44" s="431"/>
      <c r="N44" s="567"/>
      <c r="O44" s="885"/>
      <c r="P44" s="876"/>
      <c r="Q44" s="886"/>
      <c r="R44" s="886"/>
      <c r="S44" s="132"/>
    </row>
    <row r="45" spans="2:19" x14ac:dyDescent="0.25">
      <c r="B45" s="458"/>
      <c r="C45" s="431"/>
      <c r="D45" s="567"/>
      <c r="E45" s="885"/>
      <c r="F45" s="876"/>
      <c r="G45" s="886"/>
      <c r="H45" s="886"/>
      <c r="I45" s="132"/>
      <c r="L45" s="458"/>
      <c r="M45" s="431"/>
      <c r="N45" s="567"/>
      <c r="O45" s="885"/>
      <c r="P45" s="876"/>
      <c r="Q45" s="886"/>
      <c r="R45" s="886"/>
      <c r="S45" s="132"/>
    </row>
    <row r="46" spans="2:19" x14ac:dyDescent="0.25">
      <c r="B46" s="458"/>
      <c r="C46" s="431"/>
      <c r="D46" s="567"/>
      <c r="E46" s="885"/>
      <c r="F46" s="876"/>
      <c r="G46" s="886"/>
      <c r="H46" s="886"/>
      <c r="I46" s="132"/>
      <c r="L46" s="458"/>
      <c r="M46" s="431"/>
      <c r="N46" s="567"/>
      <c r="O46" s="885"/>
      <c r="P46" s="876"/>
      <c r="Q46" s="886"/>
      <c r="R46" s="886"/>
      <c r="S46" s="132"/>
    </row>
    <row r="47" spans="2:19" x14ac:dyDescent="0.25">
      <c r="B47" s="458"/>
      <c r="C47" s="431"/>
      <c r="D47" s="567"/>
      <c r="E47" s="885"/>
      <c r="F47" s="876"/>
      <c r="G47" s="886"/>
      <c r="H47" s="886"/>
      <c r="I47" s="132"/>
      <c r="L47" s="458"/>
      <c r="M47" s="431"/>
      <c r="N47" s="567"/>
      <c r="O47" s="885"/>
      <c r="P47" s="876"/>
      <c r="Q47" s="886"/>
      <c r="R47" s="886"/>
      <c r="S47" s="132"/>
    </row>
    <row r="48" spans="2:19" x14ac:dyDescent="0.25">
      <c r="B48" s="458"/>
      <c r="C48" s="431"/>
      <c r="D48" s="567"/>
      <c r="E48" s="885"/>
      <c r="F48" s="876"/>
      <c r="G48" s="886"/>
      <c r="H48" s="886"/>
      <c r="I48" s="132"/>
      <c r="L48" s="458"/>
      <c r="M48" s="431"/>
      <c r="N48" s="567"/>
      <c r="O48" s="885"/>
      <c r="P48" s="876"/>
      <c r="Q48" s="886"/>
      <c r="R48" s="886"/>
      <c r="S48" s="132"/>
    </row>
    <row r="49" spans="1:19" x14ac:dyDescent="0.25">
      <c r="B49" s="458"/>
      <c r="C49" s="431"/>
      <c r="D49" s="567"/>
      <c r="E49" s="885"/>
      <c r="F49" s="876"/>
      <c r="G49" s="886"/>
      <c r="H49" s="886"/>
      <c r="I49" s="132"/>
      <c r="L49" s="458"/>
      <c r="M49" s="431"/>
      <c r="N49" s="567"/>
      <c r="O49" s="885"/>
      <c r="P49" s="876"/>
      <c r="Q49" s="886"/>
      <c r="R49" s="886"/>
      <c r="S49" s="132"/>
    </row>
    <row r="50" spans="1:19" x14ac:dyDescent="0.25">
      <c r="B50" s="458"/>
      <c r="C50" s="431"/>
      <c r="D50" s="567"/>
      <c r="E50" s="885"/>
      <c r="F50" s="876"/>
      <c r="G50" s="886"/>
      <c r="H50" s="886"/>
      <c r="I50" s="132"/>
      <c r="L50" s="458"/>
      <c r="M50" s="431"/>
      <c r="N50" s="567"/>
      <c r="O50" s="885"/>
      <c r="P50" s="876"/>
      <c r="Q50" s="886"/>
      <c r="R50" s="886"/>
      <c r="S50" s="132"/>
    </row>
    <row r="51" spans="1:19" ht="15.75" thickBot="1" x14ac:dyDescent="0.3">
      <c r="B51" s="74"/>
      <c r="C51" s="433"/>
      <c r="D51" s="894"/>
      <c r="E51" s="455"/>
      <c r="F51" s="454"/>
      <c r="G51" s="456"/>
      <c r="H51" s="456"/>
      <c r="I51" s="373"/>
      <c r="L51" s="74"/>
      <c r="M51" s="433"/>
      <c r="N51" s="894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2444.3500000000004</v>
      </c>
      <c r="E52" s="75"/>
      <c r="F52" s="105">
        <f>SUM(F10:F51)</f>
        <v>2444.3500000000004</v>
      </c>
      <c r="G52" s="75"/>
      <c r="H52" s="75"/>
      <c r="K52" s="75"/>
      <c r="L52" s="75"/>
      <c r="M52" s="75"/>
      <c r="N52" s="105">
        <f>SUM(N10:N51)</f>
        <v>0</v>
      </c>
      <c r="O52" s="75"/>
      <c r="P52" s="105">
        <f>SUM(P10:P51)</f>
        <v>0</v>
      </c>
      <c r="Q52" s="75"/>
      <c r="R52" s="75"/>
    </row>
    <row r="53" spans="1:19" x14ac:dyDescent="0.25">
      <c r="A53" s="75"/>
      <c r="B53" s="75"/>
      <c r="C53" s="75"/>
      <c r="D53" s="968" t="s">
        <v>21</v>
      </c>
      <c r="E53" s="969"/>
      <c r="F53" s="141">
        <f>E6+E5+E4-F52</f>
        <v>1890.4300000000003</v>
      </c>
      <c r="G53" s="75"/>
      <c r="H53" s="75"/>
      <c r="K53" s="75"/>
      <c r="L53" s="75"/>
      <c r="M53" s="75"/>
      <c r="N53" s="1104" t="s">
        <v>21</v>
      </c>
      <c r="O53" s="1105"/>
      <c r="P53" s="141">
        <f>O6+O5+O4-P52</f>
        <v>3945.0600000000004</v>
      </c>
      <c r="Q53" s="75"/>
      <c r="R53" s="75"/>
    </row>
    <row r="54" spans="1:19" ht="15.75" thickBot="1" x14ac:dyDescent="0.3">
      <c r="A54" s="75"/>
      <c r="B54" s="75"/>
      <c r="C54" s="75"/>
      <c r="D54" s="970" t="s">
        <v>4</v>
      </c>
      <c r="E54" s="971"/>
      <c r="F54" s="49">
        <f>F5+F4-C10+F6+F7</f>
        <v>161</v>
      </c>
      <c r="G54" s="75"/>
      <c r="H54" s="75"/>
      <c r="K54" s="75"/>
      <c r="L54" s="75"/>
      <c r="M54" s="75"/>
      <c r="N54" s="1106" t="s">
        <v>4</v>
      </c>
      <c r="O54" s="1107"/>
      <c r="P54" s="49">
        <f>P5+P4-M10+P6+P7</f>
        <v>153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5" sqref="F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2" t="s">
        <v>279</v>
      </c>
      <c r="B1" s="1252"/>
      <c r="C1" s="1252"/>
      <c r="D1" s="1252"/>
      <c r="E1" s="1252"/>
      <c r="F1" s="1252"/>
      <c r="G1" s="125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8" t="s">
        <v>359</v>
      </c>
      <c r="C4" s="102"/>
      <c r="D4" s="135"/>
      <c r="E4" s="86"/>
      <c r="F4" s="73"/>
      <c r="G4" s="691"/>
    </row>
    <row r="5" spans="1:9" x14ac:dyDescent="0.25">
      <c r="A5" s="1269" t="s">
        <v>358</v>
      </c>
      <c r="B5" s="1329"/>
      <c r="C5" s="249">
        <v>30</v>
      </c>
      <c r="D5" s="245">
        <v>44718</v>
      </c>
      <c r="E5" s="246">
        <v>4523.7</v>
      </c>
      <c r="F5" s="243">
        <v>5</v>
      </c>
      <c r="G5" s="48">
        <f>F32</f>
        <v>4523.7</v>
      </c>
      <c r="H5" s="138">
        <f>E5-G5</f>
        <v>0</v>
      </c>
    </row>
    <row r="6" spans="1:9" ht="15.75" thickBot="1" x14ac:dyDescent="0.3">
      <c r="A6" s="1269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51">
        <v>4523.7</v>
      </c>
      <c r="E8" s="328">
        <v>44719</v>
      </c>
      <c r="F8" s="279">
        <f t="shared" ref="F8:F28" si="0">D8</f>
        <v>4523.7</v>
      </c>
      <c r="G8" s="319" t="s">
        <v>547</v>
      </c>
      <c r="H8" s="266">
        <v>32</v>
      </c>
      <c r="I8" s="270">
        <f>E4+E5+E6-D8</f>
        <v>0</v>
      </c>
    </row>
    <row r="9" spans="1:9" x14ac:dyDescent="0.25">
      <c r="A9" s="75"/>
      <c r="B9" s="2"/>
      <c r="C9" s="15"/>
      <c r="D9" s="651"/>
      <c r="E9" s="328"/>
      <c r="F9" s="1186">
        <f t="shared" si="0"/>
        <v>0</v>
      </c>
      <c r="G9" s="1187"/>
      <c r="H9" s="1007"/>
      <c r="I9" s="1177">
        <f>I8-D9</f>
        <v>0</v>
      </c>
    </row>
    <row r="10" spans="1:9" x14ac:dyDescent="0.25">
      <c r="A10" s="75"/>
      <c r="B10" s="2"/>
      <c r="C10" s="15"/>
      <c r="D10" s="651"/>
      <c r="E10" s="328"/>
      <c r="F10" s="1186">
        <f t="shared" si="0"/>
        <v>0</v>
      </c>
      <c r="G10" s="1187"/>
      <c r="H10" s="1007"/>
      <c r="I10" s="1177">
        <f t="shared" ref="I10:I27" si="1">I9-D10</f>
        <v>0</v>
      </c>
    </row>
    <row r="11" spans="1:9" x14ac:dyDescent="0.25">
      <c r="A11" s="55"/>
      <c r="B11" s="2"/>
      <c r="C11" s="15"/>
      <c r="D11" s="651"/>
      <c r="E11" s="328"/>
      <c r="F11" s="1186">
        <f t="shared" si="0"/>
        <v>0</v>
      </c>
      <c r="G11" s="1187"/>
      <c r="H11" s="1007"/>
      <c r="I11" s="1177">
        <f t="shared" si="1"/>
        <v>0</v>
      </c>
    </row>
    <row r="12" spans="1:9" x14ac:dyDescent="0.25">
      <c r="A12" s="75"/>
      <c r="B12" s="2"/>
      <c r="C12" s="15"/>
      <c r="D12" s="651"/>
      <c r="E12" s="328"/>
      <c r="F12" s="1186">
        <f t="shared" si="0"/>
        <v>0</v>
      </c>
      <c r="G12" s="1187"/>
      <c r="H12" s="1007"/>
      <c r="I12" s="1177">
        <f t="shared" si="1"/>
        <v>0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4523.7</v>
      </c>
      <c r="E32" s="75"/>
      <c r="F32" s="105">
        <f>SUM(F8:F31)</f>
        <v>4523.7</v>
      </c>
      <c r="G32" s="75"/>
      <c r="H32" s="75"/>
    </row>
    <row r="33" spans="1:8" x14ac:dyDescent="0.25">
      <c r="A33" s="75"/>
      <c r="B33" s="75"/>
      <c r="C33" s="75"/>
      <c r="D33" s="687" t="s">
        <v>21</v>
      </c>
      <c r="E33" s="688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89" t="s">
        <v>4</v>
      </c>
      <c r="E34" s="69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2"/>
      <c r="B1" s="1252"/>
      <c r="C1" s="1252"/>
      <c r="D1" s="1252"/>
      <c r="E1" s="1252"/>
      <c r="F1" s="1252"/>
      <c r="G1" s="125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8" t="s">
        <v>56</v>
      </c>
      <c r="C4" s="102"/>
      <c r="D4" s="135"/>
      <c r="E4" s="86"/>
      <c r="F4" s="73"/>
      <c r="G4" s="533"/>
    </row>
    <row r="5" spans="1:9" x14ac:dyDescent="0.25">
      <c r="A5" s="242"/>
      <c r="B5" s="1329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25"/>
      <c r="B8" s="94"/>
      <c r="C8" s="15"/>
      <c r="D8" s="14"/>
      <c r="E8" s="947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888"/>
      <c r="D9" s="957"/>
      <c r="E9" s="947"/>
      <c r="F9" s="279">
        <f t="shared" si="0"/>
        <v>0</v>
      </c>
      <c r="G9" s="890"/>
      <c r="H9" s="566"/>
      <c r="I9" s="262">
        <f>I8-D9</f>
        <v>0</v>
      </c>
    </row>
    <row r="10" spans="1:9" x14ac:dyDescent="0.25">
      <c r="A10" s="242"/>
      <c r="B10" s="2"/>
      <c r="C10" s="888"/>
      <c r="D10" s="958"/>
      <c r="E10" s="947"/>
      <c r="F10" s="279">
        <f t="shared" si="0"/>
        <v>0</v>
      </c>
      <c r="G10" s="890"/>
      <c r="H10" s="322"/>
      <c r="I10" s="262">
        <f t="shared" ref="I10:I28" si="1">I9-D10</f>
        <v>0</v>
      </c>
    </row>
    <row r="11" spans="1:9" x14ac:dyDescent="0.25">
      <c r="A11" s="925"/>
      <c r="B11" s="2"/>
      <c r="C11" s="888"/>
      <c r="D11" s="958"/>
      <c r="E11" s="947"/>
      <c r="F11" s="279">
        <f t="shared" si="0"/>
        <v>0</v>
      </c>
      <c r="G11" s="890"/>
      <c r="H11" s="322"/>
      <c r="I11" s="262">
        <f t="shared" si="1"/>
        <v>0</v>
      </c>
    </row>
    <row r="12" spans="1:9" x14ac:dyDescent="0.25">
      <c r="A12" s="242"/>
      <c r="B12" s="2"/>
      <c r="C12" s="888"/>
      <c r="D12" s="958"/>
      <c r="E12" s="947"/>
      <c r="F12" s="279">
        <f t="shared" si="0"/>
        <v>0</v>
      </c>
      <c r="G12" s="890"/>
      <c r="H12" s="322"/>
      <c r="I12" s="262">
        <f t="shared" si="1"/>
        <v>0</v>
      </c>
    </row>
    <row r="13" spans="1:9" x14ac:dyDescent="0.25">
      <c r="A13" s="242"/>
      <c r="B13" s="2"/>
      <c r="C13" s="888"/>
      <c r="D13" s="958"/>
      <c r="E13" s="947"/>
      <c r="F13" s="279">
        <f t="shared" si="0"/>
        <v>0</v>
      </c>
      <c r="G13" s="890"/>
      <c r="H13" s="322"/>
      <c r="I13" s="262">
        <f t="shared" si="1"/>
        <v>0</v>
      </c>
    </row>
    <row r="14" spans="1:9" x14ac:dyDescent="0.25">
      <c r="A14" s="240"/>
      <c r="B14" s="2"/>
      <c r="C14" s="888"/>
      <c r="D14" s="958"/>
      <c r="E14" s="947"/>
      <c r="F14" s="279">
        <f t="shared" si="0"/>
        <v>0</v>
      </c>
      <c r="G14" s="890"/>
      <c r="H14" s="322"/>
      <c r="I14" s="262">
        <f t="shared" si="1"/>
        <v>0</v>
      </c>
    </row>
    <row r="15" spans="1:9" x14ac:dyDescent="0.25">
      <c r="A15" s="240"/>
      <c r="B15" s="2"/>
      <c r="C15" s="888"/>
      <c r="D15" s="958"/>
      <c r="E15" s="947"/>
      <c r="F15" s="279">
        <f t="shared" si="0"/>
        <v>0</v>
      </c>
      <c r="G15" s="890"/>
      <c r="H15" s="322"/>
      <c r="I15" s="262">
        <f t="shared" si="1"/>
        <v>0</v>
      </c>
    </row>
    <row r="16" spans="1:9" x14ac:dyDescent="0.25">
      <c r="A16" s="240"/>
      <c r="B16" s="2"/>
      <c r="C16" s="888"/>
      <c r="D16" s="959"/>
      <c r="E16" s="947"/>
      <c r="F16" s="279">
        <f t="shared" si="0"/>
        <v>0</v>
      </c>
      <c r="G16" s="891"/>
      <c r="H16" s="566"/>
      <c r="I16" s="262">
        <f t="shared" si="1"/>
        <v>0</v>
      </c>
    </row>
    <row r="17" spans="1:9" x14ac:dyDescent="0.25">
      <c r="A17" s="240"/>
      <c r="B17" s="2"/>
      <c r="C17" s="53"/>
      <c r="D17" s="959"/>
      <c r="E17" s="947"/>
      <c r="F17" s="279">
        <f t="shared" si="0"/>
        <v>0</v>
      </c>
      <c r="G17" s="891"/>
      <c r="H17" s="566"/>
      <c r="I17" s="262">
        <f t="shared" si="1"/>
        <v>0</v>
      </c>
    </row>
    <row r="18" spans="1:9" x14ac:dyDescent="0.25">
      <c r="A18" s="240"/>
      <c r="B18" s="2"/>
      <c r="C18" s="888"/>
      <c r="D18" s="959"/>
      <c r="E18" s="947"/>
      <c r="F18" s="279">
        <f t="shared" si="0"/>
        <v>0</v>
      </c>
      <c r="G18" s="891"/>
      <c r="H18" s="566"/>
      <c r="I18" s="262">
        <f t="shared" si="1"/>
        <v>0</v>
      </c>
    </row>
    <row r="19" spans="1:9" x14ac:dyDescent="0.25">
      <c r="B19" s="2"/>
      <c r="C19" s="888"/>
      <c r="D19" s="959"/>
      <c r="E19" s="947"/>
      <c r="F19" s="279">
        <f t="shared" si="0"/>
        <v>0</v>
      </c>
      <c r="G19" s="891"/>
      <c r="H19" s="566"/>
      <c r="I19" s="262">
        <f t="shared" si="1"/>
        <v>0</v>
      </c>
    </row>
    <row r="20" spans="1:9" x14ac:dyDescent="0.25">
      <c r="B20" s="2"/>
      <c r="C20" s="888"/>
      <c r="D20" s="959"/>
      <c r="E20" s="947"/>
      <c r="F20" s="279">
        <f t="shared" si="0"/>
        <v>0</v>
      </c>
      <c r="G20" s="891"/>
      <c r="H20" s="566"/>
      <c r="I20" s="262">
        <f t="shared" si="1"/>
        <v>0</v>
      </c>
    </row>
    <row r="21" spans="1:9" x14ac:dyDescent="0.25">
      <c r="B21" s="2"/>
      <c r="C21" s="888"/>
      <c r="D21" s="959"/>
      <c r="E21" s="947"/>
      <c r="F21" s="279">
        <f t="shared" si="0"/>
        <v>0</v>
      </c>
      <c r="G21" s="891"/>
      <c r="I21" s="262">
        <f t="shared" si="1"/>
        <v>0</v>
      </c>
    </row>
    <row r="22" spans="1:9" x14ac:dyDescent="0.25">
      <c r="B22" s="2"/>
      <c r="C22" s="888"/>
      <c r="D22" s="959"/>
      <c r="E22" s="947"/>
      <c r="F22" s="279">
        <f t="shared" si="0"/>
        <v>0</v>
      </c>
      <c r="G22" s="891"/>
      <c r="I22" s="262">
        <f t="shared" si="1"/>
        <v>0</v>
      </c>
    </row>
    <row r="23" spans="1:9" x14ac:dyDescent="0.25">
      <c r="B23" s="2"/>
      <c r="C23" s="888"/>
      <c r="D23" s="959"/>
      <c r="E23" s="947"/>
      <c r="F23" s="279">
        <f t="shared" si="0"/>
        <v>0</v>
      </c>
      <c r="G23" s="891"/>
      <c r="I23" s="262">
        <f t="shared" si="1"/>
        <v>0</v>
      </c>
    </row>
    <row r="24" spans="1:9" x14ac:dyDescent="0.25">
      <c r="B24" s="2"/>
      <c r="C24" s="888"/>
      <c r="D24" s="959"/>
      <c r="E24" s="947"/>
      <c r="F24" s="279">
        <f t="shared" si="0"/>
        <v>0</v>
      </c>
      <c r="G24" s="891"/>
      <c r="I24" s="262">
        <f t="shared" si="1"/>
        <v>0</v>
      </c>
    </row>
    <row r="25" spans="1:9" x14ac:dyDescent="0.25">
      <c r="B25" s="2"/>
      <c r="C25" s="888"/>
      <c r="D25" s="959"/>
      <c r="E25" s="947"/>
      <c r="F25" s="279">
        <f t="shared" si="0"/>
        <v>0</v>
      </c>
      <c r="G25" s="891"/>
      <c r="I25" s="262">
        <f t="shared" si="1"/>
        <v>0</v>
      </c>
    </row>
    <row r="26" spans="1:9" x14ac:dyDescent="0.25">
      <c r="B26" s="109"/>
      <c r="C26" s="888"/>
      <c r="D26" s="959"/>
      <c r="E26" s="947"/>
      <c r="F26" s="279">
        <f t="shared" si="0"/>
        <v>0</v>
      </c>
      <c r="G26" s="892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29" t="s">
        <v>21</v>
      </c>
      <c r="E33" s="53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1" t="s">
        <v>4</v>
      </c>
      <c r="E34" s="53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2"/>
      <c r="B1" s="1252"/>
      <c r="C1" s="1252"/>
      <c r="D1" s="1252"/>
      <c r="E1" s="1252"/>
      <c r="F1" s="1252"/>
      <c r="G1" s="125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8" t="s">
        <v>88</v>
      </c>
      <c r="C4" s="102"/>
      <c r="D4" s="135"/>
      <c r="E4" s="86"/>
      <c r="F4" s="73"/>
      <c r="G4" s="813"/>
    </row>
    <row r="5" spans="1:9" x14ac:dyDescent="0.25">
      <c r="A5" s="75"/>
      <c r="B5" s="1329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01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30">
        <f t="shared" si="0"/>
        <v>0</v>
      </c>
      <c r="G27" s="832"/>
      <c r="H27" s="833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09" t="s">
        <v>21</v>
      </c>
      <c r="E33" s="81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11" t="s">
        <v>4</v>
      </c>
      <c r="E34" s="81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52"/>
      <c r="B1" s="1252"/>
      <c r="C1" s="1252"/>
      <c r="D1" s="1252"/>
      <c r="E1" s="1252"/>
      <c r="F1" s="1252"/>
      <c r="G1" s="125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30" t="s">
        <v>91</v>
      </c>
      <c r="C4" s="102"/>
      <c r="D4" s="135"/>
      <c r="E4" s="86"/>
      <c r="F4" s="73"/>
      <c r="G4" s="873"/>
    </row>
    <row r="5" spans="1:10" x14ac:dyDescent="0.25">
      <c r="A5" s="75"/>
      <c r="B5" s="1331"/>
      <c r="C5" s="102"/>
      <c r="D5" s="135"/>
      <c r="E5" s="86"/>
      <c r="F5" s="73"/>
      <c r="G5" s="887">
        <f>F32</f>
        <v>0</v>
      </c>
      <c r="H5" s="138">
        <f>E5-G5</f>
        <v>0</v>
      </c>
    </row>
    <row r="6" spans="1:10" ht="15.75" thickBot="1" x14ac:dyDescent="0.3">
      <c r="B6" s="874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888"/>
      <c r="D9" s="105"/>
      <c r="E9" s="889"/>
      <c r="F9" s="279">
        <f t="shared" si="0"/>
        <v>0</v>
      </c>
      <c r="G9" s="890"/>
      <c r="H9" s="71"/>
      <c r="I9" s="262">
        <f>I8-D9</f>
        <v>0</v>
      </c>
    </row>
    <row r="10" spans="1:10" x14ac:dyDescent="0.25">
      <c r="A10" s="75"/>
      <c r="B10" s="2"/>
      <c r="C10" s="888"/>
      <c r="D10" s="275"/>
      <c r="E10" s="889"/>
      <c r="F10" s="279">
        <f t="shared" si="0"/>
        <v>0</v>
      </c>
      <c r="G10" s="890"/>
      <c r="H10" s="71"/>
      <c r="I10" s="262">
        <f t="shared" ref="I10:I28" si="1">I9-D10</f>
        <v>0</v>
      </c>
    </row>
    <row r="11" spans="1:10" x14ac:dyDescent="0.25">
      <c r="A11" s="55"/>
      <c r="B11" s="2"/>
      <c r="C11" s="888"/>
      <c r="D11" s="275"/>
      <c r="E11" s="889"/>
      <c r="F11" s="279">
        <f t="shared" si="0"/>
        <v>0</v>
      </c>
      <c r="G11" s="890"/>
      <c r="H11" s="71"/>
      <c r="I11" s="262">
        <f t="shared" si="1"/>
        <v>0</v>
      </c>
    </row>
    <row r="12" spans="1:10" x14ac:dyDescent="0.25">
      <c r="A12" s="75"/>
      <c r="B12" s="2"/>
      <c r="C12" s="888"/>
      <c r="D12" s="275"/>
      <c r="E12" s="889"/>
      <c r="F12" s="279">
        <f t="shared" si="0"/>
        <v>0</v>
      </c>
      <c r="G12" s="890"/>
      <c r="H12" s="266"/>
      <c r="I12" s="262">
        <f t="shared" si="1"/>
        <v>0</v>
      </c>
      <c r="J12" s="240"/>
    </row>
    <row r="13" spans="1:10" x14ac:dyDescent="0.25">
      <c r="A13" s="75"/>
      <c r="B13" s="2"/>
      <c r="C13" s="888"/>
      <c r="D13" s="275"/>
      <c r="E13" s="889"/>
      <c r="F13" s="279">
        <f t="shared" si="0"/>
        <v>0</v>
      </c>
      <c r="G13" s="890"/>
      <c r="H13" s="266"/>
      <c r="I13" s="262">
        <f t="shared" si="1"/>
        <v>0</v>
      </c>
      <c r="J13" s="240"/>
    </row>
    <row r="14" spans="1:10" x14ac:dyDescent="0.25">
      <c r="B14" s="2"/>
      <c r="C14" s="888"/>
      <c r="D14" s="275"/>
      <c r="E14" s="889"/>
      <c r="F14" s="279">
        <f t="shared" si="0"/>
        <v>0</v>
      </c>
      <c r="G14" s="890"/>
      <c r="H14" s="266"/>
      <c r="I14" s="262">
        <f t="shared" si="1"/>
        <v>0</v>
      </c>
      <c r="J14" s="240"/>
    </row>
    <row r="15" spans="1:10" x14ac:dyDescent="0.25">
      <c r="B15" s="2"/>
      <c r="C15" s="888"/>
      <c r="D15" s="275"/>
      <c r="E15" s="889"/>
      <c r="F15" s="279">
        <f t="shared" si="0"/>
        <v>0</v>
      </c>
      <c r="G15" s="890"/>
      <c r="H15" s="266"/>
      <c r="I15" s="262">
        <f t="shared" si="1"/>
        <v>0</v>
      </c>
      <c r="J15" s="240"/>
    </row>
    <row r="16" spans="1:10" x14ac:dyDescent="0.25">
      <c r="B16" s="2"/>
      <c r="C16" s="888"/>
      <c r="D16" s="105"/>
      <c r="E16" s="889"/>
      <c r="F16" s="279">
        <f t="shared" si="0"/>
        <v>0</v>
      </c>
      <c r="G16" s="890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889"/>
      <c r="F17" s="279">
        <f t="shared" si="0"/>
        <v>0</v>
      </c>
      <c r="G17" s="890"/>
      <c r="H17" s="266"/>
      <c r="I17" s="262">
        <f t="shared" si="1"/>
        <v>0</v>
      </c>
      <c r="J17" s="240"/>
    </row>
    <row r="18" spans="1:10" x14ac:dyDescent="0.25">
      <c r="B18" s="2"/>
      <c r="C18" s="888"/>
      <c r="D18" s="105"/>
      <c r="E18" s="889"/>
      <c r="F18" s="279">
        <f t="shared" si="0"/>
        <v>0</v>
      </c>
      <c r="G18" s="890"/>
      <c r="H18" s="266"/>
      <c r="I18" s="262">
        <f t="shared" si="1"/>
        <v>0</v>
      </c>
      <c r="J18" s="240"/>
    </row>
    <row r="19" spans="1:10" x14ac:dyDescent="0.25">
      <c r="B19" s="2"/>
      <c r="C19" s="888"/>
      <c r="D19" s="105"/>
      <c r="E19" s="889"/>
      <c r="F19" s="279">
        <f t="shared" si="0"/>
        <v>0</v>
      </c>
      <c r="G19" s="890"/>
      <c r="H19" s="266"/>
      <c r="I19" s="262">
        <f t="shared" si="1"/>
        <v>0</v>
      </c>
      <c r="J19" s="240"/>
    </row>
    <row r="20" spans="1:10" x14ac:dyDescent="0.25">
      <c r="B20" s="2"/>
      <c r="C20" s="888"/>
      <c r="D20" s="105"/>
      <c r="E20" s="889"/>
      <c r="F20" s="279">
        <f t="shared" si="0"/>
        <v>0</v>
      </c>
      <c r="G20" s="891"/>
      <c r="H20" s="71"/>
      <c r="I20" s="262">
        <f t="shared" si="1"/>
        <v>0</v>
      </c>
    </row>
    <row r="21" spans="1:10" x14ac:dyDescent="0.25">
      <c r="B21" s="2"/>
      <c r="C21" s="888"/>
      <c r="D21" s="105"/>
      <c r="E21" s="889"/>
      <c r="F21" s="279">
        <f t="shared" si="0"/>
        <v>0</v>
      </c>
      <c r="G21" s="891"/>
      <c r="H21" s="71"/>
      <c r="I21" s="262">
        <f t="shared" si="1"/>
        <v>0</v>
      </c>
    </row>
    <row r="22" spans="1:10" x14ac:dyDescent="0.25">
      <c r="B22" s="2"/>
      <c r="C22" s="888"/>
      <c r="D22" s="105"/>
      <c r="E22" s="889"/>
      <c r="F22" s="279">
        <f t="shared" si="0"/>
        <v>0</v>
      </c>
      <c r="G22" s="891"/>
      <c r="H22" s="71"/>
      <c r="I22" s="262">
        <f t="shared" si="1"/>
        <v>0</v>
      </c>
    </row>
    <row r="23" spans="1:10" x14ac:dyDescent="0.25">
      <c r="B23" s="2"/>
      <c r="C23" s="888"/>
      <c r="D23" s="105"/>
      <c r="E23" s="889"/>
      <c r="F23" s="279">
        <f t="shared" si="0"/>
        <v>0</v>
      </c>
      <c r="G23" s="891"/>
      <c r="H23" s="71"/>
      <c r="I23" s="262">
        <f t="shared" si="1"/>
        <v>0</v>
      </c>
    </row>
    <row r="24" spans="1:10" x14ac:dyDescent="0.25">
      <c r="B24" s="2"/>
      <c r="C24" s="888"/>
      <c r="D24" s="105"/>
      <c r="E24" s="889"/>
      <c r="F24" s="279">
        <f t="shared" si="0"/>
        <v>0</v>
      </c>
      <c r="G24" s="891"/>
      <c r="H24" s="71"/>
      <c r="I24" s="262">
        <f t="shared" si="1"/>
        <v>0</v>
      </c>
    </row>
    <row r="25" spans="1:10" x14ac:dyDescent="0.25">
      <c r="B25" s="2"/>
      <c r="C25" s="888"/>
      <c r="D25" s="105"/>
      <c r="E25" s="889"/>
      <c r="F25" s="279">
        <f t="shared" si="0"/>
        <v>0</v>
      </c>
      <c r="G25" s="891"/>
      <c r="H25" s="71"/>
      <c r="I25" s="262">
        <f t="shared" si="1"/>
        <v>0</v>
      </c>
    </row>
    <row r="26" spans="1:10" x14ac:dyDescent="0.25">
      <c r="B26" s="109"/>
      <c r="C26" s="888"/>
      <c r="D26" s="105"/>
      <c r="E26" s="889"/>
      <c r="F26" s="279">
        <f t="shared" si="0"/>
        <v>0</v>
      </c>
      <c r="G26" s="892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9" t="s">
        <v>21</v>
      </c>
      <c r="E33" s="87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71" t="s">
        <v>4</v>
      </c>
      <c r="E34" s="87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E16" sqref="E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2" t="s">
        <v>279</v>
      </c>
      <c r="B1" s="1252"/>
      <c r="C1" s="1252"/>
      <c r="D1" s="1252"/>
      <c r="E1" s="1252"/>
      <c r="F1" s="1252"/>
      <c r="G1" s="125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8" t="s">
        <v>426</v>
      </c>
      <c r="C4" s="102"/>
      <c r="D4" s="135"/>
      <c r="E4" s="86"/>
      <c r="F4" s="73"/>
      <c r="G4" s="1144"/>
    </row>
    <row r="5" spans="1:9" x14ac:dyDescent="0.25">
      <c r="A5" s="1269" t="s">
        <v>425</v>
      </c>
      <c r="B5" s="1329"/>
      <c r="C5" s="249">
        <v>22.5</v>
      </c>
      <c r="D5" s="245">
        <v>44737</v>
      </c>
      <c r="E5" s="246">
        <v>4465.1400000000003</v>
      </c>
      <c r="F5" s="243">
        <v>5</v>
      </c>
      <c r="G5" s="48">
        <f>F32</f>
        <v>0</v>
      </c>
      <c r="H5" s="138">
        <f>E5-G5</f>
        <v>4465.1400000000003</v>
      </c>
    </row>
    <row r="6" spans="1:9" ht="15.75" thickBot="1" x14ac:dyDescent="0.3">
      <c r="A6" s="1269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1"/>
      <c r="E8" s="328"/>
      <c r="F8" s="279">
        <f t="shared" ref="F8:F28" si="0">D8</f>
        <v>0</v>
      </c>
      <c r="G8" s="319"/>
      <c r="H8" s="266"/>
      <c r="I8" s="270">
        <f>E4+E5+E6-D8</f>
        <v>4465.1400000000003</v>
      </c>
    </row>
    <row r="9" spans="1:9" x14ac:dyDescent="0.25">
      <c r="A9" s="75"/>
      <c r="B9" s="2"/>
      <c r="C9" s="15"/>
      <c r="D9" s="651"/>
      <c r="E9" s="328"/>
      <c r="F9" s="279">
        <f t="shared" si="0"/>
        <v>0</v>
      </c>
      <c r="G9" s="319"/>
      <c r="H9" s="266"/>
      <c r="I9" s="270">
        <f>I8-D9</f>
        <v>4465.1400000000003</v>
      </c>
    </row>
    <row r="10" spans="1:9" x14ac:dyDescent="0.25">
      <c r="A10" s="75"/>
      <c r="B10" s="2"/>
      <c r="C10" s="15"/>
      <c r="D10" s="651"/>
      <c r="E10" s="328"/>
      <c r="F10" s="279">
        <f t="shared" si="0"/>
        <v>0</v>
      </c>
      <c r="G10" s="319"/>
      <c r="H10" s="266"/>
      <c r="I10" s="270">
        <f t="shared" ref="I10:I27" si="1">I9-D10</f>
        <v>4465.1400000000003</v>
      </c>
    </row>
    <row r="11" spans="1:9" x14ac:dyDescent="0.25">
      <c r="A11" s="55"/>
      <c r="B11" s="2"/>
      <c r="C11" s="15"/>
      <c r="D11" s="651"/>
      <c r="E11" s="328"/>
      <c r="F11" s="279">
        <f t="shared" si="0"/>
        <v>0</v>
      </c>
      <c r="G11" s="319"/>
      <c r="H11" s="266"/>
      <c r="I11" s="270">
        <f t="shared" si="1"/>
        <v>4465.1400000000003</v>
      </c>
    </row>
    <row r="12" spans="1:9" x14ac:dyDescent="0.25">
      <c r="A12" s="75"/>
      <c r="B12" s="2"/>
      <c r="C12" s="15"/>
      <c r="D12" s="651"/>
      <c r="E12" s="328"/>
      <c r="F12" s="279">
        <f t="shared" si="0"/>
        <v>0</v>
      </c>
      <c r="G12" s="319"/>
      <c r="H12" s="266"/>
      <c r="I12" s="270">
        <f t="shared" si="1"/>
        <v>4465.1400000000003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4465.1400000000003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4465.1400000000003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4465.1400000000003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4465.1400000000003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4465.1400000000003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4465.1400000000003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4465.1400000000003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4465.1400000000003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4465.1400000000003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4465.1400000000003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4465.1400000000003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4465.1400000000003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4465.1400000000003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4465.1400000000003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4465.1400000000003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1139" t="s">
        <v>21</v>
      </c>
      <c r="E33" s="1140"/>
      <c r="F33" s="141">
        <f>E5-F32</f>
        <v>4465.1400000000003</v>
      </c>
      <c r="G33" s="75"/>
      <c r="H33" s="75"/>
    </row>
    <row r="34" spans="1:8" ht="15.75" thickBot="1" x14ac:dyDescent="0.3">
      <c r="A34" s="75"/>
      <c r="B34" s="75"/>
      <c r="C34" s="75"/>
      <c r="D34" s="1141" t="s">
        <v>4</v>
      </c>
      <c r="E34" s="1142"/>
      <c r="F34" s="49">
        <f>F4+F5-C32</f>
        <v>5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2" t="s">
        <v>279</v>
      </c>
      <c r="B1" s="1252"/>
      <c r="C1" s="1252"/>
      <c r="D1" s="1252"/>
      <c r="E1" s="1252"/>
      <c r="F1" s="1252"/>
      <c r="G1" s="125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2" t="s">
        <v>451</v>
      </c>
      <c r="C4" s="102"/>
      <c r="D4" s="135"/>
      <c r="E4" s="86"/>
      <c r="F4" s="73"/>
      <c r="G4" s="1156"/>
    </row>
    <row r="5" spans="1:9" x14ac:dyDescent="0.25">
      <c r="A5" s="1269" t="s">
        <v>52</v>
      </c>
      <c r="B5" s="1333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0</v>
      </c>
      <c r="H5" s="138">
        <f>E5-G5</f>
        <v>1020.22</v>
      </c>
    </row>
    <row r="6" spans="1:9" ht="15.75" thickBot="1" x14ac:dyDescent="0.3">
      <c r="A6" s="1269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1"/>
      <c r="E8" s="328"/>
      <c r="F8" s="279">
        <f t="shared" ref="F8:F28" si="0">D8</f>
        <v>0</v>
      </c>
      <c r="G8" s="319"/>
      <c r="H8" s="266"/>
      <c r="I8" s="270">
        <f>E4+E5+E6-D8</f>
        <v>1020.22</v>
      </c>
    </row>
    <row r="9" spans="1:9" x14ac:dyDescent="0.25">
      <c r="A9" s="75"/>
      <c r="B9" s="2"/>
      <c r="C9" s="15"/>
      <c r="D9" s="651"/>
      <c r="E9" s="328"/>
      <c r="F9" s="279">
        <f t="shared" si="0"/>
        <v>0</v>
      </c>
      <c r="G9" s="319"/>
      <c r="H9" s="266"/>
      <c r="I9" s="270">
        <f>I8-D9</f>
        <v>1020.22</v>
      </c>
    </row>
    <row r="10" spans="1:9" x14ac:dyDescent="0.25">
      <c r="A10" s="75"/>
      <c r="B10" s="2"/>
      <c r="C10" s="15"/>
      <c r="D10" s="651"/>
      <c r="E10" s="328"/>
      <c r="F10" s="279">
        <f t="shared" si="0"/>
        <v>0</v>
      </c>
      <c r="G10" s="319"/>
      <c r="H10" s="266"/>
      <c r="I10" s="270">
        <f t="shared" ref="I10:I27" si="1">I9-D10</f>
        <v>1020.22</v>
      </c>
    </row>
    <row r="11" spans="1:9" x14ac:dyDescent="0.25">
      <c r="A11" s="55"/>
      <c r="B11" s="2"/>
      <c r="C11" s="15"/>
      <c r="D11" s="651"/>
      <c r="E11" s="328"/>
      <c r="F11" s="279">
        <f t="shared" si="0"/>
        <v>0</v>
      </c>
      <c r="G11" s="319"/>
      <c r="H11" s="266"/>
      <c r="I11" s="270">
        <f t="shared" si="1"/>
        <v>1020.22</v>
      </c>
    </row>
    <row r="12" spans="1:9" x14ac:dyDescent="0.25">
      <c r="A12" s="75"/>
      <c r="B12" s="2"/>
      <c r="C12" s="15"/>
      <c r="D12" s="651"/>
      <c r="E12" s="328"/>
      <c r="F12" s="279">
        <f t="shared" si="0"/>
        <v>0</v>
      </c>
      <c r="G12" s="319"/>
      <c r="H12" s="266"/>
      <c r="I12" s="270">
        <f t="shared" si="1"/>
        <v>1020.22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1020.22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1020.22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1020.22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1020.22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1020.22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1020.22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1020.22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1020.22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1020.22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1020.22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1020.22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1020.22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1020.22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1020.22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1020.22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1152" t="s">
        <v>21</v>
      </c>
      <c r="E33" s="1153"/>
      <c r="F33" s="141">
        <f>E5-F32</f>
        <v>1020.22</v>
      </c>
      <c r="G33" s="75"/>
      <c r="H33" s="75"/>
    </row>
    <row r="34" spans="1:8" ht="15.75" thickBot="1" x14ac:dyDescent="0.3">
      <c r="A34" s="75"/>
      <c r="B34" s="75"/>
      <c r="C34" s="75"/>
      <c r="D34" s="1154" t="s">
        <v>4</v>
      </c>
      <c r="E34" s="1155"/>
      <c r="F34" s="49">
        <f>F4+F5-C32</f>
        <v>36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D15" sqref="D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56" t="s">
        <v>268</v>
      </c>
      <c r="B1" s="1256"/>
      <c r="C1" s="1256"/>
      <c r="D1" s="1256"/>
      <c r="E1" s="1256"/>
      <c r="F1" s="1256"/>
      <c r="G1" s="1256"/>
      <c r="H1" s="11">
        <v>1</v>
      </c>
      <c r="K1" s="1252" t="s">
        <v>268</v>
      </c>
      <c r="L1" s="1252"/>
      <c r="M1" s="1252"/>
      <c r="N1" s="1252"/>
      <c r="O1" s="1252"/>
      <c r="P1" s="1252"/>
      <c r="Q1" s="125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257" t="s">
        <v>65</v>
      </c>
      <c r="C5" s="563">
        <v>89</v>
      </c>
      <c r="D5" s="248">
        <v>44688</v>
      </c>
      <c r="E5" s="267">
        <v>94.15</v>
      </c>
      <c r="F5" s="253">
        <v>8</v>
      </c>
      <c r="G5" s="260"/>
      <c r="K5" s="250" t="s">
        <v>67</v>
      </c>
      <c r="L5" s="1257" t="s">
        <v>65</v>
      </c>
      <c r="M5" s="563">
        <v>90</v>
      </c>
      <c r="N5" s="248">
        <v>44718</v>
      </c>
      <c r="O5" s="267">
        <v>238.55</v>
      </c>
      <c r="P5" s="253">
        <v>20</v>
      </c>
      <c r="Q5" s="260"/>
    </row>
    <row r="6" spans="1:19" x14ac:dyDescent="0.25">
      <c r="A6" s="580"/>
      <c r="B6" s="1257"/>
      <c r="C6" s="735">
        <v>90</v>
      </c>
      <c r="D6" s="248">
        <v>44709</v>
      </c>
      <c r="E6" s="69">
        <v>229.5</v>
      </c>
      <c r="F6" s="73">
        <v>20</v>
      </c>
      <c r="G6" s="262">
        <f>F48</f>
        <v>399.07</v>
      </c>
      <c r="H6" s="7">
        <f>E6-G6+E7+E5-G5</f>
        <v>1.4210854715202004E-14</v>
      </c>
      <c r="K6" s="580"/>
      <c r="L6" s="1257"/>
      <c r="M6" s="735">
        <v>90</v>
      </c>
      <c r="N6" s="248">
        <v>44727</v>
      </c>
      <c r="O6" s="69">
        <v>501.36</v>
      </c>
      <c r="P6" s="73">
        <v>42</v>
      </c>
      <c r="Q6" s="262">
        <f>P48</f>
        <v>0</v>
      </c>
      <c r="R6" s="7">
        <f>O6-Q6+O7+O5-Q5</f>
        <v>739.91000000000008</v>
      </c>
    </row>
    <row r="7" spans="1:19" ht="15.75" thickBot="1" x14ac:dyDescent="0.3">
      <c r="A7" s="240"/>
      <c r="B7" s="272"/>
      <c r="C7" s="271"/>
      <c r="D7" s="248"/>
      <c r="E7" s="259">
        <v>75.42</v>
      </c>
      <c r="F7" s="253">
        <v>6</v>
      </c>
      <c r="G7" s="240"/>
      <c r="K7" s="240"/>
      <c r="L7" s="272"/>
      <c r="M7" s="271"/>
      <c r="N7" s="248"/>
      <c r="O7" s="259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26</v>
      </c>
      <c r="C9" s="15">
        <v>8</v>
      </c>
      <c r="D9" s="264">
        <v>94.15</v>
      </c>
      <c r="E9" s="293">
        <v>44688</v>
      </c>
      <c r="F9" s="264">
        <f t="shared" ref="F9:F10" si="0">D9</f>
        <v>94.15</v>
      </c>
      <c r="G9" s="265" t="s">
        <v>150</v>
      </c>
      <c r="H9" s="266">
        <v>90</v>
      </c>
      <c r="I9" s="275">
        <f>E6-F9+E5+E7+E4</f>
        <v>304.92</v>
      </c>
      <c r="K9" s="80" t="s">
        <v>32</v>
      </c>
      <c r="L9" s="83">
        <f>P6-M9+P5+P7+P4</f>
        <v>62</v>
      </c>
      <c r="M9" s="15"/>
      <c r="N9" s="264"/>
      <c r="O9" s="293"/>
      <c r="P9" s="264">
        <f t="shared" ref="P9:P10" si="1">N9</f>
        <v>0</v>
      </c>
      <c r="Q9" s="265"/>
      <c r="R9" s="266"/>
      <c r="S9" s="275">
        <f>O6-P9+O5+O7+O4</f>
        <v>739.91000000000008</v>
      </c>
    </row>
    <row r="10" spans="1:19" x14ac:dyDescent="0.25">
      <c r="A10" s="207"/>
      <c r="B10" s="83">
        <f>B9-C10</f>
        <v>23</v>
      </c>
      <c r="C10" s="15">
        <v>3</v>
      </c>
      <c r="D10" s="264">
        <v>37.92</v>
      </c>
      <c r="E10" s="293">
        <v>44691</v>
      </c>
      <c r="F10" s="264">
        <f t="shared" si="0"/>
        <v>37.92</v>
      </c>
      <c r="G10" s="265" t="s">
        <v>179</v>
      </c>
      <c r="H10" s="266">
        <v>90</v>
      </c>
      <c r="I10" s="275">
        <f>I9-F10</f>
        <v>267</v>
      </c>
      <c r="K10" s="207"/>
      <c r="L10" s="83">
        <f>L9-M10</f>
        <v>62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739.91000000000008</v>
      </c>
    </row>
    <row r="11" spans="1:19" x14ac:dyDescent="0.25">
      <c r="A11" s="195"/>
      <c r="B11" s="83">
        <f t="shared" ref="B11:B45" si="2">B10-C11</f>
        <v>20</v>
      </c>
      <c r="C11" s="15">
        <v>3</v>
      </c>
      <c r="D11" s="334">
        <v>37.5</v>
      </c>
      <c r="E11" s="1046">
        <v>44694</v>
      </c>
      <c r="F11" s="334">
        <f>D11</f>
        <v>37.5</v>
      </c>
      <c r="G11" s="1047" t="s">
        <v>180</v>
      </c>
      <c r="H11" s="301">
        <v>90</v>
      </c>
      <c r="I11" s="275">
        <f t="shared" ref="I11:I45" si="3">I10-F11</f>
        <v>229.5</v>
      </c>
      <c r="K11" s="195"/>
      <c r="L11" s="83">
        <f t="shared" ref="L11:L45" si="4">L10-M11</f>
        <v>62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45" si="5">S10-P11</f>
        <v>739.91000000000008</v>
      </c>
    </row>
    <row r="12" spans="1:19" x14ac:dyDescent="0.25">
      <c r="A12" s="195"/>
      <c r="B12" s="83">
        <f t="shared" si="2"/>
        <v>5</v>
      </c>
      <c r="C12" s="15">
        <v>15</v>
      </c>
      <c r="D12" s="858">
        <v>171.43</v>
      </c>
      <c r="E12" s="859">
        <v>44711</v>
      </c>
      <c r="F12" s="858">
        <f>D12</f>
        <v>171.43</v>
      </c>
      <c r="G12" s="422" t="s">
        <v>474</v>
      </c>
      <c r="H12" s="423">
        <v>93</v>
      </c>
      <c r="I12" s="275">
        <f t="shared" si="3"/>
        <v>58.069999999999993</v>
      </c>
      <c r="K12" s="195"/>
      <c r="L12" s="83">
        <f t="shared" si="4"/>
        <v>62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739.91000000000008</v>
      </c>
    </row>
    <row r="13" spans="1:19" x14ac:dyDescent="0.25">
      <c r="A13" s="82" t="s">
        <v>33</v>
      </c>
      <c r="B13" s="83">
        <f t="shared" si="2"/>
        <v>0</v>
      </c>
      <c r="C13" s="15">
        <v>5</v>
      </c>
      <c r="D13" s="858">
        <v>58.07</v>
      </c>
      <c r="E13" s="859">
        <v>44711</v>
      </c>
      <c r="F13" s="858">
        <f t="shared" ref="F13:F45" si="6">D13</f>
        <v>58.07</v>
      </c>
      <c r="G13" s="422" t="s">
        <v>475</v>
      </c>
      <c r="H13" s="423">
        <v>93</v>
      </c>
      <c r="I13" s="275">
        <f t="shared" si="3"/>
        <v>0</v>
      </c>
      <c r="K13" s="82" t="s">
        <v>33</v>
      </c>
      <c r="L13" s="83">
        <f t="shared" si="4"/>
        <v>62</v>
      </c>
      <c r="M13" s="15"/>
      <c r="N13" s="264"/>
      <c r="O13" s="293"/>
      <c r="P13" s="264">
        <f t="shared" ref="P13:P45" si="7">N13</f>
        <v>0</v>
      </c>
      <c r="Q13" s="265"/>
      <c r="R13" s="266"/>
      <c r="S13" s="275">
        <f t="shared" si="5"/>
        <v>739.91000000000008</v>
      </c>
    </row>
    <row r="14" spans="1:19" x14ac:dyDescent="0.25">
      <c r="A14" s="73"/>
      <c r="B14" s="83">
        <f t="shared" si="2"/>
        <v>0</v>
      </c>
      <c r="C14" s="15"/>
      <c r="D14" s="858"/>
      <c r="E14" s="859"/>
      <c r="F14" s="1170">
        <f t="shared" si="6"/>
        <v>0</v>
      </c>
      <c r="G14" s="1171"/>
      <c r="H14" s="1172"/>
      <c r="I14" s="1173">
        <f t="shared" si="3"/>
        <v>0</v>
      </c>
      <c r="K14" s="73"/>
      <c r="L14" s="83">
        <f t="shared" si="4"/>
        <v>62</v>
      </c>
      <c r="M14" s="15"/>
      <c r="N14" s="264"/>
      <c r="O14" s="293"/>
      <c r="P14" s="264">
        <f t="shared" si="7"/>
        <v>0</v>
      </c>
      <c r="Q14" s="265"/>
      <c r="R14" s="266"/>
      <c r="S14" s="275">
        <f t="shared" si="5"/>
        <v>739.91000000000008</v>
      </c>
    </row>
    <row r="15" spans="1:19" x14ac:dyDescent="0.25">
      <c r="A15" s="73"/>
      <c r="B15" s="83">
        <f t="shared" si="2"/>
        <v>0</v>
      </c>
      <c r="C15" s="15"/>
      <c r="D15" s="858"/>
      <c r="E15" s="859"/>
      <c r="F15" s="1170">
        <f t="shared" si="6"/>
        <v>0</v>
      </c>
      <c r="G15" s="1171"/>
      <c r="H15" s="1172"/>
      <c r="I15" s="1173">
        <f t="shared" si="3"/>
        <v>0</v>
      </c>
      <c r="K15" s="73"/>
      <c r="L15" s="83">
        <f t="shared" si="4"/>
        <v>62</v>
      </c>
      <c r="M15" s="15"/>
      <c r="N15" s="264"/>
      <c r="O15" s="293"/>
      <c r="P15" s="264">
        <f t="shared" si="7"/>
        <v>0</v>
      </c>
      <c r="Q15" s="265"/>
      <c r="R15" s="266"/>
      <c r="S15" s="275">
        <f t="shared" si="5"/>
        <v>739.91000000000008</v>
      </c>
    </row>
    <row r="16" spans="1:19" x14ac:dyDescent="0.25">
      <c r="B16" s="83">
        <f t="shared" si="2"/>
        <v>0</v>
      </c>
      <c r="C16" s="15"/>
      <c r="D16" s="858"/>
      <c r="E16" s="859"/>
      <c r="F16" s="1170">
        <f t="shared" si="6"/>
        <v>0</v>
      </c>
      <c r="G16" s="1171"/>
      <c r="H16" s="1172"/>
      <c r="I16" s="1173">
        <f t="shared" si="3"/>
        <v>0</v>
      </c>
      <c r="L16" s="83">
        <f t="shared" si="4"/>
        <v>62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739.91000000000008</v>
      </c>
    </row>
    <row r="17" spans="1:19" x14ac:dyDescent="0.25">
      <c r="B17" s="83">
        <f t="shared" si="2"/>
        <v>0</v>
      </c>
      <c r="C17" s="15"/>
      <c r="D17" s="858"/>
      <c r="E17" s="859"/>
      <c r="F17" s="1170">
        <f t="shared" si="6"/>
        <v>0</v>
      </c>
      <c r="G17" s="1171"/>
      <c r="H17" s="1172"/>
      <c r="I17" s="1173">
        <f t="shared" si="3"/>
        <v>0</v>
      </c>
      <c r="L17" s="83">
        <f t="shared" si="4"/>
        <v>62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739.91000000000008</v>
      </c>
    </row>
    <row r="18" spans="1:19" x14ac:dyDescent="0.25">
      <c r="A18" s="122"/>
      <c r="B18" s="83">
        <f t="shared" si="2"/>
        <v>0</v>
      </c>
      <c r="C18" s="15"/>
      <c r="D18" s="858"/>
      <c r="E18" s="859"/>
      <c r="F18" s="858">
        <f t="shared" si="6"/>
        <v>0</v>
      </c>
      <c r="G18" s="422"/>
      <c r="H18" s="423"/>
      <c r="I18" s="275">
        <f t="shared" si="3"/>
        <v>0</v>
      </c>
      <c r="K18" s="122"/>
      <c r="L18" s="83">
        <f t="shared" si="4"/>
        <v>62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739.91000000000008</v>
      </c>
    </row>
    <row r="19" spans="1:19" x14ac:dyDescent="0.25">
      <c r="A19" s="122"/>
      <c r="B19" s="83">
        <f t="shared" si="2"/>
        <v>0</v>
      </c>
      <c r="C19" s="15"/>
      <c r="D19" s="858"/>
      <c r="E19" s="859"/>
      <c r="F19" s="858">
        <f t="shared" si="6"/>
        <v>0</v>
      </c>
      <c r="G19" s="422"/>
      <c r="H19" s="423"/>
      <c r="I19" s="275">
        <f t="shared" si="3"/>
        <v>0</v>
      </c>
      <c r="K19" s="122"/>
      <c r="L19" s="83">
        <f t="shared" si="4"/>
        <v>62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739.91000000000008</v>
      </c>
    </row>
    <row r="20" spans="1:19" x14ac:dyDescent="0.25">
      <c r="A20" s="122"/>
      <c r="B20" s="83">
        <f t="shared" si="2"/>
        <v>0</v>
      </c>
      <c r="C20" s="15"/>
      <c r="D20" s="858"/>
      <c r="E20" s="859"/>
      <c r="F20" s="858">
        <f t="shared" si="6"/>
        <v>0</v>
      </c>
      <c r="G20" s="422"/>
      <c r="H20" s="423"/>
      <c r="I20" s="275">
        <f t="shared" si="3"/>
        <v>0</v>
      </c>
      <c r="K20" s="122"/>
      <c r="L20" s="83">
        <f t="shared" si="4"/>
        <v>62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739.91000000000008</v>
      </c>
    </row>
    <row r="21" spans="1:19" x14ac:dyDescent="0.25">
      <c r="A21" s="122"/>
      <c r="B21" s="83">
        <f t="shared" si="2"/>
        <v>0</v>
      </c>
      <c r="C21" s="15"/>
      <c r="D21" s="858"/>
      <c r="E21" s="859"/>
      <c r="F21" s="858">
        <f t="shared" si="6"/>
        <v>0</v>
      </c>
      <c r="G21" s="422"/>
      <c r="H21" s="423"/>
      <c r="I21" s="275">
        <f t="shared" si="3"/>
        <v>0</v>
      </c>
      <c r="K21" s="122"/>
      <c r="L21" s="83">
        <f t="shared" si="4"/>
        <v>62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739.91000000000008</v>
      </c>
    </row>
    <row r="22" spans="1:19" x14ac:dyDescent="0.25">
      <c r="A22" s="122"/>
      <c r="B22" s="281">
        <f t="shared" si="2"/>
        <v>0</v>
      </c>
      <c r="C22" s="15"/>
      <c r="D22" s="858"/>
      <c r="E22" s="859"/>
      <c r="F22" s="858">
        <f t="shared" si="6"/>
        <v>0</v>
      </c>
      <c r="G22" s="422"/>
      <c r="H22" s="423"/>
      <c r="I22" s="275">
        <f t="shared" si="3"/>
        <v>0</v>
      </c>
      <c r="K22" s="122"/>
      <c r="L22" s="281">
        <f t="shared" si="4"/>
        <v>62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739.91000000000008</v>
      </c>
    </row>
    <row r="23" spans="1:19" x14ac:dyDescent="0.25">
      <c r="A23" s="123"/>
      <c r="B23" s="281">
        <f t="shared" si="2"/>
        <v>0</v>
      </c>
      <c r="C23" s="15"/>
      <c r="D23" s="858"/>
      <c r="E23" s="859"/>
      <c r="F23" s="858">
        <f t="shared" si="6"/>
        <v>0</v>
      </c>
      <c r="G23" s="422"/>
      <c r="H23" s="423"/>
      <c r="I23" s="275">
        <f t="shared" si="3"/>
        <v>0</v>
      </c>
      <c r="K23" s="123"/>
      <c r="L23" s="281">
        <f t="shared" si="4"/>
        <v>62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739.91000000000008</v>
      </c>
    </row>
    <row r="24" spans="1:19" x14ac:dyDescent="0.25">
      <c r="A24" s="122"/>
      <c r="B24" s="281">
        <f t="shared" si="2"/>
        <v>0</v>
      </c>
      <c r="C24" s="15"/>
      <c r="D24" s="858"/>
      <c r="E24" s="859"/>
      <c r="F24" s="858">
        <f t="shared" si="6"/>
        <v>0</v>
      </c>
      <c r="G24" s="422"/>
      <c r="H24" s="423"/>
      <c r="I24" s="275">
        <f t="shared" si="3"/>
        <v>0</v>
      </c>
      <c r="K24" s="122"/>
      <c r="L24" s="281">
        <f t="shared" si="4"/>
        <v>62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739.91000000000008</v>
      </c>
    </row>
    <row r="25" spans="1:19" x14ac:dyDescent="0.25">
      <c r="A25" s="122"/>
      <c r="B25" s="281">
        <f t="shared" si="2"/>
        <v>0</v>
      </c>
      <c r="C25" s="15"/>
      <c r="D25" s="858"/>
      <c r="E25" s="859"/>
      <c r="F25" s="858">
        <f t="shared" si="6"/>
        <v>0</v>
      </c>
      <c r="G25" s="422"/>
      <c r="H25" s="423"/>
      <c r="I25" s="275">
        <f t="shared" si="3"/>
        <v>0</v>
      </c>
      <c r="K25" s="122"/>
      <c r="L25" s="281">
        <f t="shared" si="4"/>
        <v>62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739.91000000000008</v>
      </c>
    </row>
    <row r="26" spans="1:19" x14ac:dyDescent="0.25">
      <c r="A26" s="122"/>
      <c r="B26" s="195">
        <f t="shared" si="2"/>
        <v>0</v>
      </c>
      <c r="C26" s="15"/>
      <c r="D26" s="858"/>
      <c r="E26" s="859"/>
      <c r="F26" s="858">
        <f t="shared" si="6"/>
        <v>0</v>
      </c>
      <c r="G26" s="422"/>
      <c r="H26" s="423"/>
      <c r="I26" s="275">
        <f t="shared" si="3"/>
        <v>0</v>
      </c>
      <c r="K26" s="122"/>
      <c r="L26" s="195">
        <f t="shared" si="4"/>
        <v>62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739.91000000000008</v>
      </c>
    </row>
    <row r="27" spans="1:19" x14ac:dyDescent="0.25">
      <c r="A27" s="122"/>
      <c r="B27" s="281">
        <f t="shared" si="2"/>
        <v>0</v>
      </c>
      <c r="C27" s="15"/>
      <c r="D27" s="858"/>
      <c r="E27" s="859"/>
      <c r="F27" s="858">
        <f t="shared" si="6"/>
        <v>0</v>
      </c>
      <c r="G27" s="422"/>
      <c r="H27" s="423"/>
      <c r="I27" s="275">
        <f t="shared" si="3"/>
        <v>0</v>
      </c>
      <c r="K27" s="122"/>
      <c r="L27" s="281">
        <f t="shared" si="4"/>
        <v>62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739.91000000000008</v>
      </c>
    </row>
    <row r="28" spans="1:19" x14ac:dyDescent="0.25">
      <c r="A28" s="122"/>
      <c r="B28" s="195">
        <f t="shared" si="2"/>
        <v>0</v>
      </c>
      <c r="C28" s="15"/>
      <c r="D28" s="858"/>
      <c r="E28" s="859"/>
      <c r="F28" s="858">
        <f t="shared" si="6"/>
        <v>0</v>
      </c>
      <c r="G28" s="422"/>
      <c r="H28" s="423"/>
      <c r="I28" s="275">
        <f t="shared" si="3"/>
        <v>0</v>
      </c>
      <c r="K28" s="122"/>
      <c r="L28" s="195">
        <f t="shared" si="4"/>
        <v>62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739.91000000000008</v>
      </c>
    </row>
    <row r="29" spans="1:19" x14ac:dyDescent="0.25">
      <c r="A29" s="122"/>
      <c r="B29" s="281">
        <f t="shared" si="2"/>
        <v>0</v>
      </c>
      <c r="C29" s="15"/>
      <c r="D29" s="334"/>
      <c r="E29" s="1046"/>
      <c r="F29" s="334">
        <f t="shared" si="6"/>
        <v>0</v>
      </c>
      <c r="G29" s="1047"/>
      <c r="H29" s="301"/>
      <c r="I29" s="275">
        <f t="shared" si="3"/>
        <v>0</v>
      </c>
      <c r="K29" s="122"/>
      <c r="L29" s="281">
        <f t="shared" si="4"/>
        <v>62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739.91000000000008</v>
      </c>
    </row>
    <row r="30" spans="1:19" x14ac:dyDescent="0.25">
      <c r="A30" s="122"/>
      <c r="B30" s="281">
        <f t="shared" si="2"/>
        <v>0</v>
      </c>
      <c r="C30" s="15"/>
      <c r="D30" s="334"/>
      <c r="E30" s="1046"/>
      <c r="F30" s="334">
        <f t="shared" si="6"/>
        <v>0</v>
      </c>
      <c r="G30" s="1047"/>
      <c r="H30" s="301"/>
      <c r="I30" s="275">
        <f t="shared" si="3"/>
        <v>0</v>
      </c>
      <c r="K30" s="122"/>
      <c r="L30" s="281">
        <f t="shared" si="4"/>
        <v>62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739.91000000000008</v>
      </c>
    </row>
    <row r="31" spans="1:19" x14ac:dyDescent="0.25">
      <c r="A31" s="122"/>
      <c r="B31" s="281">
        <f t="shared" si="2"/>
        <v>0</v>
      </c>
      <c r="C31" s="15"/>
      <c r="D31" s="334"/>
      <c r="E31" s="1046"/>
      <c r="F31" s="334">
        <f t="shared" si="6"/>
        <v>0</v>
      </c>
      <c r="G31" s="1047"/>
      <c r="H31" s="301"/>
      <c r="I31" s="275">
        <f t="shared" si="3"/>
        <v>0</v>
      </c>
      <c r="K31" s="122"/>
      <c r="L31" s="281">
        <f t="shared" si="4"/>
        <v>62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739.91000000000008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0</v>
      </c>
      <c r="K32" s="122"/>
      <c r="L32" s="281">
        <f t="shared" si="4"/>
        <v>62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739.91000000000008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0</v>
      </c>
      <c r="K33" s="122"/>
      <c r="L33" s="281">
        <f t="shared" si="4"/>
        <v>62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739.91000000000008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0</v>
      </c>
      <c r="K34" s="122"/>
      <c r="L34" s="281">
        <f t="shared" si="4"/>
        <v>62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739.91000000000008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0</v>
      </c>
      <c r="K35" s="122"/>
      <c r="L35" s="281">
        <f t="shared" si="4"/>
        <v>62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739.91000000000008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62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739.91000000000008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0</v>
      </c>
      <c r="K37" s="123"/>
      <c r="L37" s="281">
        <f t="shared" si="4"/>
        <v>62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739.91000000000008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0</v>
      </c>
      <c r="K38" s="122"/>
      <c r="L38" s="281">
        <f t="shared" si="4"/>
        <v>62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739.91000000000008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0</v>
      </c>
      <c r="K39" s="122"/>
      <c r="L39" s="83">
        <f t="shared" si="4"/>
        <v>62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739.91000000000008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0</v>
      </c>
      <c r="K40" s="122"/>
      <c r="L40" s="83">
        <f t="shared" si="4"/>
        <v>62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739.91000000000008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0</v>
      </c>
      <c r="K41" s="122"/>
      <c r="L41" s="83">
        <f t="shared" si="4"/>
        <v>62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739.91000000000008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0</v>
      </c>
      <c r="K42" s="122"/>
      <c r="L42" s="83">
        <f t="shared" si="4"/>
        <v>62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739.91000000000008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0</v>
      </c>
      <c r="K43" s="122"/>
      <c r="L43" s="83">
        <f t="shared" si="4"/>
        <v>62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739.91000000000008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0</v>
      </c>
      <c r="K44" s="122"/>
      <c r="L44" s="83">
        <f t="shared" si="4"/>
        <v>62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739.91000000000008</v>
      </c>
    </row>
    <row r="45" spans="1:19" ht="14.25" customHeight="1" x14ac:dyDescent="0.25">
      <c r="A45" s="122"/>
      <c r="B45" s="83">
        <f t="shared" si="2"/>
        <v>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0</v>
      </c>
      <c r="K45" s="122"/>
      <c r="L45" s="83">
        <f t="shared" si="4"/>
        <v>62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739.91000000000008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34</v>
      </c>
      <c r="D48" s="6">
        <f>SUM(D9:D47)</f>
        <v>399.07</v>
      </c>
      <c r="F48" s="6">
        <f>SUM(F9:F47)</f>
        <v>399.07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62</v>
      </c>
    </row>
    <row r="52" spans="3:16" ht="15.75" thickBot="1" x14ac:dyDescent="0.3"/>
    <row r="53" spans="3:16" ht="15.75" thickBot="1" x14ac:dyDescent="0.3">
      <c r="C53" s="1254" t="s">
        <v>11</v>
      </c>
      <c r="D53" s="1255"/>
      <c r="E53" s="57">
        <f>E5+E6-F48+E7</f>
        <v>0</v>
      </c>
      <c r="F53" s="73"/>
      <c r="M53" s="1254" t="s">
        <v>11</v>
      </c>
      <c r="N53" s="1255"/>
      <c r="O53" s="57">
        <f>O5+O6-P48+O7</f>
        <v>739.91000000000008</v>
      </c>
      <c r="P53" s="73"/>
    </row>
  </sheetData>
  <sortState ref="C5:F7">
    <sortCondition ref="D5:D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workbookViewId="0">
      <selection activeCell="B31" sqref="B3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56" t="s">
        <v>270</v>
      </c>
      <c r="B1" s="1256"/>
      <c r="C1" s="1256"/>
      <c r="D1" s="1256"/>
      <c r="E1" s="1256"/>
      <c r="F1" s="1256"/>
      <c r="G1" s="1256"/>
      <c r="H1" s="11">
        <v>1</v>
      </c>
      <c r="K1" s="1256" t="str">
        <f>A1</f>
        <v>INVENTARIO DEL MES DE    M AYO      2022</v>
      </c>
      <c r="L1" s="1256"/>
      <c r="M1" s="1256"/>
      <c r="N1" s="1256"/>
      <c r="O1" s="1256"/>
      <c r="P1" s="1256"/>
      <c r="Q1" s="1256"/>
      <c r="R1" s="11">
        <v>2</v>
      </c>
      <c r="U1" s="1252" t="s">
        <v>269</v>
      </c>
      <c r="V1" s="1252"/>
      <c r="W1" s="1252"/>
      <c r="X1" s="1252"/>
      <c r="Y1" s="1252"/>
      <c r="Z1" s="1252"/>
      <c r="AA1" s="125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51"/>
      <c r="D4" s="248"/>
      <c r="E4" s="259"/>
      <c r="F4" s="253"/>
      <c r="G4" s="160"/>
      <c r="H4" s="160"/>
      <c r="K4" s="12"/>
      <c r="L4" s="12"/>
      <c r="M4" s="751"/>
      <c r="N4" s="248"/>
      <c r="O4" s="259"/>
      <c r="P4" s="253"/>
      <c r="Q4" s="160"/>
      <c r="R4" s="160"/>
      <c r="U4" s="12"/>
      <c r="V4" s="12"/>
      <c r="W4" s="751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258" t="s">
        <v>74</v>
      </c>
      <c r="C5" s="734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258" t="s">
        <v>74</v>
      </c>
      <c r="M5" s="965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258" t="s">
        <v>74</v>
      </c>
      <c r="W5" s="965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258"/>
      <c r="C6" s="563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258"/>
      <c r="M6" s="563"/>
      <c r="N6" s="248"/>
      <c r="O6" s="267"/>
      <c r="P6" s="253"/>
      <c r="Q6" s="262">
        <f>P42</f>
        <v>181.41</v>
      </c>
      <c r="R6" s="7">
        <f>O6-Q6+O7+O5-Q5+O4</f>
        <v>23.180000000000007</v>
      </c>
      <c r="U6" s="250"/>
      <c r="V6" s="1258"/>
      <c r="W6" s="563">
        <v>95</v>
      </c>
      <c r="X6" s="248">
        <v>44702</v>
      </c>
      <c r="Y6" s="267">
        <v>226.25</v>
      </c>
      <c r="Z6" s="253">
        <v>20</v>
      </c>
      <c r="AA6" s="262">
        <f>Z42</f>
        <v>179.49</v>
      </c>
      <c r="AB6" s="7">
        <f>Y6-AA6+Y7+Y5-AA5+Y4</f>
        <v>236.89999999999998</v>
      </c>
    </row>
    <row r="7" spans="1:29" ht="15.75" thickBot="1" x14ac:dyDescent="0.3">
      <c r="A7" s="240"/>
      <c r="B7" s="272"/>
      <c r="C7" s="563">
        <v>120</v>
      </c>
      <c r="D7" s="248">
        <v>44643</v>
      </c>
      <c r="E7" s="748">
        <v>304.91000000000003</v>
      </c>
      <c r="F7" s="253">
        <v>25</v>
      </c>
      <c r="G7" s="240"/>
      <c r="K7" s="240"/>
      <c r="L7" s="272"/>
      <c r="M7" s="563"/>
      <c r="N7" s="248"/>
      <c r="O7" s="748"/>
      <c r="P7" s="253"/>
      <c r="Q7" s="240"/>
      <c r="U7" s="240"/>
      <c r="V7" s="272"/>
      <c r="W7" s="563"/>
      <c r="X7" s="248"/>
      <c r="Y7" s="74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93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114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21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212</v>
      </c>
      <c r="AB9" s="266">
        <v>105</v>
      </c>
      <c r="AC9" s="275">
        <f>Y6-Z9+Y5+Y7+Y4</f>
        <v>236.89999999999998</v>
      </c>
    </row>
    <row r="10" spans="1:29" x14ac:dyDescent="0.25">
      <c r="A10" s="863"/>
      <c r="B10" s="83">
        <f>B9-C10</f>
        <v>40</v>
      </c>
      <c r="C10" s="243">
        <v>15</v>
      </c>
      <c r="D10" s="858">
        <v>186.49</v>
      </c>
      <c r="E10" s="859">
        <v>44624</v>
      </c>
      <c r="F10" s="858">
        <f t="shared" si="0"/>
        <v>186.49</v>
      </c>
      <c r="G10" s="422" t="s">
        <v>96</v>
      </c>
      <c r="H10" s="423">
        <v>125</v>
      </c>
      <c r="I10" s="275">
        <f>I9-F10</f>
        <v>490.3599999999999</v>
      </c>
      <c r="K10" s="863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63"/>
      <c r="V10" s="83">
        <f>V9-W10</f>
        <v>21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236.89999999999998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58">
        <v>122.76</v>
      </c>
      <c r="E11" s="859">
        <v>44638</v>
      </c>
      <c r="F11" s="858">
        <f t="shared" si="0"/>
        <v>122.76</v>
      </c>
      <c r="G11" s="422" t="s">
        <v>98</v>
      </c>
      <c r="H11" s="423">
        <v>125</v>
      </c>
      <c r="I11" s="275">
        <f t="shared" ref="I11:I40" si="4">I10-F11</f>
        <v>367.59999999999991</v>
      </c>
      <c r="K11" s="195"/>
      <c r="L11" s="296">
        <f t="shared" ref="L11:L40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40" si="6">S10-P11</f>
        <v>23.180000000000007</v>
      </c>
      <c r="U11" s="195"/>
      <c r="V11" s="296">
        <f t="shared" ref="V11:V40" si="7">V10-W11</f>
        <v>21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40" si="8">AC10-Z11</f>
        <v>236.89999999999998</v>
      </c>
    </row>
    <row r="12" spans="1:29" x14ac:dyDescent="0.25">
      <c r="A12" s="195"/>
      <c r="B12" s="296">
        <f t="shared" si="3"/>
        <v>15</v>
      </c>
      <c r="C12" s="243">
        <v>15</v>
      </c>
      <c r="D12" s="948">
        <v>184.1</v>
      </c>
      <c r="E12" s="949">
        <v>44664</v>
      </c>
      <c r="F12" s="948">
        <f t="shared" si="0"/>
        <v>184.1</v>
      </c>
      <c r="G12" s="950" t="s">
        <v>109</v>
      </c>
      <c r="H12" s="951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21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236.89999999999998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48">
        <v>122.14</v>
      </c>
      <c r="E13" s="949">
        <v>44667</v>
      </c>
      <c r="F13" s="948">
        <f t="shared" si="0"/>
        <v>122.14</v>
      </c>
      <c r="G13" s="950" t="s">
        <v>111</v>
      </c>
      <c r="H13" s="951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21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236.89999999999998</v>
      </c>
    </row>
    <row r="14" spans="1:29" x14ac:dyDescent="0.25">
      <c r="A14" s="73"/>
      <c r="B14" s="296">
        <f t="shared" si="3"/>
        <v>5</v>
      </c>
      <c r="C14" s="243"/>
      <c r="D14" s="948"/>
      <c r="E14" s="949"/>
      <c r="F14" s="948">
        <f t="shared" si="0"/>
        <v>0</v>
      </c>
      <c r="G14" s="950"/>
      <c r="H14" s="951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21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236.89999999999998</v>
      </c>
    </row>
    <row r="15" spans="1:29" x14ac:dyDescent="0.25">
      <c r="A15" s="73"/>
      <c r="B15" s="296">
        <f t="shared" si="3"/>
        <v>5</v>
      </c>
      <c r="C15" s="243"/>
      <c r="D15" s="948"/>
      <c r="E15" s="949"/>
      <c r="F15" s="948">
        <f t="shared" si="0"/>
        <v>0</v>
      </c>
      <c r="G15" s="950"/>
      <c r="H15" s="951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21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236.89999999999998</v>
      </c>
    </row>
    <row r="16" spans="1:29" x14ac:dyDescent="0.25">
      <c r="B16" s="296">
        <f t="shared" si="3"/>
        <v>5</v>
      </c>
      <c r="C16" s="73"/>
      <c r="D16" s="948"/>
      <c r="E16" s="949"/>
      <c r="F16" s="948">
        <f t="shared" si="0"/>
        <v>0</v>
      </c>
      <c r="G16" s="950"/>
      <c r="H16" s="951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21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236.89999999999998</v>
      </c>
    </row>
    <row r="17" spans="1:29" x14ac:dyDescent="0.25">
      <c r="B17" s="296">
        <f t="shared" si="3"/>
        <v>5</v>
      </c>
      <c r="C17" s="73"/>
      <c r="D17" s="948"/>
      <c r="E17" s="949"/>
      <c r="F17" s="948">
        <f t="shared" si="0"/>
        <v>0</v>
      </c>
      <c r="G17" s="950"/>
      <c r="H17" s="951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21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236.89999999999998</v>
      </c>
    </row>
    <row r="18" spans="1:29" x14ac:dyDescent="0.25">
      <c r="A18" s="122"/>
      <c r="B18" s="296">
        <f t="shared" si="3"/>
        <v>5</v>
      </c>
      <c r="C18" s="73"/>
      <c r="D18" s="948"/>
      <c r="E18" s="949"/>
      <c r="F18" s="948">
        <f t="shared" si="0"/>
        <v>0</v>
      </c>
      <c r="G18" s="950"/>
      <c r="H18" s="951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21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236.89999999999998</v>
      </c>
    </row>
    <row r="19" spans="1:29" x14ac:dyDescent="0.25">
      <c r="A19" s="122"/>
      <c r="B19" s="296">
        <f t="shared" si="3"/>
        <v>5</v>
      </c>
      <c r="C19" s="15"/>
      <c r="D19" s="948"/>
      <c r="E19" s="949"/>
      <c r="F19" s="948">
        <f t="shared" si="0"/>
        <v>0</v>
      </c>
      <c r="G19" s="950"/>
      <c r="H19" s="951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21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236.89999999999998</v>
      </c>
    </row>
    <row r="20" spans="1:29" x14ac:dyDescent="0.25">
      <c r="A20" s="122"/>
      <c r="B20" s="83">
        <f t="shared" si="3"/>
        <v>5</v>
      </c>
      <c r="C20" s="15"/>
      <c r="D20" s="948"/>
      <c r="E20" s="949"/>
      <c r="F20" s="948">
        <f t="shared" si="0"/>
        <v>0</v>
      </c>
      <c r="G20" s="950"/>
      <c r="H20" s="951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21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236.89999999999998</v>
      </c>
    </row>
    <row r="21" spans="1:29" x14ac:dyDescent="0.25">
      <c r="A21" s="122"/>
      <c r="B21" s="83">
        <f t="shared" si="3"/>
        <v>5</v>
      </c>
      <c r="C21" s="15"/>
      <c r="D21" s="948"/>
      <c r="E21" s="949"/>
      <c r="F21" s="948">
        <f t="shared" si="0"/>
        <v>0</v>
      </c>
      <c r="G21" s="950"/>
      <c r="H21" s="951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21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236.89999999999998</v>
      </c>
    </row>
    <row r="22" spans="1:29" x14ac:dyDescent="0.25">
      <c r="A22" s="122"/>
      <c r="B22" s="281">
        <f t="shared" si="3"/>
        <v>5</v>
      </c>
      <c r="C22" s="15"/>
      <c r="D22" s="948"/>
      <c r="E22" s="949"/>
      <c r="F22" s="948">
        <f t="shared" si="0"/>
        <v>0</v>
      </c>
      <c r="G22" s="950"/>
      <c r="H22" s="951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21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236.89999999999998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21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236.89999999999998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21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236.89999999999998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21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236.89999999999998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21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236.89999999999998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21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236.89999999999998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21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236.89999999999998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21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236.89999999999998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21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236.89999999999998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21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236.89999999999998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21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236.89999999999998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21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236.89999999999998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21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236.89999999999998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21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236.89999999999998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21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236.89999999999998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21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236.89999999999998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21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236.89999999999998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21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236.89999999999998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21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236.89999999999998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15</v>
      </c>
      <c r="N42" s="6">
        <f>SUM(N9:N41)</f>
        <v>181.41</v>
      </c>
      <c r="P42" s="6">
        <f>SUM(P9:P41)</f>
        <v>181.41</v>
      </c>
      <c r="W42" s="53">
        <f>SUM(W9:W41)</f>
        <v>15</v>
      </c>
      <c r="X42" s="6">
        <f>SUM(X9:X41)</f>
        <v>179.49</v>
      </c>
      <c r="Z42" s="6">
        <f>SUM(Z9:Z41)</f>
        <v>179.49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2</v>
      </c>
      <c r="X45" s="45" t="s">
        <v>4</v>
      </c>
      <c r="Y45" s="56">
        <f>Z5+Z6-W42+Z7</f>
        <v>21</v>
      </c>
    </row>
    <row r="46" spans="1:29" ht="15.75" thickBot="1" x14ac:dyDescent="0.3"/>
    <row r="47" spans="1:29" ht="15.75" thickBot="1" x14ac:dyDescent="0.3">
      <c r="C47" s="1254" t="s">
        <v>11</v>
      </c>
      <c r="D47" s="1255"/>
      <c r="E47" s="57">
        <f>E5+E6-F42+E7</f>
        <v>61.359999999999957</v>
      </c>
      <c r="F47" s="73"/>
      <c r="M47" s="1254" t="s">
        <v>11</v>
      </c>
      <c r="N47" s="1255"/>
      <c r="O47" s="57">
        <f>O5+O6-P42+O7</f>
        <v>23.180000000000007</v>
      </c>
      <c r="P47" s="73"/>
      <c r="W47" s="1254" t="s">
        <v>11</v>
      </c>
      <c r="X47" s="1255"/>
      <c r="Y47" s="57">
        <f>Y5+Y6-Z42+Y7</f>
        <v>236.89999999999998</v>
      </c>
      <c r="Z47" s="73"/>
    </row>
    <row r="50" spans="1:28" x14ac:dyDescent="0.25">
      <c r="A50" s="250"/>
      <c r="B50" s="1250"/>
      <c r="C50" s="734"/>
      <c r="D50" s="274"/>
      <c r="E50" s="259"/>
      <c r="F50" s="253"/>
      <c r="G50" s="260"/>
      <c r="H50" s="240"/>
      <c r="K50" s="250"/>
      <c r="L50" s="1250"/>
      <c r="M50" s="734"/>
      <c r="N50" s="274"/>
      <c r="O50" s="259"/>
      <c r="P50" s="253"/>
      <c r="Q50" s="260"/>
      <c r="R50" s="240"/>
      <c r="U50" s="250"/>
      <c r="V50" s="1250"/>
      <c r="W50" s="734"/>
      <c r="X50" s="274"/>
      <c r="Y50" s="259"/>
      <c r="Z50" s="253"/>
      <c r="AA50" s="260"/>
      <c r="AB50" s="240"/>
    </row>
    <row r="51" spans="1:28" x14ac:dyDescent="0.25">
      <c r="A51" s="250"/>
      <c r="B51" s="1250"/>
      <c r="C51" s="563"/>
      <c r="D51" s="248"/>
      <c r="E51" s="267"/>
      <c r="F51" s="253"/>
      <c r="G51" s="262"/>
      <c r="H51" s="240"/>
      <c r="K51" s="250"/>
      <c r="L51" s="1250"/>
      <c r="M51" s="563"/>
      <c r="N51" s="248"/>
      <c r="O51" s="267"/>
      <c r="P51" s="253"/>
      <c r="Q51" s="262"/>
      <c r="R51" s="240"/>
      <c r="U51" s="250"/>
      <c r="V51" s="1250"/>
      <c r="W51" s="563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34"/>
      <c r="D52" s="248"/>
      <c r="E52" s="748"/>
      <c r="F52" s="294"/>
      <c r="G52" s="240"/>
      <c r="H52" s="240"/>
      <c r="K52" s="240"/>
      <c r="L52" s="272"/>
      <c r="M52" s="734"/>
      <c r="N52" s="248"/>
      <c r="O52" s="748"/>
      <c r="P52" s="294"/>
      <c r="Q52" s="240"/>
      <c r="R52" s="240"/>
      <c r="U52" s="240"/>
      <c r="V52" s="272"/>
      <c r="W52" s="734"/>
      <c r="X52" s="248"/>
      <c r="Y52" s="748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workbookViewId="0">
      <pane ySplit="8" topLeftCell="A18" activePane="bottomLeft" state="frozen"/>
      <selection pane="bottomLeft" activeCell="G21" sqref="G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56" t="s">
        <v>271</v>
      </c>
      <c r="B1" s="1256"/>
      <c r="C1" s="1256"/>
      <c r="D1" s="1256"/>
      <c r="E1" s="1256"/>
      <c r="F1" s="1256"/>
      <c r="G1" s="1256"/>
      <c r="H1" s="11">
        <v>1</v>
      </c>
      <c r="K1" s="1252" t="s">
        <v>295</v>
      </c>
      <c r="L1" s="1252"/>
      <c r="M1" s="1252"/>
      <c r="N1" s="1252"/>
      <c r="O1" s="1252"/>
      <c r="P1" s="1252"/>
      <c r="Q1" s="125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51">
        <v>95</v>
      </c>
      <c r="D4" s="248">
        <v>44709</v>
      </c>
      <c r="E4" s="259">
        <v>403.75</v>
      </c>
      <c r="F4" s="253">
        <v>34</v>
      </c>
      <c r="G4" s="160"/>
      <c r="H4" s="160"/>
      <c r="K4" s="12"/>
      <c r="L4" s="12"/>
      <c r="M4" s="751"/>
      <c r="N4" s="248"/>
      <c r="O4" s="259"/>
      <c r="P4" s="253"/>
      <c r="Q4" s="160"/>
      <c r="R4" s="160"/>
    </row>
    <row r="5" spans="1:19" ht="15" customHeight="1" x14ac:dyDescent="0.25">
      <c r="A5" s="250" t="s">
        <v>64</v>
      </c>
      <c r="B5" s="1259" t="s">
        <v>108</v>
      </c>
      <c r="C5" s="734">
        <v>92</v>
      </c>
      <c r="D5" s="274">
        <v>44688</v>
      </c>
      <c r="E5" s="259">
        <v>1001.69</v>
      </c>
      <c r="F5" s="253">
        <v>86</v>
      </c>
      <c r="G5" s="260"/>
      <c r="K5" s="250" t="s">
        <v>64</v>
      </c>
      <c r="L5" s="1259" t="s">
        <v>108</v>
      </c>
      <c r="M5" s="734">
        <v>95</v>
      </c>
      <c r="N5" s="274">
        <v>44727</v>
      </c>
      <c r="O5" s="259">
        <v>1001.32</v>
      </c>
      <c r="P5" s="253">
        <v>86</v>
      </c>
      <c r="Q5" s="260"/>
    </row>
    <row r="6" spans="1:19" x14ac:dyDescent="0.25">
      <c r="A6" s="250"/>
      <c r="B6" s="1259"/>
      <c r="C6" s="563"/>
      <c r="D6" s="248"/>
      <c r="E6" s="267">
        <v>111.28</v>
      </c>
      <c r="F6" s="253">
        <v>10</v>
      </c>
      <c r="G6" s="262">
        <f>F78</f>
        <v>1538.29</v>
      </c>
      <c r="H6" s="7">
        <f>E6-G6+E7+E5-G5+E4</f>
        <v>583.04000000000008</v>
      </c>
      <c r="K6" s="250"/>
      <c r="L6" s="1259"/>
      <c r="M6" s="563"/>
      <c r="N6" s="248"/>
      <c r="O6" s="267"/>
      <c r="P6" s="253"/>
      <c r="Q6" s="262">
        <f>P78</f>
        <v>0</v>
      </c>
      <c r="R6" s="7">
        <f>O6-Q6+O7+O5-Q5+O4</f>
        <v>1001.32</v>
      </c>
    </row>
    <row r="7" spans="1:19" ht="15.75" thickBot="1" x14ac:dyDescent="0.3">
      <c r="A7" s="240"/>
      <c r="B7" s="272"/>
      <c r="C7" s="734">
        <v>92</v>
      </c>
      <c r="D7" s="248">
        <v>44702</v>
      </c>
      <c r="E7" s="748">
        <v>604.61</v>
      </c>
      <c r="F7" s="243">
        <v>53</v>
      </c>
      <c r="G7" s="240"/>
      <c r="K7" s="240"/>
      <c r="L7" s="272"/>
      <c r="M7" s="734"/>
      <c r="N7" s="248"/>
      <c r="O7" s="748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168</v>
      </c>
      <c r="C9" s="263">
        <v>15</v>
      </c>
      <c r="D9" s="264">
        <v>168.57</v>
      </c>
      <c r="E9" s="293">
        <v>44688</v>
      </c>
      <c r="F9" s="264">
        <f t="shared" ref="F9:F72" si="0">D9</f>
        <v>168.57</v>
      </c>
      <c r="G9" s="265" t="s">
        <v>150</v>
      </c>
      <c r="H9" s="266">
        <v>95</v>
      </c>
      <c r="I9" s="275">
        <f>E6-F9+E5+E7+E4</f>
        <v>1952.7600000000002</v>
      </c>
      <c r="K9" s="80" t="s">
        <v>32</v>
      </c>
      <c r="L9" s="195">
        <f>P6-M9+P5+P7+P4</f>
        <v>86</v>
      </c>
      <c r="M9" s="263"/>
      <c r="N9" s="264"/>
      <c r="O9" s="293"/>
      <c r="P9" s="264">
        <f t="shared" ref="P9:P72" si="1">N9</f>
        <v>0</v>
      </c>
      <c r="Q9" s="265"/>
      <c r="R9" s="266"/>
      <c r="S9" s="275">
        <f>O6-P9+O5+O7+O4</f>
        <v>1001.32</v>
      </c>
    </row>
    <row r="10" spans="1:19" x14ac:dyDescent="0.25">
      <c r="A10" s="863"/>
      <c r="B10" s="195">
        <f>B9-C10</f>
        <v>162</v>
      </c>
      <c r="C10" s="243">
        <v>6</v>
      </c>
      <c r="D10" s="264">
        <v>72.23</v>
      </c>
      <c r="E10" s="293">
        <v>44690</v>
      </c>
      <c r="F10" s="264">
        <f t="shared" si="0"/>
        <v>72.23</v>
      </c>
      <c r="G10" s="265" t="s">
        <v>151</v>
      </c>
      <c r="H10" s="266">
        <v>95</v>
      </c>
      <c r="I10" s="275">
        <f>I9-F10</f>
        <v>1880.5300000000002</v>
      </c>
      <c r="K10" s="863"/>
      <c r="L10" s="195">
        <f>L9-M10</f>
        <v>86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1001.32</v>
      </c>
    </row>
    <row r="11" spans="1:19" x14ac:dyDescent="0.25">
      <c r="A11" s="195"/>
      <c r="B11" s="1008">
        <f t="shared" ref="B11:B54" si="2">B10-C11</f>
        <v>152</v>
      </c>
      <c r="C11" s="243">
        <v>10</v>
      </c>
      <c r="D11" s="264">
        <v>119.43</v>
      </c>
      <c r="E11" s="293">
        <v>44693</v>
      </c>
      <c r="F11" s="264">
        <f t="shared" si="0"/>
        <v>119.43</v>
      </c>
      <c r="G11" s="265" t="s">
        <v>173</v>
      </c>
      <c r="H11" s="266">
        <v>95</v>
      </c>
      <c r="I11" s="275">
        <f t="shared" ref="I11:I74" si="3">I10-F11</f>
        <v>1761.1000000000001</v>
      </c>
      <c r="K11" s="195"/>
      <c r="L11" s="1008">
        <f t="shared" ref="L11:L54" si="4">L10-M11</f>
        <v>86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74" si="5">S10-P11</f>
        <v>1001.32</v>
      </c>
    </row>
    <row r="12" spans="1:19" x14ac:dyDescent="0.25">
      <c r="A12" s="195"/>
      <c r="B12" s="1008">
        <f t="shared" si="2"/>
        <v>142</v>
      </c>
      <c r="C12" s="243">
        <v>10</v>
      </c>
      <c r="D12" s="264">
        <v>111.94</v>
      </c>
      <c r="E12" s="293">
        <v>44695</v>
      </c>
      <c r="F12" s="264">
        <f t="shared" si="0"/>
        <v>111.94</v>
      </c>
      <c r="G12" s="265" t="s">
        <v>187</v>
      </c>
      <c r="H12" s="266">
        <v>95</v>
      </c>
      <c r="I12" s="275">
        <f t="shared" si="3"/>
        <v>1649.16</v>
      </c>
      <c r="K12" s="195"/>
      <c r="L12" s="1008">
        <f t="shared" si="4"/>
        <v>86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5"/>
        <v>1001.32</v>
      </c>
    </row>
    <row r="13" spans="1:19" x14ac:dyDescent="0.25">
      <c r="A13" s="82" t="s">
        <v>33</v>
      </c>
      <c r="B13" s="1008">
        <f t="shared" si="2"/>
        <v>122</v>
      </c>
      <c r="C13" s="243">
        <v>20</v>
      </c>
      <c r="D13" s="264">
        <v>225.32</v>
      </c>
      <c r="E13" s="293">
        <v>44697</v>
      </c>
      <c r="F13" s="264">
        <f t="shared" si="0"/>
        <v>225.32</v>
      </c>
      <c r="G13" s="265" t="s">
        <v>197</v>
      </c>
      <c r="H13" s="266">
        <v>95</v>
      </c>
      <c r="I13" s="275">
        <f t="shared" si="3"/>
        <v>1423.8400000000001</v>
      </c>
      <c r="K13" s="82" t="s">
        <v>33</v>
      </c>
      <c r="L13" s="1008">
        <f t="shared" si="4"/>
        <v>86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5"/>
        <v>1001.32</v>
      </c>
    </row>
    <row r="14" spans="1:19" x14ac:dyDescent="0.25">
      <c r="A14" s="73"/>
      <c r="B14" s="1008">
        <f t="shared" si="2"/>
        <v>120</v>
      </c>
      <c r="C14" s="243">
        <v>2</v>
      </c>
      <c r="D14" s="264">
        <v>22.46</v>
      </c>
      <c r="E14" s="293">
        <v>44701</v>
      </c>
      <c r="F14" s="264">
        <f t="shared" si="0"/>
        <v>22.46</v>
      </c>
      <c r="G14" s="265" t="s">
        <v>198</v>
      </c>
      <c r="H14" s="266">
        <v>95</v>
      </c>
      <c r="I14" s="275">
        <f t="shared" si="3"/>
        <v>1401.38</v>
      </c>
      <c r="K14" s="73"/>
      <c r="L14" s="1008">
        <f t="shared" si="4"/>
        <v>86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5"/>
        <v>1001.32</v>
      </c>
    </row>
    <row r="15" spans="1:19" x14ac:dyDescent="0.25">
      <c r="A15" s="73"/>
      <c r="B15" s="1008">
        <f t="shared" si="2"/>
        <v>110</v>
      </c>
      <c r="C15" s="243">
        <v>10</v>
      </c>
      <c r="D15" s="264">
        <v>118.05</v>
      </c>
      <c r="E15" s="293">
        <v>44702</v>
      </c>
      <c r="F15" s="264">
        <f t="shared" si="0"/>
        <v>118.05</v>
      </c>
      <c r="G15" s="265" t="s">
        <v>215</v>
      </c>
      <c r="H15" s="266">
        <v>95</v>
      </c>
      <c r="I15" s="275">
        <f t="shared" si="3"/>
        <v>1283.3300000000002</v>
      </c>
      <c r="K15" s="73"/>
      <c r="L15" s="1008">
        <f t="shared" si="4"/>
        <v>86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5"/>
        <v>1001.32</v>
      </c>
    </row>
    <row r="16" spans="1:19" x14ac:dyDescent="0.25">
      <c r="B16" s="1008">
        <f t="shared" si="2"/>
        <v>100</v>
      </c>
      <c r="C16" s="73">
        <v>10</v>
      </c>
      <c r="D16" s="264">
        <v>117.88</v>
      </c>
      <c r="E16" s="293">
        <v>44705</v>
      </c>
      <c r="F16" s="264">
        <f t="shared" si="0"/>
        <v>117.88</v>
      </c>
      <c r="G16" s="265" t="s">
        <v>239</v>
      </c>
      <c r="H16" s="266">
        <v>95</v>
      </c>
      <c r="I16" s="275">
        <f t="shared" si="3"/>
        <v>1165.4500000000003</v>
      </c>
      <c r="L16" s="1008">
        <f t="shared" si="4"/>
        <v>86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5"/>
        <v>1001.32</v>
      </c>
    </row>
    <row r="17" spans="1:19" x14ac:dyDescent="0.25">
      <c r="B17" s="1008">
        <f t="shared" si="2"/>
        <v>85</v>
      </c>
      <c r="C17" s="73">
        <v>15</v>
      </c>
      <c r="D17" s="264">
        <v>179.51</v>
      </c>
      <c r="E17" s="293">
        <v>44707</v>
      </c>
      <c r="F17" s="264">
        <f t="shared" si="0"/>
        <v>179.51</v>
      </c>
      <c r="G17" s="265" t="s">
        <v>246</v>
      </c>
      <c r="H17" s="266">
        <v>95</v>
      </c>
      <c r="I17" s="275">
        <f t="shared" si="3"/>
        <v>985.94000000000028</v>
      </c>
      <c r="L17" s="1008">
        <f t="shared" si="4"/>
        <v>86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5"/>
        <v>1001.32</v>
      </c>
    </row>
    <row r="18" spans="1:19" x14ac:dyDescent="0.25">
      <c r="A18" s="122"/>
      <c r="B18" s="1008">
        <f t="shared" si="2"/>
        <v>75</v>
      </c>
      <c r="C18" s="73">
        <v>10</v>
      </c>
      <c r="D18" s="334">
        <v>114.44</v>
      </c>
      <c r="E18" s="1046">
        <v>44712</v>
      </c>
      <c r="F18" s="334">
        <f t="shared" si="0"/>
        <v>114.44</v>
      </c>
      <c r="G18" s="1047" t="s">
        <v>484</v>
      </c>
      <c r="H18" s="301">
        <v>95</v>
      </c>
      <c r="I18" s="275">
        <f t="shared" si="3"/>
        <v>871.50000000000023</v>
      </c>
      <c r="K18" s="122"/>
      <c r="L18" s="1008">
        <f t="shared" si="4"/>
        <v>86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1001.32</v>
      </c>
    </row>
    <row r="19" spans="1:19" x14ac:dyDescent="0.25">
      <c r="A19" s="122"/>
      <c r="B19" s="1008">
        <f t="shared" si="2"/>
        <v>60</v>
      </c>
      <c r="C19" s="15">
        <v>15</v>
      </c>
      <c r="D19" s="334">
        <v>173.13</v>
      </c>
      <c r="E19" s="1046">
        <v>44714</v>
      </c>
      <c r="F19" s="334">
        <f t="shared" si="0"/>
        <v>173.13</v>
      </c>
      <c r="G19" s="1047" t="s">
        <v>507</v>
      </c>
      <c r="H19" s="301">
        <v>95</v>
      </c>
      <c r="I19" s="275">
        <f t="shared" si="3"/>
        <v>698.37000000000023</v>
      </c>
      <c r="K19" s="122"/>
      <c r="L19" s="1008">
        <f t="shared" si="4"/>
        <v>86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1001.32</v>
      </c>
    </row>
    <row r="20" spans="1:19" x14ac:dyDescent="0.25">
      <c r="A20" s="122"/>
      <c r="B20" s="195">
        <f t="shared" si="2"/>
        <v>50</v>
      </c>
      <c r="C20" s="15">
        <v>10</v>
      </c>
      <c r="D20" s="334">
        <v>115.33</v>
      </c>
      <c r="E20" s="1046">
        <v>44718</v>
      </c>
      <c r="F20" s="334">
        <f t="shared" si="0"/>
        <v>115.33</v>
      </c>
      <c r="G20" s="1047" t="s">
        <v>539</v>
      </c>
      <c r="H20" s="301">
        <v>98</v>
      </c>
      <c r="I20" s="275">
        <f t="shared" si="3"/>
        <v>583.04000000000019</v>
      </c>
      <c r="K20" s="122"/>
      <c r="L20" s="195">
        <f t="shared" si="4"/>
        <v>86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1001.32</v>
      </c>
    </row>
    <row r="21" spans="1:19" x14ac:dyDescent="0.25">
      <c r="A21" s="122"/>
      <c r="B21" s="195">
        <f t="shared" si="2"/>
        <v>50</v>
      </c>
      <c r="C21" s="15"/>
      <c r="D21" s="334"/>
      <c r="E21" s="1046"/>
      <c r="F21" s="334">
        <f t="shared" si="0"/>
        <v>0</v>
      </c>
      <c r="G21" s="1047"/>
      <c r="H21" s="301"/>
      <c r="I21" s="275">
        <f t="shared" si="3"/>
        <v>583.04000000000019</v>
      </c>
      <c r="K21" s="122"/>
      <c r="L21" s="195">
        <f t="shared" si="4"/>
        <v>86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1001.32</v>
      </c>
    </row>
    <row r="22" spans="1:19" x14ac:dyDescent="0.25">
      <c r="A22" s="122"/>
      <c r="B22" s="195">
        <f t="shared" si="2"/>
        <v>50</v>
      </c>
      <c r="C22" s="15"/>
      <c r="D22" s="334"/>
      <c r="E22" s="1046"/>
      <c r="F22" s="334">
        <f t="shared" si="0"/>
        <v>0</v>
      </c>
      <c r="G22" s="1047"/>
      <c r="H22" s="301"/>
      <c r="I22" s="275">
        <f t="shared" si="3"/>
        <v>583.04000000000019</v>
      </c>
      <c r="K22" s="122"/>
      <c r="L22" s="195">
        <f t="shared" si="4"/>
        <v>86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1001.32</v>
      </c>
    </row>
    <row r="23" spans="1:19" x14ac:dyDescent="0.25">
      <c r="A23" s="123"/>
      <c r="B23" s="195">
        <f t="shared" si="2"/>
        <v>50</v>
      </c>
      <c r="C23" s="15"/>
      <c r="D23" s="334"/>
      <c r="E23" s="1046"/>
      <c r="F23" s="334">
        <f t="shared" si="0"/>
        <v>0</v>
      </c>
      <c r="G23" s="1047"/>
      <c r="H23" s="301"/>
      <c r="I23" s="275">
        <f t="shared" si="3"/>
        <v>583.04000000000019</v>
      </c>
      <c r="K23" s="123"/>
      <c r="L23" s="195">
        <f t="shared" si="4"/>
        <v>86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1001.32</v>
      </c>
    </row>
    <row r="24" spans="1:19" x14ac:dyDescent="0.25">
      <c r="A24" s="122"/>
      <c r="B24" s="195">
        <f t="shared" si="2"/>
        <v>50</v>
      </c>
      <c r="C24" s="15"/>
      <c r="D24" s="334"/>
      <c r="E24" s="1046"/>
      <c r="F24" s="334">
        <f t="shared" si="0"/>
        <v>0</v>
      </c>
      <c r="G24" s="1047"/>
      <c r="H24" s="301"/>
      <c r="I24" s="275">
        <f t="shared" si="3"/>
        <v>583.04000000000019</v>
      </c>
      <c r="K24" s="122"/>
      <c r="L24" s="195">
        <f t="shared" si="4"/>
        <v>86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1001.32</v>
      </c>
    </row>
    <row r="25" spans="1:19" x14ac:dyDescent="0.25">
      <c r="A25" s="122"/>
      <c r="B25" s="195">
        <f t="shared" si="2"/>
        <v>50</v>
      </c>
      <c r="C25" s="15"/>
      <c r="D25" s="334"/>
      <c r="E25" s="1046"/>
      <c r="F25" s="334">
        <f t="shared" si="0"/>
        <v>0</v>
      </c>
      <c r="G25" s="1047"/>
      <c r="H25" s="301"/>
      <c r="I25" s="275">
        <f t="shared" si="3"/>
        <v>583.04000000000019</v>
      </c>
      <c r="K25" s="122"/>
      <c r="L25" s="195">
        <f t="shared" si="4"/>
        <v>86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1001.32</v>
      </c>
    </row>
    <row r="26" spans="1:19" x14ac:dyDescent="0.25">
      <c r="A26" s="122"/>
      <c r="B26" s="195">
        <f t="shared" si="2"/>
        <v>50</v>
      </c>
      <c r="C26" s="15"/>
      <c r="D26" s="334"/>
      <c r="E26" s="1046"/>
      <c r="F26" s="334">
        <f t="shared" si="0"/>
        <v>0</v>
      </c>
      <c r="G26" s="1047"/>
      <c r="H26" s="301"/>
      <c r="I26" s="275">
        <f t="shared" si="3"/>
        <v>583.04000000000019</v>
      </c>
      <c r="K26" s="122"/>
      <c r="L26" s="195">
        <f t="shared" si="4"/>
        <v>86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1001.32</v>
      </c>
    </row>
    <row r="27" spans="1:19" x14ac:dyDescent="0.25">
      <c r="A27" s="122"/>
      <c r="B27" s="195">
        <f t="shared" si="2"/>
        <v>50</v>
      </c>
      <c r="C27" s="15"/>
      <c r="D27" s="334"/>
      <c r="E27" s="1046"/>
      <c r="F27" s="334">
        <f t="shared" si="0"/>
        <v>0</v>
      </c>
      <c r="G27" s="1047"/>
      <c r="H27" s="301"/>
      <c r="I27" s="275">
        <f t="shared" si="3"/>
        <v>583.04000000000019</v>
      </c>
      <c r="K27" s="122"/>
      <c r="L27" s="195">
        <f t="shared" si="4"/>
        <v>86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1001.32</v>
      </c>
    </row>
    <row r="28" spans="1:19" x14ac:dyDescent="0.25">
      <c r="A28" s="122"/>
      <c r="B28" s="195">
        <f t="shared" si="2"/>
        <v>50</v>
      </c>
      <c r="C28" s="15"/>
      <c r="D28" s="334"/>
      <c r="E28" s="1046"/>
      <c r="F28" s="334">
        <f t="shared" si="0"/>
        <v>0</v>
      </c>
      <c r="G28" s="1047"/>
      <c r="H28" s="301"/>
      <c r="I28" s="275">
        <f t="shared" si="3"/>
        <v>583.04000000000019</v>
      </c>
      <c r="K28" s="122"/>
      <c r="L28" s="195">
        <f t="shared" si="4"/>
        <v>86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1001.32</v>
      </c>
    </row>
    <row r="29" spans="1:19" x14ac:dyDescent="0.25">
      <c r="A29" s="122"/>
      <c r="B29" s="195">
        <f t="shared" si="2"/>
        <v>50</v>
      </c>
      <c r="C29" s="15"/>
      <c r="D29" s="334"/>
      <c r="E29" s="1046"/>
      <c r="F29" s="334">
        <f t="shared" si="0"/>
        <v>0</v>
      </c>
      <c r="G29" s="1047"/>
      <c r="H29" s="301"/>
      <c r="I29" s="275">
        <f t="shared" si="3"/>
        <v>583.04000000000019</v>
      </c>
      <c r="K29" s="122"/>
      <c r="L29" s="195">
        <f t="shared" si="4"/>
        <v>86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1001.32</v>
      </c>
    </row>
    <row r="30" spans="1:19" x14ac:dyDescent="0.25">
      <c r="A30" s="122"/>
      <c r="B30" s="195">
        <f t="shared" si="2"/>
        <v>50</v>
      </c>
      <c r="C30" s="15"/>
      <c r="D30" s="334"/>
      <c r="E30" s="1046"/>
      <c r="F30" s="334">
        <f t="shared" si="0"/>
        <v>0</v>
      </c>
      <c r="G30" s="1047"/>
      <c r="H30" s="301"/>
      <c r="I30" s="275">
        <f t="shared" si="3"/>
        <v>583.04000000000019</v>
      </c>
      <c r="K30" s="122"/>
      <c r="L30" s="195">
        <f t="shared" si="4"/>
        <v>86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1001.32</v>
      </c>
    </row>
    <row r="31" spans="1:19" x14ac:dyDescent="0.25">
      <c r="A31" s="122"/>
      <c r="B31" s="195">
        <f t="shared" si="2"/>
        <v>50</v>
      </c>
      <c r="C31" s="15"/>
      <c r="D31" s="334"/>
      <c r="E31" s="1046"/>
      <c r="F31" s="334">
        <f t="shared" si="0"/>
        <v>0</v>
      </c>
      <c r="G31" s="1047"/>
      <c r="H31" s="301"/>
      <c r="I31" s="275">
        <f t="shared" si="3"/>
        <v>583.04000000000019</v>
      </c>
      <c r="K31" s="122"/>
      <c r="L31" s="195">
        <f t="shared" si="4"/>
        <v>86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1001.32</v>
      </c>
    </row>
    <row r="32" spans="1:19" x14ac:dyDescent="0.25">
      <c r="A32" s="122"/>
      <c r="B32" s="195">
        <f t="shared" si="2"/>
        <v>50</v>
      </c>
      <c r="C32" s="15"/>
      <c r="D32" s="334"/>
      <c r="E32" s="1046"/>
      <c r="F32" s="334">
        <f t="shared" si="0"/>
        <v>0</v>
      </c>
      <c r="G32" s="1047"/>
      <c r="H32" s="301"/>
      <c r="I32" s="275">
        <f t="shared" si="3"/>
        <v>583.04000000000019</v>
      </c>
      <c r="K32" s="122"/>
      <c r="L32" s="195">
        <f t="shared" si="4"/>
        <v>86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1001.32</v>
      </c>
    </row>
    <row r="33" spans="1:19" x14ac:dyDescent="0.25">
      <c r="A33" s="122"/>
      <c r="B33" s="281">
        <f t="shared" si="2"/>
        <v>50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583.04000000000019</v>
      </c>
      <c r="K33" s="122"/>
      <c r="L33" s="281">
        <f t="shared" si="4"/>
        <v>86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1001.32</v>
      </c>
    </row>
    <row r="34" spans="1:19" x14ac:dyDescent="0.25">
      <c r="A34" s="122"/>
      <c r="B34" s="281">
        <f t="shared" si="2"/>
        <v>50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583.04000000000019</v>
      </c>
      <c r="K34" s="122"/>
      <c r="L34" s="281">
        <f t="shared" si="4"/>
        <v>86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1001.32</v>
      </c>
    </row>
    <row r="35" spans="1:19" x14ac:dyDescent="0.25">
      <c r="A35" s="122"/>
      <c r="B35" s="281">
        <f t="shared" si="2"/>
        <v>50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583.04000000000019</v>
      </c>
      <c r="K35" s="122"/>
      <c r="L35" s="281">
        <f t="shared" si="4"/>
        <v>86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1001.32</v>
      </c>
    </row>
    <row r="36" spans="1:19" x14ac:dyDescent="0.25">
      <c r="A36" s="122" t="s">
        <v>22</v>
      </c>
      <c r="B36" s="281">
        <f t="shared" si="2"/>
        <v>50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583.04000000000019</v>
      </c>
      <c r="K36" s="122" t="s">
        <v>22</v>
      </c>
      <c r="L36" s="281">
        <f t="shared" si="4"/>
        <v>86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1001.32</v>
      </c>
    </row>
    <row r="37" spans="1:19" x14ac:dyDescent="0.25">
      <c r="A37" s="123"/>
      <c r="B37" s="281">
        <f t="shared" si="2"/>
        <v>50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583.04000000000019</v>
      </c>
      <c r="K37" s="123"/>
      <c r="L37" s="281">
        <f t="shared" si="4"/>
        <v>86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1001.32</v>
      </c>
    </row>
    <row r="38" spans="1:19" x14ac:dyDescent="0.25">
      <c r="A38" s="122"/>
      <c r="B38" s="281">
        <f t="shared" si="2"/>
        <v>50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583.04000000000019</v>
      </c>
      <c r="K38" s="122"/>
      <c r="L38" s="281">
        <f t="shared" si="4"/>
        <v>86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1001.32</v>
      </c>
    </row>
    <row r="39" spans="1:19" x14ac:dyDescent="0.25">
      <c r="A39" s="122"/>
      <c r="B39" s="83">
        <f t="shared" si="2"/>
        <v>50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583.04000000000019</v>
      </c>
      <c r="K39" s="122"/>
      <c r="L39" s="83">
        <f t="shared" si="4"/>
        <v>86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1001.32</v>
      </c>
    </row>
    <row r="40" spans="1:19" x14ac:dyDescent="0.25">
      <c r="A40" s="122"/>
      <c r="B40" s="83">
        <f t="shared" si="2"/>
        <v>50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583.04000000000019</v>
      </c>
      <c r="K40" s="122"/>
      <c r="L40" s="83">
        <f t="shared" si="4"/>
        <v>86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1001.32</v>
      </c>
    </row>
    <row r="41" spans="1:19" x14ac:dyDescent="0.25">
      <c r="A41" s="122"/>
      <c r="B41" s="83">
        <f t="shared" si="2"/>
        <v>50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583.04000000000019</v>
      </c>
      <c r="K41" s="122"/>
      <c r="L41" s="83">
        <f t="shared" si="4"/>
        <v>86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1001.32</v>
      </c>
    </row>
    <row r="42" spans="1:19" x14ac:dyDescent="0.25">
      <c r="A42" s="122"/>
      <c r="B42" s="83">
        <f t="shared" si="2"/>
        <v>50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583.04000000000019</v>
      </c>
      <c r="K42" s="122"/>
      <c r="L42" s="83">
        <f t="shared" si="4"/>
        <v>86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1001.32</v>
      </c>
    </row>
    <row r="43" spans="1:19" x14ac:dyDescent="0.25">
      <c r="A43" s="122"/>
      <c r="B43" s="83">
        <f t="shared" si="2"/>
        <v>50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583.04000000000019</v>
      </c>
      <c r="K43" s="122"/>
      <c r="L43" s="83">
        <f t="shared" si="4"/>
        <v>86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1001.32</v>
      </c>
    </row>
    <row r="44" spans="1:19" x14ac:dyDescent="0.25">
      <c r="A44" s="122"/>
      <c r="B44" s="83">
        <f t="shared" si="2"/>
        <v>50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583.04000000000019</v>
      </c>
      <c r="K44" s="122"/>
      <c r="L44" s="83">
        <f t="shared" si="4"/>
        <v>86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1001.32</v>
      </c>
    </row>
    <row r="45" spans="1:19" x14ac:dyDescent="0.25">
      <c r="A45" s="122"/>
      <c r="B45" s="83">
        <f t="shared" si="2"/>
        <v>50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583.04000000000019</v>
      </c>
      <c r="K45" s="122"/>
      <c r="L45" s="83">
        <f t="shared" si="4"/>
        <v>86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1001.32</v>
      </c>
    </row>
    <row r="46" spans="1:19" x14ac:dyDescent="0.25">
      <c r="A46" s="122"/>
      <c r="B46" s="83">
        <f t="shared" si="2"/>
        <v>50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583.04000000000019</v>
      </c>
      <c r="K46" s="122"/>
      <c r="L46" s="83">
        <f t="shared" si="4"/>
        <v>86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1001.32</v>
      </c>
    </row>
    <row r="47" spans="1:19" x14ac:dyDescent="0.25">
      <c r="A47" s="122"/>
      <c r="B47" s="83">
        <f t="shared" si="2"/>
        <v>50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583.04000000000019</v>
      </c>
      <c r="K47" s="122"/>
      <c r="L47" s="83">
        <f t="shared" si="4"/>
        <v>86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1001.32</v>
      </c>
    </row>
    <row r="48" spans="1:19" x14ac:dyDescent="0.25">
      <c r="A48" s="122"/>
      <c r="B48" s="83">
        <f t="shared" si="2"/>
        <v>50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583.04000000000019</v>
      </c>
      <c r="K48" s="122"/>
      <c r="L48" s="83">
        <f t="shared" si="4"/>
        <v>86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1001.32</v>
      </c>
    </row>
    <row r="49" spans="1:19" x14ac:dyDescent="0.25">
      <c r="A49" s="122"/>
      <c r="B49" s="83">
        <f t="shared" si="2"/>
        <v>50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583.04000000000019</v>
      </c>
      <c r="K49" s="122"/>
      <c r="L49" s="83">
        <f t="shared" si="4"/>
        <v>86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1001.32</v>
      </c>
    </row>
    <row r="50" spans="1:19" x14ac:dyDescent="0.25">
      <c r="A50" s="122"/>
      <c r="B50" s="83">
        <f t="shared" si="2"/>
        <v>50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583.04000000000019</v>
      </c>
      <c r="K50" s="122"/>
      <c r="L50" s="83">
        <f t="shared" si="4"/>
        <v>86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1001.32</v>
      </c>
    </row>
    <row r="51" spans="1:19" x14ac:dyDescent="0.25">
      <c r="A51" s="122"/>
      <c r="B51" s="83">
        <f t="shared" si="2"/>
        <v>50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583.04000000000019</v>
      </c>
      <c r="K51" s="122"/>
      <c r="L51" s="83">
        <f t="shared" si="4"/>
        <v>86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1001.32</v>
      </c>
    </row>
    <row r="52" spans="1:19" x14ac:dyDescent="0.25">
      <c r="A52" s="122"/>
      <c r="B52" s="83">
        <f t="shared" si="2"/>
        <v>50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583.04000000000019</v>
      </c>
      <c r="K52" s="122"/>
      <c r="L52" s="83">
        <f t="shared" si="4"/>
        <v>86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1001.32</v>
      </c>
    </row>
    <row r="53" spans="1:19" x14ac:dyDescent="0.25">
      <c r="A53" s="122"/>
      <c r="B53" s="83">
        <f t="shared" si="2"/>
        <v>50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583.04000000000019</v>
      </c>
      <c r="K53" s="122"/>
      <c r="L53" s="83">
        <f t="shared" si="4"/>
        <v>86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1001.32</v>
      </c>
    </row>
    <row r="54" spans="1:19" x14ac:dyDescent="0.25">
      <c r="A54" s="122"/>
      <c r="B54" s="83">
        <f t="shared" si="2"/>
        <v>50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583.04000000000019</v>
      </c>
      <c r="K54" s="122"/>
      <c r="L54" s="83">
        <f t="shared" si="4"/>
        <v>86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1001.32</v>
      </c>
    </row>
    <row r="55" spans="1:19" x14ac:dyDescent="0.25">
      <c r="A55" s="122"/>
      <c r="B55" s="12">
        <f>B54-C55</f>
        <v>50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583.04000000000019</v>
      </c>
      <c r="K55" s="122"/>
      <c r="L55" s="12">
        <f>L54-M55</f>
        <v>86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1001.32</v>
      </c>
    </row>
    <row r="56" spans="1:19" x14ac:dyDescent="0.25">
      <c r="A56" s="122"/>
      <c r="B56" s="12">
        <f t="shared" ref="B56:B75" si="6">B55-C56</f>
        <v>50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583.04000000000019</v>
      </c>
      <c r="K56" s="122"/>
      <c r="L56" s="12">
        <f t="shared" ref="L56:L75" si="7">L55-M56</f>
        <v>86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1001.32</v>
      </c>
    </row>
    <row r="57" spans="1:19" x14ac:dyDescent="0.25">
      <c r="A57" s="122"/>
      <c r="B57" s="12">
        <f t="shared" si="6"/>
        <v>50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583.04000000000019</v>
      </c>
      <c r="K57" s="122"/>
      <c r="L57" s="12">
        <f t="shared" si="7"/>
        <v>86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1001.32</v>
      </c>
    </row>
    <row r="58" spans="1:19" x14ac:dyDescent="0.25">
      <c r="A58" s="122"/>
      <c r="B58" s="12">
        <f t="shared" si="6"/>
        <v>50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583.04000000000019</v>
      </c>
      <c r="K58" s="122"/>
      <c r="L58" s="12">
        <f t="shared" si="7"/>
        <v>86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1001.32</v>
      </c>
    </row>
    <row r="59" spans="1:19" x14ac:dyDescent="0.25">
      <c r="A59" s="122"/>
      <c r="B59" s="12">
        <f t="shared" si="6"/>
        <v>50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583.04000000000019</v>
      </c>
      <c r="K59" s="122"/>
      <c r="L59" s="12">
        <f t="shared" si="7"/>
        <v>86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1001.32</v>
      </c>
    </row>
    <row r="60" spans="1:19" x14ac:dyDescent="0.25">
      <c r="A60" s="122"/>
      <c r="B60" s="12">
        <f t="shared" si="6"/>
        <v>50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583.04000000000019</v>
      </c>
      <c r="K60" s="122"/>
      <c r="L60" s="12">
        <f t="shared" si="7"/>
        <v>86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1001.32</v>
      </c>
    </row>
    <row r="61" spans="1:19" x14ac:dyDescent="0.25">
      <c r="A61" s="122"/>
      <c r="B61" s="12">
        <f t="shared" si="6"/>
        <v>50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583.04000000000019</v>
      </c>
      <c r="K61" s="122"/>
      <c r="L61" s="12">
        <f t="shared" si="7"/>
        <v>86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1001.32</v>
      </c>
    </row>
    <row r="62" spans="1:19" x14ac:dyDescent="0.25">
      <c r="A62" s="122"/>
      <c r="B62" s="12">
        <f t="shared" si="6"/>
        <v>50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583.04000000000019</v>
      </c>
      <c r="K62" s="122"/>
      <c r="L62" s="12">
        <f t="shared" si="7"/>
        <v>86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1001.32</v>
      </c>
    </row>
    <row r="63" spans="1:19" x14ac:dyDescent="0.25">
      <c r="A63" s="122"/>
      <c r="B63" s="12">
        <f t="shared" si="6"/>
        <v>50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583.04000000000019</v>
      </c>
      <c r="K63" s="122"/>
      <c r="L63" s="12">
        <f t="shared" si="7"/>
        <v>86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1001.32</v>
      </c>
    </row>
    <row r="64" spans="1:19" x14ac:dyDescent="0.25">
      <c r="A64" s="122"/>
      <c r="B64" s="12">
        <f t="shared" si="6"/>
        <v>50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583.04000000000019</v>
      </c>
      <c r="K64" s="122"/>
      <c r="L64" s="12">
        <f t="shared" si="7"/>
        <v>86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1001.32</v>
      </c>
    </row>
    <row r="65" spans="1:19" x14ac:dyDescent="0.25">
      <c r="A65" s="122"/>
      <c r="B65" s="12">
        <f t="shared" si="6"/>
        <v>50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583.04000000000019</v>
      </c>
      <c r="K65" s="122"/>
      <c r="L65" s="12">
        <f t="shared" si="7"/>
        <v>86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1001.32</v>
      </c>
    </row>
    <row r="66" spans="1:19" x14ac:dyDescent="0.25">
      <c r="A66" s="122"/>
      <c r="B66" s="12">
        <f t="shared" si="6"/>
        <v>50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583.04000000000019</v>
      </c>
      <c r="K66" s="122"/>
      <c r="L66" s="12">
        <f t="shared" si="7"/>
        <v>86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1001.32</v>
      </c>
    </row>
    <row r="67" spans="1:19" x14ac:dyDescent="0.25">
      <c r="A67" s="122"/>
      <c r="B67" s="12">
        <f t="shared" si="6"/>
        <v>50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583.04000000000019</v>
      </c>
      <c r="K67" s="122"/>
      <c r="L67" s="12">
        <f t="shared" si="7"/>
        <v>86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1001.32</v>
      </c>
    </row>
    <row r="68" spans="1:19" x14ac:dyDescent="0.25">
      <c r="A68" s="122"/>
      <c r="B68" s="12">
        <f t="shared" si="6"/>
        <v>50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583.04000000000019</v>
      </c>
      <c r="K68" s="122"/>
      <c r="L68" s="12">
        <f t="shared" si="7"/>
        <v>86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1001.32</v>
      </c>
    </row>
    <row r="69" spans="1:19" x14ac:dyDescent="0.25">
      <c r="A69" s="122"/>
      <c r="B69" s="12">
        <f t="shared" si="6"/>
        <v>50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583.04000000000019</v>
      </c>
      <c r="K69" s="122"/>
      <c r="L69" s="12">
        <f t="shared" si="7"/>
        <v>86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1001.32</v>
      </c>
    </row>
    <row r="70" spans="1:19" x14ac:dyDescent="0.25">
      <c r="A70" s="122"/>
      <c r="B70" s="12">
        <f t="shared" si="6"/>
        <v>50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583.04000000000019</v>
      </c>
      <c r="K70" s="122"/>
      <c r="L70" s="12">
        <f t="shared" si="7"/>
        <v>86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1001.32</v>
      </c>
    </row>
    <row r="71" spans="1:19" x14ac:dyDescent="0.25">
      <c r="A71" s="122"/>
      <c r="B71" s="12">
        <f t="shared" si="6"/>
        <v>50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583.04000000000019</v>
      </c>
      <c r="K71" s="122"/>
      <c r="L71" s="12">
        <f t="shared" si="7"/>
        <v>86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1001.32</v>
      </c>
    </row>
    <row r="72" spans="1:19" x14ac:dyDescent="0.25">
      <c r="A72" s="122"/>
      <c r="B72" s="12">
        <f t="shared" si="6"/>
        <v>50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583.04000000000019</v>
      </c>
      <c r="K72" s="122"/>
      <c r="L72" s="12">
        <f t="shared" si="7"/>
        <v>86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1001.32</v>
      </c>
    </row>
    <row r="73" spans="1:19" x14ac:dyDescent="0.25">
      <c r="A73" s="122"/>
      <c r="B73" s="12">
        <f t="shared" si="6"/>
        <v>50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583.04000000000019</v>
      </c>
      <c r="K73" s="122"/>
      <c r="L73" s="12">
        <f t="shared" si="7"/>
        <v>86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1001.32</v>
      </c>
    </row>
    <row r="74" spans="1:19" x14ac:dyDescent="0.25">
      <c r="A74" s="122"/>
      <c r="B74" s="12">
        <f t="shared" si="6"/>
        <v>50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583.04000000000019</v>
      </c>
      <c r="K74" s="122"/>
      <c r="L74" s="12">
        <f t="shared" si="7"/>
        <v>86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1001.32</v>
      </c>
    </row>
    <row r="75" spans="1:19" x14ac:dyDescent="0.25">
      <c r="A75" s="122"/>
      <c r="B75" s="12">
        <f t="shared" si="6"/>
        <v>50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583.04000000000019</v>
      </c>
      <c r="K75" s="122"/>
      <c r="L75" s="12">
        <f t="shared" si="7"/>
        <v>86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1001.32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583.04000000000019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1001.32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133</v>
      </c>
      <c r="D78" s="6">
        <f>SUM(D9:D77)</f>
        <v>1538.29</v>
      </c>
      <c r="F78" s="6">
        <f>SUM(F9:F77)</f>
        <v>1538.29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16</v>
      </c>
      <c r="N81" s="45" t="s">
        <v>4</v>
      </c>
      <c r="O81" s="56">
        <f>P5+P6-M78+P7</f>
        <v>86</v>
      </c>
    </row>
    <row r="82" spans="3:16" ht="15.75" thickBot="1" x14ac:dyDescent="0.3"/>
    <row r="83" spans="3:16" ht="15.75" thickBot="1" x14ac:dyDescent="0.3">
      <c r="C83" s="1254" t="s">
        <v>11</v>
      </c>
      <c r="D83" s="1255"/>
      <c r="E83" s="57">
        <f>E5+E6-F78+E7</f>
        <v>179.29000000000008</v>
      </c>
      <c r="F83" s="73"/>
      <c r="M83" s="1254" t="s">
        <v>11</v>
      </c>
      <c r="N83" s="1255"/>
      <c r="O83" s="57">
        <f>O5+O6-P78+O7</f>
        <v>1001.32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pane ySplit="9" topLeftCell="A35" activePane="bottomLeft" state="frozen"/>
      <selection pane="bottomLeft" activeCell="G38" sqref="G3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56" t="s">
        <v>272</v>
      </c>
      <c r="B1" s="1256"/>
      <c r="C1" s="1256"/>
      <c r="D1" s="1256"/>
      <c r="E1" s="1256"/>
      <c r="F1" s="1256"/>
      <c r="G1" s="1256"/>
      <c r="H1" s="11">
        <v>1</v>
      </c>
      <c r="K1" s="1252" t="s">
        <v>279</v>
      </c>
      <c r="L1" s="1252"/>
      <c r="M1" s="1252"/>
      <c r="N1" s="1252"/>
      <c r="O1" s="1252"/>
      <c r="P1" s="1252"/>
      <c r="Q1" s="125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5"/>
      <c r="B4" s="1260" t="s">
        <v>75</v>
      </c>
      <c r="C4" s="322"/>
      <c r="D4" s="248"/>
      <c r="E4" s="720"/>
      <c r="F4" s="243"/>
      <c r="G4" s="160"/>
      <c r="H4" s="160"/>
      <c r="K4" s="655"/>
      <c r="L4" s="1260" t="s">
        <v>75</v>
      </c>
      <c r="M4" s="322"/>
      <c r="N4" s="248"/>
      <c r="O4" s="720"/>
      <c r="P4" s="243"/>
      <c r="Q4" s="160"/>
      <c r="R4" s="160"/>
    </row>
    <row r="5" spans="1:19" ht="31.5" x14ac:dyDescent="0.25">
      <c r="A5" s="868" t="s">
        <v>102</v>
      </c>
      <c r="B5" s="1259"/>
      <c r="C5" s="322">
        <v>128.5</v>
      </c>
      <c r="D5" s="248">
        <v>44692</v>
      </c>
      <c r="E5" s="720">
        <v>17106.91</v>
      </c>
      <c r="F5" s="243">
        <v>601</v>
      </c>
      <c r="G5" s="260"/>
      <c r="K5" s="1146" t="s">
        <v>421</v>
      </c>
      <c r="L5" s="1259"/>
      <c r="M5" s="322">
        <v>123.5</v>
      </c>
      <c r="N5" s="248">
        <v>44735</v>
      </c>
      <c r="O5" s="720">
        <v>5005.3900000000003</v>
      </c>
      <c r="P5" s="243">
        <v>193</v>
      </c>
      <c r="Q5" s="260"/>
    </row>
    <row r="6" spans="1:19" x14ac:dyDescent="0.25">
      <c r="A6" s="865"/>
      <c r="B6" s="1259"/>
      <c r="C6" s="575"/>
      <c r="D6" s="248"/>
      <c r="E6" s="721"/>
      <c r="F6" s="73"/>
      <c r="G6" s="262">
        <f>F79</f>
        <v>9077.8000000000011</v>
      </c>
      <c r="H6" s="7">
        <f>E6-G6+E7+E5-G5+E4</f>
        <v>8029.1099999999988</v>
      </c>
      <c r="K6" s="865"/>
      <c r="L6" s="1259"/>
      <c r="M6" s="575"/>
      <c r="N6" s="248"/>
      <c r="O6" s="721"/>
      <c r="P6" s="73"/>
      <c r="Q6" s="262">
        <f>P79</f>
        <v>0</v>
      </c>
      <c r="R6" s="7">
        <f>O6-Q6+O7+O5-Q5+O4</f>
        <v>5005.3900000000003</v>
      </c>
    </row>
    <row r="7" spans="1:19" x14ac:dyDescent="0.25">
      <c r="A7" s="864"/>
      <c r="B7" s="272"/>
      <c r="C7" s="283"/>
      <c r="D7" s="274"/>
      <c r="E7" s="720"/>
      <c r="F7" s="243"/>
      <c r="G7" s="240"/>
      <c r="K7" s="864"/>
      <c r="L7" s="272"/>
      <c r="M7" s="283"/>
      <c r="N7" s="274"/>
      <c r="O7" s="720"/>
      <c r="P7" s="243"/>
      <c r="Q7" s="240"/>
    </row>
    <row r="8" spans="1:19" ht="15.75" thickBot="1" x14ac:dyDescent="0.3">
      <c r="A8" s="655"/>
      <c r="B8" s="272"/>
      <c r="C8" s="283"/>
      <c r="D8" s="274"/>
      <c r="E8" s="720"/>
      <c r="F8" s="243"/>
      <c r="G8" s="240"/>
      <c r="K8" s="655"/>
      <c r="L8" s="272"/>
      <c r="M8" s="283"/>
      <c r="N8" s="274"/>
      <c r="O8" s="720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586</v>
      </c>
      <c r="C10" s="15">
        <v>15</v>
      </c>
      <c r="D10" s="264">
        <v>455.05</v>
      </c>
      <c r="E10" s="293">
        <v>44695</v>
      </c>
      <c r="F10" s="264">
        <f t="shared" ref="F10:F57" si="0">D10</f>
        <v>455.05</v>
      </c>
      <c r="G10" s="265" t="s">
        <v>190</v>
      </c>
      <c r="H10" s="266">
        <v>134</v>
      </c>
      <c r="I10" s="275">
        <f>E6-F10+E5+E4+E7+E8</f>
        <v>16651.86</v>
      </c>
      <c r="K10" s="80" t="s">
        <v>32</v>
      </c>
      <c r="L10" s="83">
        <f>P6-M10+P5+P4+P7+P8</f>
        <v>193</v>
      </c>
      <c r="M10" s="15"/>
      <c r="N10" s="264"/>
      <c r="O10" s="293"/>
      <c r="P10" s="264">
        <f t="shared" ref="P10:P57" si="1">N10</f>
        <v>0</v>
      </c>
      <c r="Q10" s="265"/>
      <c r="R10" s="266"/>
      <c r="S10" s="275">
        <f>O6-P10+O5+O4+O7+O8</f>
        <v>5005.3900000000003</v>
      </c>
    </row>
    <row r="11" spans="1:19" x14ac:dyDescent="0.25">
      <c r="A11" s="863"/>
      <c r="B11" s="296">
        <f>B10-C11</f>
        <v>585</v>
      </c>
      <c r="C11" s="263">
        <v>1</v>
      </c>
      <c r="D11" s="264">
        <v>25.31</v>
      </c>
      <c r="E11" s="293">
        <v>44698</v>
      </c>
      <c r="F11" s="264">
        <f t="shared" si="0"/>
        <v>25.31</v>
      </c>
      <c r="G11" s="265" t="s">
        <v>188</v>
      </c>
      <c r="H11" s="266">
        <v>134</v>
      </c>
      <c r="I11" s="275">
        <f>I10-F11</f>
        <v>16626.55</v>
      </c>
      <c r="K11" s="863"/>
      <c r="L11" s="296">
        <f>L10-M11</f>
        <v>193</v>
      </c>
      <c r="M11" s="263"/>
      <c r="N11" s="264"/>
      <c r="O11" s="293"/>
      <c r="P11" s="264">
        <f t="shared" si="1"/>
        <v>0</v>
      </c>
      <c r="Q11" s="265"/>
      <c r="R11" s="266"/>
      <c r="S11" s="275">
        <f>S10-P11</f>
        <v>5005.3900000000003</v>
      </c>
    </row>
    <row r="12" spans="1:19" x14ac:dyDescent="0.25">
      <c r="A12" s="195"/>
      <c r="B12" s="83">
        <f t="shared" ref="B12:B75" si="2">B11-C12</f>
        <v>555</v>
      </c>
      <c r="C12" s="15">
        <v>30</v>
      </c>
      <c r="D12" s="264">
        <v>834.62</v>
      </c>
      <c r="E12" s="293">
        <v>44698</v>
      </c>
      <c r="F12" s="264">
        <f t="shared" si="0"/>
        <v>834.62</v>
      </c>
      <c r="G12" s="265" t="s">
        <v>200</v>
      </c>
      <c r="H12" s="266">
        <v>134</v>
      </c>
      <c r="I12" s="275">
        <f t="shared" ref="I12:I75" si="3">I11-F12</f>
        <v>15791.929999999998</v>
      </c>
      <c r="K12" s="195"/>
      <c r="L12" s="83">
        <f t="shared" ref="L12:L75" si="4">L11-M12</f>
        <v>193</v>
      </c>
      <c r="M12" s="15"/>
      <c r="N12" s="264"/>
      <c r="O12" s="293"/>
      <c r="P12" s="264">
        <f t="shared" si="1"/>
        <v>0</v>
      </c>
      <c r="Q12" s="265"/>
      <c r="R12" s="266"/>
      <c r="S12" s="275">
        <f t="shared" ref="S12:S75" si="5">S11-P12</f>
        <v>5005.3900000000003</v>
      </c>
    </row>
    <row r="13" spans="1:19" x14ac:dyDescent="0.25">
      <c r="A13" s="195"/>
      <c r="B13" s="83">
        <f t="shared" si="2"/>
        <v>554</v>
      </c>
      <c r="C13" s="15">
        <v>1</v>
      </c>
      <c r="D13" s="264">
        <v>28.44</v>
      </c>
      <c r="E13" s="293">
        <v>44700</v>
      </c>
      <c r="F13" s="264">
        <f t="shared" si="0"/>
        <v>28.44</v>
      </c>
      <c r="G13" s="265" t="s">
        <v>209</v>
      </c>
      <c r="H13" s="266">
        <v>134</v>
      </c>
      <c r="I13" s="275">
        <f t="shared" si="3"/>
        <v>15763.489999999998</v>
      </c>
      <c r="K13" s="195"/>
      <c r="L13" s="83">
        <f t="shared" si="4"/>
        <v>193</v>
      </c>
      <c r="M13" s="15"/>
      <c r="N13" s="264"/>
      <c r="O13" s="293"/>
      <c r="P13" s="264">
        <f t="shared" si="1"/>
        <v>0</v>
      </c>
      <c r="Q13" s="265"/>
      <c r="R13" s="266"/>
      <c r="S13" s="275">
        <f t="shared" si="5"/>
        <v>5005.3900000000003</v>
      </c>
    </row>
    <row r="14" spans="1:19" x14ac:dyDescent="0.25">
      <c r="A14" s="82" t="s">
        <v>33</v>
      </c>
      <c r="B14" s="83">
        <f t="shared" si="2"/>
        <v>544</v>
      </c>
      <c r="C14" s="15">
        <v>10</v>
      </c>
      <c r="D14" s="264">
        <v>313.18</v>
      </c>
      <c r="E14" s="293">
        <v>44700</v>
      </c>
      <c r="F14" s="264">
        <f t="shared" si="0"/>
        <v>313.18</v>
      </c>
      <c r="G14" s="265" t="s">
        <v>210</v>
      </c>
      <c r="H14" s="266">
        <v>134</v>
      </c>
      <c r="I14" s="275">
        <f t="shared" si="3"/>
        <v>15450.309999999998</v>
      </c>
      <c r="K14" s="82" t="s">
        <v>33</v>
      </c>
      <c r="L14" s="83">
        <f t="shared" si="4"/>
        <v>193</v>
      </c>
      <c r="M14" s="15"/>
      <c r="N14" s="264"/>
      <c r="O14" s="293"/>
      <c r="P14" s="264">
        <f t="shared" si="1"/>
        <v>0</v>
      </c>
      <c r="Q14" s="265"/>
      <c r="R14" s="266"/>
      <c r="S14" s="275">
        <f t="shared" si="5"/>
        <v>5005.3900000000003</v>
      </c>
    </row>
    <row r="15" spans="1:19" x14ac:dyDescent="0.25">
      <c r="A15" s="73"/>
      <c r="B15" s="83">
        <f t="shared" si="2"/>
        <v>539</v>
      </c>
      <c r="C15" s="15">
        <v>5</v>
      </c>
      <c r="D15" s="264">
        <v>145.6</v>
      </c>
      <c r="E15" s="293">
        <v>44701</v>
      </c>
      <c r="F15" s="264">
        <f t="shared" si="0"/>
        <v>145.6</v>
      </c>
      <c r="G15" s="265" t="s">
        <v>198</v>
      </c>
      <c r="H15" s="266">
        <v>134</v>
      </c>
      <c r="I15" s="275">
        <f t="shared" si="3"/>
        <v>15304.709999999997</v>
      </c>
      <c r="K15" s="73"/>
      <c r="L15" s="83">
        <f t="shared" si="4"/>
        <v>193</v>
      </c>
      <c r="M15" s="15"/>
      <c r="N15" s="264"/>
      <c r="O15" s="293"/>
      <c r="P15" s="264">
        <f t="shared" si="1"/>
        <v>0</v>
      </c>
      <c r="Q15" s="265"/>
      <c r="R15" s="266"/>
      <c r="S15" s="275">
        <f t="shared" si="5"/>
        <v>5005.3900000000003</v>
      </c>
    </row>
    <row r="16" spans="1:19" x14ac:dyDescent="0.25">
      <c r="A16" s="73"/>
      <c r="B16" s="83">
        <f t="shared" si="2"/>
        <v>509</v>
      </c>
      <c r="C16" s="15">
        <v>30</v>
      </c>
      <c r="D16" s="264">
        <v>831.39</v>
      </c>
      <c r="E16" s="293">
        <v>44701</v>
      </c>
      <c r="F16" s="264">
        <f t="shared" si="0"/>
        <v>831.39</v>
      </c>
      <c r="G16" s="265" t="s">
        <v>213</v>
      </c>
      <c r="H16" s="266">
        <v>134</v>
      </c>
      <c r="I16" s="275">
        <f t="shared" si="3"/>
        <v>14473.319999999998</v>
      </c>
      <c r="K16" s="73"/>
      <c r="L16" s="83">
        <f t="shared" si="4"/>
        <v>193</v>
      </c>
      <c r="M16" s="15"/>
      <c r="N16" s="264"/>
      <c r="O16" s="293"/>
      <c r="P16" s="264">
        <f t="shared" si="1"/>
        <v>0</v>
      </c>
      <c r="Q16" s="265"/>
      <c r="R16" s="266"/>
      <c r="S16" s="275">
        <f t="shared" si="5"/>
        <v>5005.3900000000003</v>
      </c>
    </row>
    <row r="17" spans="1:19" x14ac:dyDescent="0.25">
      <c r="B17" s="83">
        <f t="shared" si="2"/>
        <v>504</v>
      </c>
      <c r="C17" s="15">
        <v>5</v>
      </c>
      <c r="D17" s="264">
        <v>132.99</v>
      </c>
      <c r="E17" s="293">
        <v>44702</v>
      </c>
      <c r="F17" s="264">
        <f t="shared" si="0"/>
        <v>132.99</v>
      </c>
      <c r="G17" s="265" t="s">
        <v>216</v>
      </c>
      <c r="H17" s="266">
        <v>134</v>
      </c>
      <c r="I17" s="275">
        <f t="shared" si="3"/>
        <v>14340.329999999998</v>
      </c>
      <c r="L17" s="83">
        <f t="shared" si="4"/>
        <v>193</v>
      </c>
      <c r="M17" s="15"/>
      <c r="N17" s="264"/>
      <c r="O17" s="293"/>
      <c r="P17" s="264">
        <f t="shared" si="1"/>
        <v>0</v>
      </c>
      <c r="Q17" s="265"/>
      <c r="R17" s="266"/>
      <c r="S17" s="275">
        <f t="shared" si="5"/>
        <v>5005.3900000000003</v>
      </c>
    </row>
    <row r="18" spans="1:19" x14ac:dyDescent="0.25">
      <c r="B18" s="83">
        <f t="shared" si="2"/>
        <v>474</v>
      </c>
      <c r="C18" s="15">
        <v>30</v>
      </c>
      <c r="D18" s="264">
        <v>845.34</v>
      </c>
      <c r="E18" s="293">
        <v>44702</v>
      </c>
      <c r="F18" s="264">
        <f t="shared" si="0"/>
        <v>845.34</v>
      </c>
      <c r="G18" s="265" t="s">
        <v>218</v>
      </c>
      <c r="H18" s="266">
        <v>134</v>
      </c>
      <c r="I18" s="275">
        <f t="shared" si="3"/>
        <v>13494.989999999998</v>
      </c>
      <c r="L18" s="83">
        <f t="shared" si="4"/>
        <v>193</v>
      </c>
      <c r="M18" s="15"/>
      <c r="N18" s="264"/>
      <c r="O18" s="293"/>
      <c r="P18" s="264">
        <f t="shared" si="1"/>
        <v>0</v>
      </c>
      <c r="Q18" s="265"/>
      <c r="R18" s="266"/>
      <c r="S18" s="275">
        <f t="shared" si="5"/>
        <v>5005.3900000000003</v>
      </c>
    </row>
    <row r="19" spans="1:19" x14ac:dyDescent="0.25">
      <c r="A19" s="122"/>
      <c r="B19" s="83">
        <f t="shared" si="2"/>
        <v>469</v>
      </c>
      <c r="C19" s="15">
        <v>5</v>
      </c>
      <c r="D19" s="264">
        <v>134.71</v>
      </c>
      <c r="E19" s="293">
        <v>44702</v>
      </c>
      <c r="F19" s="264">
        <f t="shared" si="0"/>
        <v>134.71</v>
      </c>
      <c r="G19" s="265" t="s">
        <v>219</v>
      </c>
      <c r="H19" s="266">
        <v>134</v>
      </c>
      <c r="I19" s="275">
        <f t="shared" si="3"/>
        <v>13360.279999999999</v>
      </c>
      <c r="K19" s="122"/>
      <c r="L19" s="83">
        <f t="shared" si="4"/>
        <v>193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5005.3900000000003</v>
      </c>
    </row>
    <row r="20" spans="1:19" x14ac:dyDescent="0.25">
      <c r="A20" s="122"/>
      <c r="B20" s="83">
        <f t="shared" si="2"/>
        <v>466</v>
      </c>
      <c r="C20" s="15">
        <v>3</v>
      </c>
      <c r="D20" s="264">
        <v>75.75</v>
      </c>
      <c r="E20" s="293">
        <v>44704</v>
      </c>
      <c r="F20" s="264">
        <f t="shared" si="0"/>
        <v>75.75</v>
      </c>
      <c r="G20" s="265" t="s">
        <v>236</v>
      </c>
      <c r="H20" s="266">
        <v>134</v>
      </c>
      <c r="I20" s="275">
        <f t="shared" si="3"/>
        <v>13284.529999999999</v>
      </c>
      <c r="K20" s="122"/>
      <c r="L20" s="83">
        <f t="shared" si="4"/>
        <v>193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5005.3900000000003</v>
      </c>
    </row>
    <row r="21" spans="1:19" x14ac:dyDescent="0.25">
      <c r="A21" s="122"/>
      <c r="B21" s="83">
        <f t="shared" si="2"/>
        <v>466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3"/>
        <v>13284.529999999999</v>
      </c>
      <c r="K21" s="122"/>
      <c r="L21" s="83">
        <f t="shared" si="4"/>
        <v>193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5005.3900000000003</v>
      </c>
    </row>
    <row r="22" spans="1:19" x14ac:dyDescent="0.25">
      <c r="A22" s="122"/>
      <c r="B22" s="83">
        <f t="shared" si="2"/>
        <v>456</v>
      </c>
      <c r="C22" s="15">
        <v>10</v>
      </c>
      <c r="D22" s="264">
        <v>270.56</v>
      </c>
      <c r="E22" s="293">
        <v>44706</v>
      </c>
      <c r="F22" s="264">
        <f t="shared" si="0"/>
        <v>270.56</v>
      </c>
      <c r="G22" s="265" t="s">
        <v>242</v>
      </c>
      <c r="H22" s="266">
        <v>134</v>
      </c>
      <c r="I22" s="275">
        <f t="shared" si="3"/>
        <v>13013.97</v>
      </c>
      <c r="K22" s="122"/>
      <c r="L22" s="83">
        <f t="shared" si="4"/>
        <v>193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5005.3900000000003</v>
      </c>
    </row>
    <row r="23" spans="1:19" x14ac:dyDescent="0.25">
      <c r="A23" s="122"/>
      <c r="B23" s="83">
        <f t="shared" si="2"/>
        <v>455</v>
      </c>
      <c r="C23" s="15">
        <v>1</v>
      </c>
      <c r="D23" s="264">
        <v>25.45</v>
      </c>
      <c r="E23" s="293">
        <v>44706</v>
      </c>
      <c r="F23" s="264">
        <f t="shared" si="0"/>
        <v>25.45</v>
      </c>
      <c r="G23" s="265" t="s">
        <v>244</v>
      </c>
      <c r="H23" s="266">
        <v>134</v>
      </c>
      <c r="I23" s="275">
        <f t="shared" si="3"/>
        <v>12988.519999999999</v>
      </c>
      <c r="K23" s="122"/>
      <c r="L23" s="83">
        <f t="shared" si="4"/>
        <v>193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5005.3900000000003</v>
      </c>
    </row>
    <row r="24" spans="1:19" x14ac:dyDescent="0.25">
      <c r="A24" s="123"/>
      <c r="B24" s="83">
        <f t="shared" si="2"/>
        <v>425</v>
      </c>
      <c r="C24" s="15">
        <v>30</v>
      </c>
      <c r="D24" s="264">
        <v>879.35</v>
      </c>
      <c r="E24" s="293">
        <v>44706</v>
      </c>
      <c r="F24" s="264">
        <f t="shared" si="0"/>
        <v>879.35</v>
      </c>
      <c r="G24" s="265" t="s">
        <v>245</v>
      </c>
      <c r="H24" s="1007">
        <v>139</v>
      </c>
      <c r="I24" s="275">
        <f t="shared" si="3"/>
        <v>12109.169999999998</v>
      </c>
      <c r="K24" s="123"/>
      <c r="L24" s="83">
        <f t="shared" si="4"/>
        <v>193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5005.3900000000003</v>
      </c>
    </row>
    <row r="25" spans="1:19" x14ac:dyDescent="0.25">
      <c r="A25" s="122"/>
      <c r="B25" s="83">
        <f t="shared" si="2"/>
        <v>424</v>
      </c>
      <c r="C25" s="15">
        <v>1</v>
      </c>
      <c r="D25" s="264">
        <v>24.49</v>
      </c>
      <c r="E25" s="293">
        <v>44709</v>
      </c>
      <c r="F25" s="264">
        <f t="shared" si="0"/>
        <v>24.49</v>
      </c>
      <c r="G25" s="265" t="s">
        <v>258</v>
      </c>
      <c r="H25" s="266">
        <v>134</v>
      </c>
      <c r="I25" s="275">
        <f t="shared" si="3"/>
        <v>12084.679999999998</v>
      </c>
      <c r="K25" s="122"/>
      <c r="L25" s="83">
        <f t="shared" si="4"/>
        <v>193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5005.3900000000003</v>
      </c>
    </row>
    <row r="26" spans="1:19" x14ac:dyDescent="0.25">
      <c r="A26" s="122"/>
      <c r="B26" s="83">
        <f t="shared" si="2"/>
        <v>419</v>
      </c>
      <c r="C26" s="15">
        <v>5</v>
      </c>
      <c r="D26" s="264">
        <v>145.82</v>
      </c>
      <c r="E26" s="293">
        <v>44709</v>
      </c>
      <c r="F26" s="264">
        <f t="shared" si="0"/>
        <v>145.82</v>
      </c>
      <c r="G26" s="265" t="s">
        <v>259</v>
      </c>
      <c r="H26" s="266">
        <v>134</v>
      </c>
      <c r="I26" s="275">
        <f t="shared" si="3"/>
        <v>11938.859999999999</v>
      </c>
      <c r="K26" s="122"/>
      <c r="L26" s="83">
        <f t="shared" si="4"/>
        <v>193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5005.3900000000003</v>
      </c>
    </row>
    <row r="27" spans="1:19" x14ac:dyDescent="0.25">
      <c r="A27" s="122"/>
      <c r="B27" s="83">
        <f t="shared" si="2"/>
        <v>389</v>
      </c>
      <c r="C27" s="15">
        <v>30</v>
      </c>
      <c r="D27" s="264">
        <v>851.31</v>
      </c>
      <c r="E27" s="293">
        <v>44709</v>
      </c>
      <c r="F27" s="264">
        <f t="shared" si="0"/>
        <v>851.31</v>
      </c>
      <c r="G27" s="265" t="s">
        <v>260</v>
      </c>
      <c r="H27" s="266">
        <v>134</v>
      </c>
      <c r="I27" s="275">
        <f t="shared" si="3"/>
        <v>11087.55</v>
      </c>
      <c r="K27" s="122"/>
      <c r="L27" s="83">
        <f t="shared" si="4"/>
        <v>193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5005.3900000000003</v>
      </c>
    </row>
    <row r="28" spans="1:19" x14ac:dyDescent="0.25">
      <c r="A28" s="122"/>
      <c r="B28" s="83">
        <f t="shared" si="2"/>
        <v>387</v>
      </c>
      <c r="C28" s="15">
        <v>2</v>
      </c>
      <c r="D28" s="858">
        <v>57.6</v>
      </c>
      <c r="E28" s="859">
        <v>44711</v>
      </c>
      <c r="F28" s="858">
        <f t="shared" si="0"/>
        <v>57.6</v>
      </c>
      <c r="G28" s="422" t="s">
        <v>476</v>
      </c>
      <c r="H28" s="423">
        <v>134</v>
      </c>
      <c r="I28" s="275">
        <f t="shared" si="3"/>
        <v>11029.949999999999</v>
      </c>
      <c r="K28" s="122"/>
      <c r="L28" s="83">
        <f t="shared" si="4"/>
        <v>193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5005.3900000000003</v>
      </c>
    </row>
    <row r="29" spans="1:19" x14ac:dyDescent="0.25">
      <c r="A29" s="122"/>
      <c r="B29" s="83">
        <f t="shared" si="2"/>
        <v>386</v>
      </c>
      <c r="C29" s="15">
        <v>1</v>
      </c>
      <c r="D29" s="858">
        <v>28.62</v>
      </c>
      <c r="E29" s="859">
        <v>44713</v>
      </c>
      <c r="F29" s="858">
        <f t="shared" si="0"/>
        <v>28.62</v>
      </c>
      <c r="G29" s="422" t="s">
        <v>495</v>
      </c>
      <c r="H29" s="423">
        <v>134</v>
      </c>
      <c r="I29" s="275">
        <f t="shared" si="3"/>
        <v>11001.329999999998</v>
      </c>
      <c r="K29" s="122"/>
      <c r="L29" s="83">
        <f t="shared" si="4"/>
        <v>193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5005.3900000000003</v>
      </c>
    </row>
    <row r="30" spans="1:19" x14ac:dyDescent="0.25">
      <c r="A30" s="122"/>
      <c r="B30" s="83">
        <f t="shared" si="2"/>
        <v>384</v>
      </c>
      <c r="C30" s="15">
        <v>2</v>
      </c>
      <c r="D30" s="858">
        <v>65.59</v>
      </c>
      <c r="E30" s="859">
        <v>44713</v>
      </c>
      <c r="F30" s="858">
        <f t="shared" si="0"/>
        <v>65.59</v>
      </c>
      <c r="G30" s="422" t="s">
        <v>496</v>
      </c>
      <c r="H30" s="423">
        <v>134</v>
      </c>
      <c r="I30" s="275">
        <f t="shared" si="3"/>
        <v>10935.739999999998</v>
      </c>
      <c r="K30" s="122"/>
      <c r="L30" s="83">
        <f t="shared" si="4"/>
        <v>193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5005.3900000000003</v>
      </c>
    </row>
    <row r="31" spans="1:19" x14ac:dyDescent="0.25">
      <c r="A31" s="122"/>
      <c r="B31" s="83">
        <f t="shared" si="2"/>
        <v>354</v>
      </c>
      <c r="C31" s="15">
        <v>30</v>
      </c>
      <c r="D31" s="858">
        <v>844.93</v>
      </c>
      <c r="E31" s="859">
        <v>44713</v>
      </c>
      <c r="F31" s="858">
        <f t="shared" si="0"/>
        <v>844.93</v>
      </c>
      <c r="G31" s="422" t="s">
        <v>501</v>
      </c>
      <c r="H31" s="423">
        <v>134</v>
      </c>
      <c r="I31" s="275">
        <f t="shared" si="3"/>
        <v>10090.809999999998</v>
      </c>
      <c r="K31" s="122"/>
      <c r="L31" s="83">
        <f t="shared" si="4"/>
        <v>193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5005.3900000000003</v>
      </c>
    </row>
    <row r="32" spans="1:19" x14ac:dyDescent="0.25">
      <c r="A32" s="122"/>
      <c r="B32" s="83">
        <f t="shared" si="2"/>
        <v>349</v>
      </c>
      <c r="C32" s="15">
        <v>5</v>
      </c>
      <c r="D32" s="858">
        <v>143.97</v>
      </c>
      <c r="E32" s="859">
        <v>44714</v>
      </c>
      <c r="F32" s="858">
        <f t="shared" si="0"/>
        <v>143.97</v>
      </c>
      <c r="G32" s="422" t="s">
        <v>505</v>
      </c>
      <c r="H32" s="423">
        <v>134</v>
      </c>
      <c r="I32" s="275">
        <f t="shared" si="3"/>
        <v>9946.8399999999983</v>
      </c>
      <c r="K32" s="122"/>
      <c r="L32" s="83">
        <f t="shared" si="4"/>
        <v>193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5005.3900000000003</v>
      </c>
    </row>
    <row r="33" spans="1:19" x14ac:dyDescent="0.25">
      <c r="A33" s="122"/>
      <c r="B33" s="83">
        <f t="shared" si="2"/>
        <v>319</v>
      </c>
      <c r="C33" s="15">
        <v>30</v>
      </c>
      <c r="D33" s="858">
        <v>883.8</v>
      </c>
      <c r="E33" s="859">
        <v>44715</v>
      </c>
      <c r="F33" s="858">
        <f t="shared" si="0"/>
        <v>883.8</v>
      </c>
      <c r="G33" s="422" t="s">
        <v>517</v>
      </c>
      <c r="H33" s="423">
        <v>134</v>
      </c>
      <c r="I33" s="275">
        <f t="shared" si="3"/>
        <v>9063.0399999999991</v>
      </c>
      <c r="K33" s="122"/>
      <c r="L33" s="83">
        <f t="shared" si="4"/>
        <v>193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5005.3900000000003</v>
      </c>
    </row>
    <row r="34" spans="1:19" x14ac:dyDescent="0.25">
      <c r="A34" s="122"/>
      <c r="B34" s="83">
        <f t="shared" si="2"/>
        <v>318</v>
      </c>
      <c r="C34" s="15">
        <v>1</v>
      </c>
      <c r="D34" s="858">
        <v>23.45</v>
      </c>
      <c r="E34" s="859">
        <v>44716</v>
      </c>
      <c r="F34" s="858">
        <f t="shared" si="0"/>
        <v>23.45</v>
      </c>
      <c r="G34" s="422" t="s">
        <v>511</v>
      </c>
      <c r="H34" s="423">
        <v>134</v>
      </c>
      <c r="I34" s="275">
        <f t="shared" si="3"/>
        <v>9039.5899999999983</v>
      </c>
      <c r="K34" s="122"/>
      <c r="L34" s="83">
        <f t="shared" si="4"/>
        <v>193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5005.3900000000003</v>
      </c>
    </row>
    <row r="35" spans="1:19" x14ac:dyDescent="0.25">
      <c r="A35" s="122"/>
      <c r="B35" s="83">
        <f t="shared" si="2"/>
        <v>288</v>
      </c>
      <c r="C35" s="15">
        <v>30</v>
      </c>
      <c r="D35" s="858">
        <v>841.52</v>
      </c>
      <c r="E35" s="859">
        <v>44716</v>
      </c>
      <c r="F35" s="858">
        <f t="shared" si="0"/>
        <v>841.52</v>
      </c>
      <c r="G35" s="422" t="s">
        <v>533</v>
      </c>
      <c r="H35" s="423">
        <v>134</v>
      </c>
      <c r="I35" s="275">
        <f t="shared" si="3"/>
        <v>8198.0699999999979</v>
      </c>
      <c r="K35" s="122"/>
      <c r="L35" s="83">
        <f t="shared" si="4"/>
        <v>193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5005.3900000000003</v>
      </c>
    </row>
    <row r="36" spans="1:19" x14ac:dyDescent="0.25">
      <c r="A36" s="122"/>
      <c r="B36" s="83">
        <f t="shared" si="2"/>
        <v>283</v>
      </c>
      <c r="C36" s="15">
        <v>5</v>
      </c>
      <c r="D36" s="858">
        <v>141.88</v>
      </c>
      <c r="E36" s="859">
        <v>44718</v>
      </c>
      <c r="F36" s="858">
        <f t="shared" si="0"/>
        <v>141.88</v>
      </c>
      <c r="G36" s="422" t="s">
        <v>539</v>
      </c>
      <c r="H36" s="423">
        <v>134</v>
      </c>
      <c r="I36" s="275">
        <f t="shared" si="3"/>
        <v>8056.1899999999978</v>
      </c>
      <c r="K36" s="122"/>
      <c r="L36" s="83">
        <f t="shared" si="4"/>
        <v>193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5005.3900000000003</v>
      </c>
    </row>
    <row r="37" spans="1:19" x14ac:dyDescent="0.25">
      <c r="A37" s="122" t="s">
        <v>22</v>
      </c>
      <c r="B37" s="83">
        <f t="shared" si="2"/>
        <v>282</v>
      </c>
      <c r="C37" s="15">
        <v>1</v>
      </c>
      <c r="D37" s="858">
        <v>27.08</v>
      </c>
      <c r="E37" s="859">
        <v>44718</v>
      </c>
      <c r="F37" s="858">
        <f t="shared" si="0"/>
        <v>27.08</v>
      </c>
      <c r="G37" s="422" t="s">
        <v>545</v>
      </c>
      <c r="H37" s="423">
        <v>134</v>
      </c>
      <c r="I37" s="275">
        <f t="shared" si="3"/>
        <v>8029.1099999999979</v>
      </c>
      <c r="K37" s="122" t="s">
        <v>22</v>
      </c>
      <c r="L37" s="83">
        <f t="shared" si="4"/>
        <v>193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5005.3900000000003</v>
      </c>
    </row>
    <row r="38" spans="1:19" x14ac:dyDescent="0.25">
      <c r="A38" s="123"/>
      <c r="B38" s="83">
        <f t="shared" si="2"/>
        <v>282</v>
      </c>
      <c r="C38" s="15"/>
      <c r="D38" s="858"/>
      <c r="E38" s="859"/>
      <c r="F38" s="858">
        <f t="shared" si="0"/>
        <v>0</v>
      </c>
      <c r="G38" s="422"/>
      <c r="H38" s="423"/>
      <c r="I38" s="275">
        <f t="shared" si="3"/>
        <v>8029.1099999999979</v>
      </c>
      <c r="K38" s="123"/>
      <c r="L38" s="83">
        <f t="shared" si="4"/>
        <v>193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5005.3900000000003</v>
      </c>
    </row>
    <row r="39" spans="1:19" x14ac:dyDescent="0.25">
      <c r="A39" s="122"/>
      <c r="B39" s="83">
        <f t="shared" si="2"/>
        <v>282</v>
      </c>
      <c r="C39" s="15"/>
      <c r="D39" s="858"/>
      <c r="E39" s="859"/>
      <c r="F39" s="858">
        <f t="shared" si="0"/>
        <v>0</v>
      </c>
      <c r="G39" s="422"/>
      <c r="H39" s="423"/>
      <c r="I39" s="275">
        <f t="shared" si="3"/>
        <v>8029.1099999999979</v>
      </c>
      <c r="K39" s="122"/>
      <c r="L39" s="83">
        <f t="shared" si="4"/>
        <v>193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5005.3900000000003</v>
      </c>
    </row>
    <row r="40" spans="1:19" x14ac:dyDescent="0.25">
      <c r="A40" s="122"/>
      <c r="B40" s="83">
        <f t="shared" si="2"/>
        <v>282</v>
      </c>
      <c r="C40" s="15"/>
      <c r="D40" s="858"/>
      <c r="E40" s="859"/>
      <c r="F40" s="858">
        <f t="shared" si="0"/>
        <v>0</v>
      </c>
      <c r="G40" s="422"/>
      <c r="H40" s="423"/>
      <c r="I40" s="275">
        <f t="shared" si="3"/>
        <v>8029.1099999999979</v>
      </c>
      <c r="K40" s="122"/>
      <c r="L40" s="83">
        <f t="shared" si="4"/>
        <v>193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5005.3900000000003</v>
      </c>
    </row>
    <row r="41" spans="1:19" x14ac:dyDescent="0.25">
      <c r="A41" s="122"/>
      <c r="B41" s="83">
        <f t="shared" si="2"/>
        <v>282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8029.1099999999979</v>
      </c>
      <c r="K41" s="122"/>
      <c r="L41" s="83">
        <f t="shared" si="4"/>
        <v>193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5005.3900000000003</v>
      </c>
    </row>
    <row r="42" spans="1:19" x14ac:dyDescent="0.25">
      <c r="A42" s="122"/>
      <c r="B42" s="83">
        <f t="shared" si="2"/>
        <v>282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8029.1099999999979</v>
      </c>
      <c r="K42" s="122"/>
      <c r="L42" s="83">
        <f t="shared" si="4"/>
        <v>193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5005.3900000000003</v>
      </c>
    </row>
    <row r="43" spans="1:19" x14ac:dyDescent="0.25">
      <c r="A43" s="122"/>
      <c r="B43" s="83">
        <f t="shared" si="2"/>
        <v>282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8029.1099999999979</v>
      </c>
      <c r="K43" s="122"/>
      <c r="L43" s="83">
        <f t="shared" si="4"/>
        <v>193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5005.3900000000003</v>
      </c>
    </row>
    <row r="44" spans="1:19" x14ac:dyDescent="0.25">
      <c r="A44" s="122"/>
      <c r="B44" s="83">
        <f t="shared" si="2"/>
        <v>282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8029.1099999999979</v>
      </c>
      <c r="K44" s="122"/>
      <c r="L44" s="83">
        <f t="shared" si="4"/>
        <v>193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5005.3900000000003</v>
      </c>
    </row>
    <row r="45" spans="1:19" x14ac:dyDescent="0.25">
      <c r="A45" s="122"/>
      <c r="B45" s="83">
        <f t="shared" si="2"/>
        <v>282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8029.1099999999979</v>
      </c>
      <c r="K45" s="122"/>
      <c r="L45" s="83">
        <f t="shared" si="4"/>
        <v>193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5005.3900000000003</v>
      </c>
    </row>
    <row r="46" spans="1:19" x14ac:dyDescent="0.25">
      <c r="A46" s="122"/>
      <c r="B46" s="83">
        <f t="shared" si="2"/>
        <v>282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8029.1099999999979</v>
      </c>
      <c r="K46" s="122"/>
      <c r="L46" s="83">
        <f t="shared" si="4"/>
        <v>193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5005.3900000000003</v>
      </c>
    </row>
    <row r="47" spans="1:19" x14ac:dyDescent="0.25">
      <c r="A47" s="122"/>
      <c r="B47" s="83">
        <f t="shared" si="2"/>
        <v>282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8029.1099999999979</v>
      </c>
      <c r="K47" s="122"/>
      <c r="L47" s="83">
        <f t="shared" si="4"/>
        <v>193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5005.3900000000003</v>
      </c>
    </row>
    <row r="48" spans="1:19" x14ac:dyDescent="0.25">
      <c r="A48" s="122"/>
      <c r="B48" s="83">
        <f t="shared" si="2"/>
        <v>282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8029.1099999999979</v>
      </c>
      <c r="K48" s="122"/>
      <c r="L48" s="83">
        <f t="shared" si="4"/>
        <v>193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5005.3900000000003</v>
      </c>
    </row>
    <row r="49" spans="1:19" x14ac:dyDescent="0.25">
      <c r="A49" s="122"/>
      <c r="B49" s="83">
        <f t="shared" si="2"/>
        <v>282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8029.1099999999979</v>
      </c>
      <c r="K49" s="122"/>
      <c r="L49" s="83">
        <f t="shared" si="4"/>
        <v>193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5005.3900000000003</v>
      </c>
    </row>
    <row r="50" spans="1:19" x14ac:dyDescent="0.25">
      <c r="A50" s="122"/>
      <c r="B50" s="83">
        <f t="shared" si="2"/>
        <v>282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8029.1099999999979</v>
      </c>
      <c r="K50" s="122"/>
      <c r="L50" s="83">
        <f t="shared" si="4"/>
        <v>193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5005.3900000000003</v>
      </c>
    </row>
    <row r="51" spans="1:19" x14ac:dyDescent="0.25">
      <c r="A51" s="122"/>
      <c r="B51" s="83">
        <f t="shared" si="2"/>
        <v>282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8029.1099999999979</v>
      </c>
      <c r="K51" s="122"/>
      <c r="L51" s="83">
        <f t="shared" si="4"/>
        <v>193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5005.3900000000003</v>
      </c>
    </row>
    <row r="52" spans="1:19" x14ac:dyDescent="0.25">
      <c r="A52" s="122"/>
      <c r="B52" s="83">
        <f t="shared" si="2"/>
        <v>282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8029.1099999999979</v>
      </c>
      <c r="K52" s="122"/>
      <c r="L52" s="83">
        <f t="shared" si="4"/>
        <v>193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5005.3900000000003</v>
      </c>
    </row>
    <row r="53" spans="1:19" x14ac:dyDescent="0.25">
      <c r="A53" s="122"/>
      <c r="B53" s="83">
        <f t="shared" si="2"/>
        <v>282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8029.1099999999979</v>
      </c>
      <c r="K53" s="122"/>
      <c r="L53" s="83">
        <f t="shared" si="4"/>
        <v>193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5005.3900000000003</v>
      </c>
    </row>
    <row r="54" spans="1:19" x14ac:dyDescent="0.25">
      <c r="A54" s="122"/>
      <c r="B54" s="83">
        <f t="shared" si="2"/>
        <v>282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8029.1099999999979</v>
      </c>
      <c r="K54" s="122"/>
      <c r="L54" s="83">
        <f t="shared" si="4"/>
        <v>193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5005.3900000000003</v>
      </c>
    </row>
    <row r="55" spans="1:19" x14ac:dyDescent="0.25">
      <c r="A55" s="122"/>
      <c r="B55" s="83">
        <f t="shared" si="2"/>
        <v>282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8029.1099999999979</v>
      </c>
      <c r="J55" s="240"/>
      <c r="K55" s="122"/>
      <c r="L55" s="83">
        <f t="shared" si="4"/>
        <v>193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5005.3900000000003</v>
      </c>
    </row>
    <row r="56" spans="1:19" x14ac:dyDescent="0.25">
      <c r="A56" s="122"/>
      <c r="B56" s="83">
        <f t="shared" si="2"/>
        <v>282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8029.1099999999979</v>
      </c>
      <c r="J56" s="240"/>
      <c r="K56" s="122"/>
      <c r="L56" s="83">
        <f t="shared" si="4"/>
        <v>193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5005.3900000000003</v>
      </c>
    </row>
    <row r="57" spans="1:19" x14ac:dyDescent="0.25">
      <c r="A57" s="122"/>
      <c r="B57" s="83">
        <f t="shared" si="2"/>
        <v>282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8029.1099999999979</v>
      </c>
      <c r="J57" s="240"/>
      <c r="K57" s="122"/>
      <c r="L57" s="83">
        <f t="shared" si="4"/>
        <v>193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5005.3900000000003</v>
      </c>
    </row>
    <row r="58" spans="1:19" x14ac:dyDescent="0.25">
      <c r="A58" s="122"/>
      <c r="B58" s="296">
        <f t="shared" si="2"/>
        <v>282</v>
      </c>
      <c r="C58" s="15"/>
      <c r="D58" s="264"/>
      <c r="E58" s="293"/>
      <c r="F58" s="264">
        <v>0</v>
      </c>
      <c r="G58" s="265"/>
      <c r="H58" s="266"/>
      <c r="I58" s="275">
        <f t="shared" si="3"/>
        <v>8029.1099999999979</v>
      </c>
      <c r="J58" s="240"/>
      <c r="K58" s="122"/>
      <c r="L58" s="296">
        <f t="shared" si="4"/>
        <v>193</v>
      </c>
      <c r="M58" s="15"/>
      <c r="N58" s="264"/>
      <c r="O58" s="293"/>
      <c r="P58" s="264">
        <v>0</v>
      </c>
      <c r="Q58" s="265"/>
      <c r="R58" s="266"/>
      <c r="S58" s="275">
        <f t="shared" si="5"/>
        <v>5005.3900000000003</v>
      </c>
    </row>
    <row r="59" spans="1:19" x14ac:dyDescent="0.25">
      <c r="A59" s="122"/>
      <c r="B59" s="296">
        <f t="shared" si="2"/>
        <v>282</v>
      </c>
      <c r="C59" s="15"/>
      <c r="D59" s="264"/>
      <c r="E59" s="293"/>
      <c r="F59" s="264">
        <f t="shared" ref="F59:F74" si="6">D59</f>
        <v>0</v>
      </c>
      <c r="G59" s="265"/>
      <c r="H59" s="266"/>
      <c r="I59" s="275">
        <f t="shared" si="3"/>
        <v>8029.1099999999979</v>
      </c>
      <c r="J59" s="240"/>
      <c r="K59" s="122"/>
      <c r="L59" s="296">
        <f t="shared" si="4"/>
        <v>193</v>
      </c>
      <c r="M59" s="15"/>
      <c r="N59" s="264"/>
      <c r="O59" s="293"/>
      <c r="P59" s="264">
        <f t="shared" ref="P59:P74" si="7">N59</f>
        <v>0</v>
      </c>
      <c r="Q59" s="265"/>
      <c r="R59" s="266"/>
      <c r="S59" s="275">
        <f t="shared" si="5"/>
        <v>5005.3900000000003</v>
      </c>
    </row>
    <row r="60" spans="1:19" x14ac:dyDescent="0.25">
      <c r="A60" s="122"/>
      <c r="B60" s="296">
        <f t="shared" si="2"/>
        <v>282</v>
      </c>
      <c r="C60" s="15"/>
      <c r="D60" s="264"/>
      <c r="E60" s="293"/>
      <c r="F60" s="264">
        <f t="shared" si="6"/>
        <v>0</v>
      </c>
      <c r="G60" s="265"/>
      <c r="H60" s="266"/>
      <c r="I60" s="275">
        <f t="shared" si="3"/>
        <v>8029.1099999999979</v>
      </c>
      <c r="J60" s="240"/>
      <c r="K60" s="122"/>
      <c r="L60" s="296">
        <f t="shared" si="4"/>
        <v>193</v>
      </c>
      <c r="M60" s="15"/>
      <c r="N60" s="264"/>
      <c r="O60" s="293"/>
      <c r="P60" s="264">
        <f t="shared" si="7"/>
        <v>0</v>
      </c>
      <c r="Q60" s="265"/>
      <c r="R60" s="266"/>
      <c r="S60" s="275">
        <f t="shared" si="5"/>
        <v>5005.3900000000003</v>
      </c>
    </row>
    <row r="61" spans="1:19" x14ac:dyDescent="0.25">
      <c r="A61" s="122"/>
      <c r="B61" s="296">
        <f t="shared" si="2"/>
        <v>282</v>
      </c>
      <c r="C61" s="15"/>
      <c r="D61" s="264"/>
      <c r="E61" s="293"/>
      <c r="F61" s="264">
        <f t="shared" si="6"/>
        <v>0</v>
      </c>
      <c r="G61" s="265"/>
      <c r="H61" s="266"/>
      <c r="I61" s="275">
        <f t="shared" si="3"/>
        <v>8029.1099999999979</v>
      </c>
      <c r="J61" s="240"/>
      <c r="K61" s="122"/>
      <c r="L61" s="296">
        <f t="shared" si="4"/>
        <v>193</v>
      </c>
      <c r="M61" s="15"/>
      <c r="N61" s="264"/>
      <c r="O61" s="293"/>
      <c r="P61" s="264">
        <f t="shared" si="7"/>
        <v>0</v>
      </c>
      <c r="Q61" s="265"/>
      <c r="R61" s="266"/>
      <c r="S61" s="275">
        <f t="shared" si="5"/>
        <v>5005.3900000000003</v>
      </c>
    </row>
    <row r="62" spans="1:19" x14ac:dyDescent="0.25">
      <c r="A62" s="122"/>
      <c r="B62" s="296">
        <f t="shared" si="2"/>
        <v>282</v>
      </c>
      <c r="C62" s="15"/>
      <c r="D62" s="264"/>
      <c r="E62" s="293"/>
      <c r="F62" s="264">
        <f t="shared" si="6"/>
        <v>0</v>
      </c>
      <c r="G62" s="265"/>
      <c r="H62" s="266"/>
      <c r="I62" s="275">
        <f t="shared" si="3"/>
        <v>8029.1099999999979</v>
      </c>
      <c r="K62" s="122"/>
      <c r="L62" s="296">
        <f t="shared" si="4"/>
        <v>193</v>
      </c>
      <c r="M62" s="15"/>
      <c r="N62" s="264"/>
      <c r="O62" s="293"/>
      <c r="P62" s="264">
        <f t="shared" si="7"/>
        <v>0</v>
      </c>
      <c r="Q62" s="265"/>
      <c r="R62" s="266"/>
      <c r="S62" s="275">
        <f t="shared" si="5"/>
        <v>5005.3900000000003</v>
      </c>
    </row>
    <row r="63" spans="1:19" x14ac:dyDescent="0.25">
      <c r="A63" s="122"/>
      <c r="B63" s="296">
        <f t="shared" si="2"/>
        <v>282</v>
      </c>
      <c r="C63" s="15"/>
      <c r="D63" s="264"/>
      <c r="E63" s="293"/>
      <c r="F63" s="264">
        <f t="shared" si="6"/>
        <v>0</v>
      </c>
      <c r="G63" s="265"/>
      <c r="H63" s="266"/>
      <c r="I63" s="275">
        <f t="shared" si="3"/>
        <v>8029.1099999999979</v>
      </c>
      <c r="K63" s="122"/>
      <c r="L63" s="296">
        <f t="shared" si="4"/>
        <v>193</v>
      </c>
      <c r="M63" s="15"/>
      <c r="N63" s="264"/>
      <c r="O63" s="293"/>
      <c r="P63" s="264">
        <f t="shared" si="7"/>
        <v>0</v>
      </c>
      <c r="Q63" s="265"/>
      <c r="R63" s="266"/>
      <c r="S63" s="275">
        <f t="shared" si="5"/>
        <v>5005.3900000000003</v>
      </c>
    </row>
    <row r="64" spans="1:19" x14ac:dyDescent="0.25">
      <c r="A64" s="122"/>
      <c r="B64" s="296">
        <f t="shared" si="2"/>
        <v>282</v>
      </c>
      <c r="C64" s="15"/>
      <c r="D64" s="264"/>
      <c r="E64" s="293"/>
      <c r="F64" s="264">
        <f t="shared" si="6"/>
        <v>0</v>
      </c>
      <c r="G64" s="265"/>
      <c r="H64" s="266"/>
      <c r="I64" s="275">
        <f t="shared" si="3"/>
        <v>8029.1099999999979</v>
      </c>
      <c r="K64" s="122"/>
      <c r="L64" s="296">
        <f t="shared" si="4"/>
        <v>193</v>
      </c>
      <c r="M64" s="15"/>
      <c r="N64" s="264"/>
      <c r="O64" s="293"/>
      <c r="P64" s="264">
        <f t="shared" si="7"/>
        <v>0</v>
      </c>
      <c r="Q64" s="265"/>
      <c r="R64" s="266"/>
      <c r="S64" s="275">
        <f t="shared" si="5"/>
        <v>5005.3900000000003</v>
      </c>
    </row>
    <row r="65" spans="1:19" x14ac:dyDescent="0.25">
      <c r="A65" s="122"/>
      <c r="B65" s="296">
        <f t="shared" si="2"/>
        <v>282</v>
      </c>
      <c r="C65" s="15"/>
      <c r="D65" s="264"/>
      <c r="E65" s="293"/>
      <c r="F65" s="264">
        <f t="shared" si="6"/>
        <v>0</v>
      </c>
      <c r="G65" s="265"/>
      <c r="H65" s="266"/>
      <c r="I65" s="275">
        <f t="shared" si="3"/>
        <v>8029.1099999999979</v>
      </c>
      <c r="K65" s="122"/>
      <c r="L65" s="296">
        <f t="shared" si="4"/>
        <v>193</v>
      </c>
      <c r="M65" s="15"/>
      <c r="N65" s="264"/>
      <c r="O65" s="293"/>
      <c r="P65" s="264">
        <f t="shared" si="7"/>
        <v>0</v>
      </c>
      <c r="Q65" s="265"/>
      <c r="R65" s="266"/>
      <c r="S65" s="275">
        <f t="shared" si="5"/>
        <v>5005.3900000000003</v>
      </c>
    </row>
    <row r="66" spans="1:19" x14ac:dyDescent="0.25">
      <c r="A66" s="122"/>
      <c r="B66" s="296">
        <f t="shared" si="2"/>
        <v>282</v>
      </c>
      <c r="C66" s="15"/>
      <c r="D66" s="264"/>
      <c r="E66" s="293"/>
      <c r="F66" s="264">
        <f t="shared" si="6"/>
        <v>0</v>
      </c>
      <c r="G66" s="265"/>
      <c r="H66" s="266"/>
      <c r="I66" s="275">
        <f t="shared" si="3"/>
        <v>8029.1099999999979</v>
      </c>
      <c r="K66" s="122"/>
      <c r="L66" s="296">
        <f t="shared" si="4"/>
        <v>193</v>
      </c>
      <c r="M66" s="15"/>
      <c r="N66" s="264"/>
      <c r="O66" s="293"/>
      <c r="P66" s="264">
        <f t="shared" si="7"/>
        <v>0</v>
      </c>
      <c r="Q66" s="265"/>
      <c r="R66" s="266"/>
      <c r="S66" s="275">
        <f t="shared" si="5"/>
        <v>5005.3900000000003</v>
      </c>
    </row>
    <row r="67" spans="1:19" x14ac:dyDescent="0.25">
      <c r="A67" s="122"/>
      <c r="B67" s="296">
        <f t="shared" si="2"/>
        <v>282</v>
      </c>
      <c r="C67" s="15"/>
      <c r="D67" s="264"/>
      <c r="E67" s="293"/>
      <c r="F67" s="264">
        <f t="shared" si="6"/>
        <v>0</v>
      </c>
      <c r="G67" s="265"/>
      <c r="H67" s="266"/>
      <c r="I67" s="275">
        <f t="shared" si="3"/>
        <v>8029.1099999999979</v>
      </c>
      <c r="K67" s="122"/>
      <c r="L67" s="296">
        <f t="shared" si="4"/>
        <v>193</v>
      </c>
      <c r="M67" s="15"/>
      <c r="N67" s="264"/>
      <c r="O67" s="293"/>
      <c r="P67" s="264">
        <f t="shared" si="7"/>
        <v>0</v>
      </c>
      <c r="Q67" s="265"/>
      <c r="R67" s="266"/>
      <c r="S67" s="275">
        <f t="shared" si="5"/>
        <v>5005.3900000000003</v>
      </c>
    </row>
    <row r="68" spans="1:19" x14ac:dyDescent="0.25">
      <c r="A68" s="122"/>
      <c r="B68" s="296">
        <f t="shared" si="2"/>
        <v>282</v>
      </c>
      <c r="C68" s="15"/>
      <c r="D68" s="69"/>
      <c r="E68" s="216"/>
      <c r="F68" s="69">
        <f t="shared" si="6"/>
        <v>0</v>
      </c>
      <c r="G68" s="70"/>
      <c r="H68" s="71"/>
      <c r="I68" s="275">
        <f t="shared" si="3"/>
        <v>8029.1099999999979</v>
      </c>
      <c r="K68" s="122"/>
      <c r="L68" s="296">
        <f t="shared" si="4"/>
        <v>193</v>
      </c>
      <c r="M68" s="15"/>
      <c r="N68" s="69"/>
      <c r="O68" s="216"/>
      <c r="P68" s="69">
        <f t="shared" si="7"/>
        <v>0</v>
      </c>
      <c r="Q68" s="70"/>
      <c r="R68" s="71"/>
      <c r="S68" s="275">
        <f t="shared" si="5"/>
        <v>5005.3900000000003</v>
      </c>
    </row>
    <row r="69" spans="1:19" x14ac:dyDescent="0.25">
      <c r="A69" s="122"/>
      <c r="B69" s="296">
        <f t="shared" si="2"/>
        <v>282</v>
      </c>
      <c r="C69" s="15"/>
      <c r="D69" s="69"/>
      <c r="E69" s="216"/>
      <c r="F69" s="69">
        <f t="shared" si="6"/>
        <v>0</v>
      </c>
      <c r="G69" s="70"/>
      <c r="H69" s="71"/>
      <c r="I69" s="275">
        <f t="shared" si="3"/>
        <v>8029.1099999999979</v>
      </c>
      <c r="K69" s="122"/>
      <c r="L69" s="296">
        <f t="shared" si="4"/>
        <v>193</v>
      </c>
      <c r="M69" s="15"/>
      <c r="N69" s="69"/>
      <c r="O69" s="216"/>
      <c r="P69" s="69">
        <f t="shared" si="7"/>
        <v>0</v>
      </c>
      <c r="Q69" s="70"/>
      <c r="R69" s="71"/>
      <c r="S69" s="275">
        <f t="shared" si="5"/>
        <v>5005.3900000000003</v>
      </c>
    </row>
    <row r="70" spans="1:19" x14ac:dyDescent="0.25">
      <c r="A70" s="122"/>
      <c r="B70" s="296">
        <f t="shared" si="2"/>
        <v>282</v>
      </c>
      <c r="C70" s="15"/>
      <c r="D70" s="69"/>
      <c r="E70" s="216"/>
      <c r="F70" s="69">
        <f t="shared" si="6"/>
        <v>0</v>
      </c>
      <c r="G70" s="70"/>
      <c r="H70" s="71"/>
      <c r="I70" s="275">
        <f t="shared" si="3"/>
        <v>8029.1099999999979</v>
      </c>
      <c r="K70" s="122"/>
      <c r="L70" s="296">
        <f t="shared" si="4"/>
        <v>193</v>
      </c>
      <c r="M70" s="15"/>
      <c r="N70" s="69"/>
      <c r="O70" s="216"/>
      <c r="P70" s="69">
        <f t="shared" si="7"/>
        <v>0</v>
      </c>
      <c r="Q70" s="70"/>
      <c r="R70" s="71"/>
      <c r="S70" s="275">
        <f t="shared" si="5"/>
        <v>5005.3900000000003</v>
      </c>
    </row>
    <row r="71" spans="1:19" x14ac:dyDescent="0.25">
      <c r="A71" s="122"/>
      <c r="B71" s="296">
        <f t="shared" si="2"/>
        <v>282</v>
      </c>
      <c r="C71" s="15"/>
      <c r="D71" s="69"/>
      <c r="E71" s="216"/>
      <c r="F71" s="69">
        <f t="shared" si="6"/>
        <v>0</v>
      </c>
      <c r="G71" s="70"/>
      <c r="H71" s="71"/>
      <c r="I71" s="275">
        <f t="shared" si="3"/>
        <v>8029.1099999999979</v>
      </c>
      <c r="K71" s="122"/>
      <c r="L71" s="296">
        <f t="shared" si="4"/>
        <v>193</v>
      </c>
      <c r="M71" s="15"/>
      <c r="N71" s="69"/>
      <c r="O71" s="216"/>
      <c r="P71" s="69">
        <f t="shared" si="7"/>
        <v>0</v>
      </c>
      <c r="Q71" s="70"/>
      <c r="R71" s="71"/>
      <c r="S71" s="275">
        <f t="shared" si="5"/>
        <v>5005.3900000000003</v>
      </c>
    </row>
    <row r="72" spans="1:19" x14ac:dyDescent="0.25">
      <c r="A72" s="122"/>
      <c r="B72" s="296">
        <f t="shared" si="2"/>
        <v>282</v>
      </c>
      <c r="C72" s="15"/>
      <c r="D72" s="69"/>
      <c r="E72" s="216"/>
      <c r="F72" s="69">
        <f t="shared" si="6"/>
        <v>0</v>
      </c>
      <c r="G72" s="70"/>
      <c r="H72" s="71"/>
      <c r="I72" s="275">
        <f t="shared" si="3"/>
        <v>8029.1099999999979</v>
      </c>
      <c r="K72" s="122"/>
      <c r="L72" s="296">
        <f t="shared" si="4"/>
        <v>193</v>
      </c>
      <c r="M72" s="15"/>
      <c r="N72" s="69"/>
      <c r="O72" s="216"/>
      <c r="P72" s="69">
        <f t="shared" si="7"/>
        <v>0</v>
      </c>
      <c r="Q72" s="70"/>
      <c r="R72" s="71"/>
      <c r="S72" s="275">
        <f t="shared" si="5"/>
        <v>5005.3900000000003</v>
      </c>
    </row>
    <row r="73" spans="1:19" x14ac:dyDescent="0.25">
      <c r="A73" s="122"/>
      <c r="B73" s="296">
        <f t="shared" si="2"/>
        <v>282</v>
      </c>
      <c r="C73" s="15"/>
      <c r="D73" s="69"/>
      <c r="E73" s="216"/>
      <c r="F73" s="69">
        <f t="shared" si="6"/>
        <v>0</v>
      </c>
      <c r="G73" s="70"/>
      <c r="H73" s="71"/>
      <c r="I73" s="275">
        <f t="shared" si="3"/>
        <v>8029.1099999999979</v>
      </c>
      <c r="K73" s="122"/>
      <c r="L73" s="296">
        <f t="shared" si="4"/>
        <v>193</v>
      </c>
      <c r="M73" s="15"/>
      <c r="N73" s="69"/>
      <c r="O73" s="216"/>
      <c r="P73" s="69">
        <f t="shared" si="7"/>
        <v>0</v>
      </c>
      <c r="Q73" s="70"/>
      <c r="R73" s="71"/>
      <c r="S73" s="275">
        <f t="shared" si="5"/>
        <v>5005.3900000000003</v>
      </c>
    </row>
    <row r="74" spans="1:19" x14ac:dyDescent="0.25">
      <c r="A74" s="122"/>
      <c r="B74" s="296">
        <f t="shared" si="2"/>
        <v>282</v>
      </c>
      <c r="C74" s="15"/>
      <c r="D74" s="69"/>
      <c r="E74" s="216"/>
      <c r="F74" s="69">
        <f t="shared" si="6"/>
        <v>0</v>
      </c>
      <c r="G74" s="70"/>
      <c r="H74" s="71"/>
      <c r="I74" s="275">
        <f t="shared" si="3"/>
        <v>8029.1099999999979</v>
      </c>
      <c r="K74" s="122"/>
      <c r="L74" s="296">
        <f t="shared" si="4"/>
        <v>193</v>
      </c>
      <c r="M74" s="15"/>
      <c r="N74" s="69"/>
      <c r="O74" s="216"/>
      <c r="P74" s="69">
        <f t="shared" si="7"/>
        <v>0</v>
      </c>
      <c r="Q74" s="70"/>
      <c r="R74" s="71"/>
      <c r="S74" s="275">
        <f t="shared" si="5"/>
        <v>5005.3900000000003</v>
      </c>
    </row>
    <row r="75" spans="1:19" x14ac:dyDescent="0.25">
      <c r="A75" s="122"/>
      <c r="B75" s="83">
        <f t="shared" si="2"/>
        <v>282</v>
      </c>
      <c r="C75" s="15"/>
      <c r="D75" s="69"/>
      <c r="E75" s="216"/>
      <c r="F75" s="69">
        <f>D75</f>
        <v>0</v>
      </c>
      <c r="G75" s="70"/>
      <c r="H75" s="71"/>
      <c r="I75" s="275">
        <f t="shared" si="3"/>
        <v>8029.1099999999979</v>
      </c>
      <c r="K75" s="122"/>
      <c r="L75" s="83">
        <f t="shared" si="4"/>
        <v>193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5005.3900000000003</v>
      </c>
    </row>
    <row r="76" spans="1:19" x14ac:dyDescent="0.25">
      <c r="A76" s="122"/>
      <c r="B76" s="83">
        <f t="shared" ref="B76" si="8">B75-C76</f>
        <v>282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9">I75-F76</f>
        <v>8029.1099999999979</v>
      </c>
      <c r="K76" s="122"/>
      <c r="L76" s="83">
        <f t="shared" ref="L76" si="10">L75-M76</f>
        <v>193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5005.3900000000003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8029.1099999999979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5005.3900000000003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319</v>
      </c>
      <c r="D79" s="6">
        <f>SUM(D10:D78)</f>
        <v>9077.8000000000011</v>
      </c>
      <c r="F79" s="6">
        <f>SUM(F10:F78)</f>
        <v>9077.8000000000011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282</v>
      </c>
      <c r="N82" s="45" t="s">
        <v>4</v>
      </c>
      <c r="O82" s="56">
        <f>P5+P6-M79+P7</f>
        <v>193</v>
      </c>
    </row>
    <row r="83" spans="3:16" ht="15.75" thickBot="1" x14ac:dyDescent="0.3"/>
    <row r="84" spans="3:16" ht="15.75" thickBot="1" x14ac:dyDescent="0.3">
      <c r="C84" s="1254" t="s">
        <v>11</v>
      </c>
      <c r="D84" s="1255"/>
      <c r="E84" s="57">
        <f>E5+E6-F79+E7</f>
        <v>8029.1099999999988</v>
      </c>
      <c r="F84" s="73"/>
      <c r="M84" s="1254" t="s">
        <v>11</v>
      </c>
      <c r="N84" s="1255"/>
      <c r="O84" s="57">
        <f>O5+O6-P79+O7</f>
        <v>5005.3900000000003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52"/>
      <c r="B1" s="1252"/>
      <c r="C1" s="1252"/>
      <c r="D1" s="1252"/>
      <c r="E1" s="1252"/>
      <c r="F1" s="1252"/>
      <c r="G1" s="12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46"/>
      <c r="B5" s="1261" t="s">
        <v>82</v>
      </c>
      <c r="C5" s="271"/>
      <c r="D5" s="248"/>
      <c r="E5" s="259"/>
      <c r="F5" s="253"/>
      <c r="G5" s="260"/>
    </row>
    <row r="6" spans="1:9" x14ac:dyDescent="0.25">
      <c r="A6" s="1246"/>
      <c r="B6" s="1261"/>
      <c r="C6" s="563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246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83"/>
      <c r="C9" s="674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84"/>
      <c r="C10" s="674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84"/>
      <c r="C11" s="674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84"/>
      <c r="C12" s="674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84"/>
      <c r="C13" s="674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84"/>
      <c r="C14" s="674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84"/>
      <c r="C15" s="674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84"/>
      <c r="C16" s="674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84"/>
      <c r="C17" s="674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84"/>
      <c r="C18" s="674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84"/>
      <c r="C19" s="674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84"/>
      <c r="C20" s="674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82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82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82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82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82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82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82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82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82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82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82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82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82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8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54" t="s">
        <v>11</v>
      </c>
      <c r="D40" s="1255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Gráficos</vt:lpstr>
      </vt:variant>
      <vt:variant>
        <vt:i4>1</vt:i4>
      </vt:variant>
    </vt:vector>
  </HeadingPairs>
  <TitlesOfParts>
    <vt:vector size="52" baseType="lpstr">
      <vt:lpstr>COMPRAS DEL MES </vt:lpstr>
      <vt:lpstr>PIERNA</vt:lpstr>
      <vt:lpstr>   PIERNA   CON  CUERO   </vt:lpstr>
      <vt:lpstr>    PIERNA S.H.    CONGELADA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VAC   CONG      </vt:lpstr>
      <vt:lpstr>FILETE   DE  LOMO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CABEZA  C-P   FREE         </vt:lpstr>
      <vt:lpstr>TOCINO      NACIONAL        </vt:lpstr>
      <vt:lpstr>C O R B A T A        </vt:lpstr>
      <vt:lpstr>CUERO PANCETA    </vt:lpstr>
      <vt:lpstr>   CUERO   EN   COMBO   </vt:lpstr>
      <vt:lpstr>Hoja1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2022-07-06T14:14:21Z</dcterms:modified>
</cp:coreProperties>
</file>