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firstSheet="1" activeTab="1"/>
  </bookViews>
  <sheets>
    <sheet name="Hoja5" sheetId="7" r:id="rId1"/>
    <sheet name="GASTOS POR SEMANA  " sheetId="1" r:id="rId2"/>
    <sheet name="CONSENTRADO X SEMANAS   " sheetId="5" r:id="rId3"/>
    <sheet name="Hoja4" sheetId="6" r:id="rId4"/>
    <sheet name="Hoja7" sheetId="10" r:id="rId5"/>
    <sheet name="   GASTOS  POR MES        02   " sheetId="11" r:id="rId6"/>
    <sheet name="GASTOS POR MES          01     " sheetId="2" r:id="rId7"/>
    <sheet name="Hoja3" sheetId="3" r:id="rId8"/>
    <sheet name="Hoja1" sheetId="8" r:id="rId9"/>
    <sheet name="Hoja6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W11" i="1"/>
  <c r="V10" i="1"/>
  <c r="Q7" i="1"/>
  <c r="X5" i="1"/>
  <c r="V14" i="1"/>
  <c r="T8" i="1"/>
  <c r="S6" i="1"/>
  <c r="H14" i="1"/>
  <c r="J11" i="1" l="1"/>
  <c r="J19" i="1"/>
  <c r="H13" i="1"/>
  <c r="G8" i="1"/>
  <c r="G19" i="1" s="1"/>
  <c r="D7" i="1"/>
  <c r="D19" i="1" s="1"/>
  <c r="F6" i="1"/>
  <c r="K5" i="1"/>
  <c r="K19" i="1" s="1"/>
  <c r="V19" i="1"/>
  <c r="U19" i="1"/>
  <c r="T19" i="1"/>
  <c r="S19" i="1"/>
  <c r="R19" i="1"/>
  <c r="W19" i="1"/>
  <c r="Q19" i="1"/>
  <c r="X19" i="1"/>
  <c r="L19" i="1"/>
  <c r="I19" i="1"/>
  <c r="F19" i="1"/>
  <c r="E19" i="1"/>
  <c r="H19" i="1"/>
  <c r="S21" i="1" l="1"/>
  <c r="F21" i="1"/>
  <c r="N23" i="5"/>
  <c r="N22" i="5"/>
  <c r="N21" i="5"/>
  <c r="N20" i="5"/>
  <c r="N19" i="5"/>
  <c r="N11" i="5"/>
  <c r="N6" i="5"/>
  <c r="N7" i="5"/>
  <c r="N8" i="5"/>
  <c r="N9" i="5"/>
  <c r="N5" i="5"/>
  <c r="N25" i="5" l="1"/>
  <c r="U18" i="11"/>
  <c r="T18" i="11"/>
  <c r="R18" i="11"/>
  <c r="L18" i="11"/>
  <c r="K18" i="11"/>
  <c r="I18" i="11"/>
  <c r="G18" i="11"/>
  <c r="E18" i="11"/>
  <c r="V13" i="11"/>
  <c r="H13" i="11"/>
  <c r="V12" i="11"/>
  <c r="V18" i="11" s="1"/>
  <c r="H12" i="11"/>
  <c r="H18" i="11" s="1"/>
  <c r="W10" i="11"/>
  <c r="W18" i="11" s="1"/>
  <c r="J10" i="11"/>
  <c r="J18" i="11" s="1"/>
  <c r="Q6" i="11"/>
  <c r="Q18" i="11" s="1"/>
  <c r="D6" i="11"/>
  <c r="D18" i="11" s="1"/>
  <c r="S5" i="11"/>
  <c r="S18" i="11" s="1"/>
  <c r="F5" i="11"/>
  <c r="F18" i="11" s="1"/>
  <c r="X4" i="11"/>
  <c r="X18" i="11" s="1"/>
  <c r="K4" i="11"/>
  <c r="S34" i="1"/>
  <c r="S20" i="11" l="1"/>
  <c r="F20" i="11"/>
  <c r="V42" i="1"/>
  <c r="V41" i="1"/>
  <c r="V47" i="1" s="1"/>
  <c r="W39" i="1"/>
  <c r="W47" i="1" s="1"/>
  <c r="Q35" i="1"/>
  <c r="Q47" i="1"/>
  <c r="S47" i="1"/>
  <c r="X33" i="1"/>
  <c r="X47" i="1"/>
  <c r="F34" i="1"/>
  <c r="K33" i="1"/>
  <c r="H41" i="1"/>
  <c r="H42" i="1"/>
  <c r="J39" i="1"/>
  <c r="D35" i="1"/>
  <c r="D47" i="1"/>
  <c r="K47" i="1"/>
  <c r="U47" i="1"/>
  <c r="R47" i="1"/>
  <c r="L47" i="1"/>
  <c r="J47" i="1"/>
  <c r="I47" i="1"/>
  <c r="G47" i="1"/>
  <c r="E47" i="1"/>
  <c r="T47" i="1"/>
  <c r="F47" i="1"/>
  <c r="H47" i="1" l="1"/>
  <c r="F49" i="1" s="1"/>
  <c r="S49" i="1"/>
  <c r="L14" i="2"/>
  <c r="H13" i="2"/>
  <c r="F12" i="2"/>
  <c r="Y6" i="2"/>
  <c r="W14" i="2"/>
  <c r="W13" i="2"/>
  <c r="S12" i="2"/>
  <c r="T11" i="2"/>
  <c r="U10" i="2"/>
  <c r="Y9" i="2"/>
  <c r="X8" i="2" l="1"/>
  <c r="R7" i="2"/>
  <c r="Z5" i="2"/>
  <c r="J11" i="2"/>
  <c r="I8" i="2"/>
  <c r="E8" i="2"/>
  <c r="H7" i="2"/>
  <c r="K6" i="2"/>
  <c r="D5" i="2"/>
  <c r="G10" i="2"/>
  <c r="V104" i="1" l="1"/>
  <c r="V103" i="1"/>
  <c r="W99" i="1"/>
  <c r="Q98" i="1"/>
  <c r="S96" i="1"/>
  <c r="T97" i="1"/>
  <c r="X95" i="1"/>
  <c r="H103" i="1"/>
  <c r="F96" i="1"/>
  <c r="D97" i="1"/>
  <c r="H104" i="1"/>
  <c r="K95" i="1"/>
  <c r="U109" i="1" l="1"/>
  <c r="T109" i="1"/>
  <c r="R109" i="1"/>
  <c r="Q109" i="1"/>
  <c r="L109" i="1"/>
  <c r="I109" i="1"/>
  <c r="G109" i="1"/>
  <c r="F109" i="1"/>
  <c r="E109" i="1"/>
  <c r="V109" i="1"/>
  <c r="H109" i="1"/>
  <c r="J109" i="1"/>
  <c r="S109" i="1"/>
  <c r="W109" i="1"/>
  <c r="K109" i="1"/>
  <c r="X109" i="1"/>
  <c r="D109" i="1"/>
  <c r="F111" i="1" l="1"/>
  <c r="S111" i="1"/>
  <c r="S132" i="1"/>
  <c r="R140" i="1" l="1"/>
  <c r="S140" i="1"/>
  <c r="T140" i="1"/>
  <c r="U140" i="1"/>
  <c r="W127" i="1"/>
  <c r="W140" i="1" s="1"/>
  <c r="X126" i="1"/>
  <c r="X140" i="1" s="1"/>
  <c r="V134" i="1"/>
  <c r="V135" i="1"/>
  <c r="Q128" i="1"/>
  <c r="Q140" i="1" s="1"/>
  <c r="V140" i="1" l="1"/>
  <c r="S142" i="1"/>
  <c r="K127" i="1"/>
  <c r="K140" i="1" s="1"/>
  <c r="J132" i="1"/>
  <c r="H137" i="1"/>
  <c r="H135" i="1"/>
  <c r="J133" i="1"/>
  <c r="F134" i="1"/>
  <c r="F140" i="1" s="1"/>
  <c r="D126" i="1"/>
  <c r="S28" i="8"/>
  <c r="R10" i="8"/>
  <c r="R28" i="8" s="1"/>
  <c r="F10" i="8"/>
  <c r="F28" i="8" s="1"/>
  <c r="V9" i="8"/>
  <c r="C9" i="8"/>
  <c r="U8" i="8"/>
  <c r="U28" i="8" s="1"/>
  <c r="D8" i="8"/>
  <c r="D28" i="8" s="1"/>
  <c r="L140" i="1"/>
  <c r="I140" i="1"/>
  <c r="H140" i="1"/>
  <c r="G140" i="1"/>
  <c r="E140" i="1"/>
  <c r="D140" i="1"/>
  <c r="J140" i="1"/>
  <c r="F142" i="1" l="1"/>
  <c r="X159" i="1"/>
  <c r="W5" i="8" s="1"/>
  <c r="W28" i="8" s="1"/>
  <c r="V168" i="1"/>
  <c r="T14" i="8" s="1"/>
  <c r="S165" i="1"/>
  <c r="Q11" i="8" s="1"/>
  <c r="Q28" i="8" s="1"/>
  <c r="R163" i="1"/>
  <c r="P12" i="8" s="1"/>
  <c r="P28" i="8" s="1"/>
  <c r="W160" i="1"/>
  <c r="V6" i="8" s="1"/>
  <c r="V28" i="8" s="1"/>
  <c r="K160" i="1"/>
  <c r="J6" i="8" s="1"/>
  <c r="J28" i="8" s="1"/>
  <c r="J165" i="1"/>
  <c r="F167" i="1"/>
  <c r="E13" i="8" s="1"/>
  <c r="E28" i="8" s="1"/>
  <c r="H161" i="1"/>
  <c r="G7" i="8" s="1"/>
  <c r="L169" i="1"/>
  <c r="K15" i="8" s="1"/>
  <c r="K28" i="8" s="1"/>
  <c r="Q187" i="1" l="1"/>
  <c r="S191" i="1"/>
  <c r="I162" i="1"/>
  <c r="L17" i="2"/>
  <c r="L173" i="1"/>
  <c r="H8" i="8" l="1"/>
  <c r="H28" i="8" s="1"/>
  <c r="V167" i="1"/>
  <c r="Q161" i="1"/>
  <c r="H168" i="1"/>
  <c r="J166" i="1"/>
  <c r="D159" i="1"/>
  <c r="O7" i="8" l="1"/>
  <c r="O28" i="8" s="1"/>
  <c r="C5" i="8"/>
  <c r="C28" i="8" s="1"/>
  <c r="G14" i="8"/>
  <c r="G28" i="8" s="1"/>
  <c r="T13" i="8"/>
  <c r="T28" i="8" s="1"/>
  <c r="I11" i="8"/>
  <c r="I28" i="8" s="1"/>
  <c r="U173" i="1"/>
  <c r="T173" i="1"/>
  <c r="R173" i="1"/>
  <c r="K173" i="1"/>
  <c r="G173" i="1"/>
  <c r="E173" i="1"/>
  <c r="D173" i="1"/>
  <c r="V173" i="1"/>
  <c r="S173" i="1"/>
  <c r="J173" i="1"/>
  <c r="F173" i="1"/>
  <c r="I173" i="1"/>
  <c r="Q173" i="1"/>
  <c r="H173" i="1"/>
  <c r="W173" i="1"/>
  <c r="X173" i="1"/>
  <c r="F193" i="1"/>
  <c r="H194" i="1"/>
  <c r="V193" i="1"/>
  <c r="V194" i="1"/>
  <c r="F189" i="1"/>
  <c r="E30" i="8" l="1"/>
  <c r="Q30" i="8"/>
  <c r="F175" i="1"/>
  <c r="S175" i="1"/>
  <c r="U208" i="1"/>
  <c r="S208" i="1"/>
  <c r="R208" i="1"/>
  <c r="E208" i="1"/>
  <c r="D208" i="1"/>
  <c r="V208" i="1"/>
  <c r="J191" i="1"/>
  <c r="J208" i="1" s="1"/>
  <c r="T190" i="1"/>
  <c r="T208" i="1" s="1"/>
  <c r="G190" i="1"/>
  <c r="G208" i="1" s="1"/>
  <c r="W189" i="1"/>
  <c r="I188" i="1"/>
  <c r="I208" i="1" s="1"/>
  <c r="Q208" i="1"/>
  <c r="H187" i="1"/>
  <c r="W186" i="1"/>
  <c r="W208" i="1" s="1"/>
  <c r="K186" i="1"/>
  <c r="K208" i="1" s="1"/>
  <c r="X185" i="1"/>
  <c r="X208" i="1" s="1"/>
  <c r="S210" i="1" l="1"/>
  <c r="F208" i="1"/>
  <c r="H208" i="1"/>
  <c r="Z17" i="2"/>
  <c r="Y17" i="2"/>
  <c r="X17" i="2"/>
  <c r="W17" i="2"/>
  <c r="V17" i="2"/>
  <c r="U17" i="2"/>
  <c r="T17" i="2"/>
  <c r="S17" i="2"/>
  <c r="K17" i="2"/>
  <c r="J17" i="2"/>
  <c r="I17" i="2"/>
  <c r="G17" i="2"/>
  <c r="F17" i="2"/>
  <c r="E17" i="2"/>
  <c r="D17" i="2"/>
  <c r="R17" i="2"/>
  <c r="H17" i="2"/>
  <c r="T19" i="2" l="1"/>
  <c r="F19" i="2"/>
  <c r="F210" i="1"/>
</calcChain>
</file>

<file path=xl/sharedStrings.xml><?xml version="1.0" encoding="utf-8"?>
<sst xmlns="http://schemas.openxmlformats.org/spreadsheetml/2006/main" count="683" uniqueCount="169">
  <si>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</si>
  <si>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</si>
  <si>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</si>
  <si>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</si>
  <si>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</si>
  <si>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</si>
  <si>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</si>
  <si>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</si>
  <si>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</si>
  <si>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</si>
  <si>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</si>
  <si>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</si>
  <si>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</si>
  <si>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</si>
  <si>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</si>
  <si>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</si>
  <si>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</si>
  <si>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</si>
  <si>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</si>
  <si>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</si>
  <si>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</si>
  <si>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</si>
  <si>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</si>
  <si>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</si>
  <si>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</si>
  <si>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</si>
  <si>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</si>
  <si>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</si>
  <si>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</si>
  <si>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</si>
  <si>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</si>
  <si>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</si>
  <si>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</si>
  <si>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</si>
  <si>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</si>
  <si>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</si>
  <si>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</si>
  <si>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</si>
  <si>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</si>
  <si>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</si>
  <si>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</si>
  <si>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</si>
  <si>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</si>
  <si>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</si>
  <si>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</si>
  <si>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</si>
  <si>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</si>
  <si>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</si>
  <si>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</si>
  <si>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</si>
  <si>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</si>
  <si>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</si>
  <si>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</si>
  <si>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</si>
  <si>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</si>
  <si>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</si>
  <si>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</si>
  <si>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</si>
  <si>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</si>
  <si>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</si>
  <si>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</si>
  <si>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</si>
  <si>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</si>
  <si>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</si>
  <si>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</si>
  <si>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</si>
  <si>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</si>
  <si>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</si>
  <si>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</si>
  <si>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</si>
  <si>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</si>
  <si>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</si>
  <si>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</si>
  <si>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</si>
  <si>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</si>
  <si>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</si>
  <si>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</si>
  <si>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</si>
  <si>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</si>
  <si>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</si>
  <si>
    <t>tomillo-oregano-tamarindo-jamaica</t>
  </si>
  <si>
    <t>pera-papaya-limon-piñas-sandias-melones-pepino</t>
  </si>
  <si>
    <t>cilantro-epazote-manzanilla-</t>
  </si>
  <si>
    <t>poblano-brocoli-poro-lechugas-champiñones-jitomate-ajo-tomate-chicharo-calabaza-cebolla-zanahoria-tampico-morron-mole</t>
  </si>
  <si>
    <t>jamon-pollo-pechuga-salchicha- espinazo-gouda-quesillo-chicharron-tocino-brocheta</t>
  </si>
  <si>
    <t>PAN DULCE---bimbo-</t>
  </si>
  <si>
    <t>Chipotle-rajas-elote-Norzuisa tarro-mantequilla--yogurt-crema-</t>
  </si>
  <si>
    <t>Arroz</t>
  </si>
  <si>
    <t># 04</t>
  </si>
  <si>
    <t>9---15 Sept-2023</t>
  </si>
  <si>
    <t>Pechuga-Bistec pco-pollo-chicharron</t>
  </si>
  <si>
    <t>piña-,melon-samdia-maracuya</t>
  </si>
  <si>
    <t>poro-oregano-col-epazote-pipicha</t>
  </si>
  <si>
    <t>Jitomate-papa-cebolla-calabaza-chayote-zanahoria-jalapeño-ajo-serrano-elote-chicharo-</t>
  </si>
  <si>
    <t>Chipotle-catsup-elote-mostaza-Norzuisa-pastas-arroz-</t>
  </si>
  <si>
    <t>salsa azul-ciruela-almendra</t>
  </si>
  <si>
    <t>TORTILLAS</t>
  </si>
  <si>
    <t>pechuga-bisteck pco-pollo-jamon-gouda</t>
  </si>
  <si>
    <t>hojas aguacate-cilantro-telimon-epazote-manzanilla-hiervabuena-perejil</t>
  </si>
  <si>
    <t>morron-chayote-tampico-zanahoraia-jitomate-calabaza-chicharo-ejote-cebolla-papa-limon-ajo</t>
  </si>
  <si>
    <t>sandias-guayaba-manzana-melon</t>
  </si>
  <si>
    <t>Azucar   1 bulto  50 kg</t>
  </si>
  <si>
    <t>9-Sept-23  AZUCAR</t>
  </si>
  <si>
    <t>Frijol- 25 KG --guajillo-costeño-tamarindo-almendra</t>
  </si>
  <si>
    <t>crema-lala-yogurt-palillos-chipotles-catsup-mayonesa-leche-lechera-fibras scotch--sal-servilletas-toalla</t>
  </si>
  <si>
    <t>PAN Dulce  y  Bimbo</t>
  </si>
  <si>
    <t>tortillas-</t>
  </si>
  <si>
    <t>del       09--- al  15 Septiembre</t>
  </si>
  <si>
    <t>Carne molida mixta-jamon-queso-bisteck pco-retazo-pollo-papas francesa-costilla-chuleta ahum-milanesa-mole-salchicha-pechuga-espinozo-chicharron-jamon-tocino</t>
  </si>
  <si>
    <t>Epazote, hiervabuena, manzanilla,cilantro-tomillo-oregano-rabanos-poro-col-pipicha</t>
  </si>
  <si>
    <t>Maracuya--fresas-melon-piña-sandia-papaya-jamaica</t>
  </si>
  <si>
    <t>Jitomate, calabaza, poblano, papa, jalapeño, cebolla, tomate, serrano, limon-lechugas brocoli-poro-nopal-chicharo-chayote-ejote-ajo-poblano-pepino-limon-elotes-champiñones</t>
  </si>
  <si>
    <t>Aceite, leche, arroz, sopas, elote lata-margarina-bolsa-escobas-queso-gouda-Nescafe-Legal-crema-lala--ajax-jalador-vidrios</t>
  </si>
  <si>
    <t>Jamon amricano-molida mixta-bistec-queso--retazo-pollo-papa francesa-longaniza-pollo-codillo-hueso costilla-chuleta ahum-Costilla-milanesa-pechuga-salchica-espizano-goudachicharron-quesillo-tocino-brocheta</t>
  </si>
  <si>
    <t>Mango,sandia,guayaba-papaya-manzana-naranja-pera-limon-piña-pepino</t>
  </si>
  <si>
    <t>cilantro, epazote, hiervabuena, cilantro-maiz pozole-telimon-manzanilla-oregano-hojas aguacate-perejil</t>
  </si>
  <si>
    <t>jitomate,jalapeño,cebolla,papa,zanahoria,tomate,serrano,tampico.--ajo,poblano-limon-lechuga-nopal-brocoli-chicharo-calabaza-tampico-chicharo-chayote-morron-poro-molechampiñones-</t>
  </si>
  <si>
    <t>costeño,guajillo,pulla,tamarindo,arbol,morita-cacahuate-güero-tomillo-oregano-tamarindo-jaimaica--frijol-almendra</t>
  </si>
  <si>
    <t>yogurt Yoplait-café-norzuiza-fibras-café legal-tajas-italpasta-atun-hoja mixiote-aceite oliva-hilos mixiote-limpiador horno-chipotle-tajas-elote-mantequilla-yogurt-crema-catsup-mayonesa-sal-servilletas-toallas-arroz</t>
  </si>
  <si>
    <t>AZUCAR 1 bulto 50 kg   9-Sept-2023</t>
  </si>
  <si>
    <t>19-Ago--14-Sept-23</t>
  </si>
  <si>
    <t xml:space="preserve">RELACION   MENSUAL     DE GASTOS   COMEDOR   CENTRAL  </t>
  </si>
  <si>
    <t xml:space="preserve">RELACION MENSUAL      DE GASTOS   COMEDOR   O B R A D O R </t>
  </si>
  <si>
    <t>15---22--Sept-23</t>
  </si>
  <si>
    <t xml:space="preserve">papaya-sandia-melon -guayaba-sandia </t>
  </si>
  <si>
    <t>hierbabuena-epazote-hoja aguacate-cilantro-oregano-poro</t>
  </si>
  <si>
    <t>FRIJOL</t>
  </si>
  <si>
    <t>huevo blanco</t>
  </si>
  <si>
    <t>Yogurt-elote-harina-arroz- crema-cubeta para IRANA</t>
  </si>
  <si>
    <t>del       15--- al  22 Septiembre</t>
  </si>
  <si>
    <t>Tocino,jamon-cuete res-gouda-fajitas-res-queso panela--pechuga-salchicha-molida mixta-totopos-crema-pollo-</t>
  </si>
  <si>
    <t>calabaza-cebolla-jalapeño-jitomate-papa-tampico-tomate-zanahoria--limon-poblano-huazontles-brocoli-aguacate-</t>
  </si>
  <si>
    <t>Tortillas--Totopos</t>
  </si>
  <si>
    <t>15--22-Sept-23</t>
  </si>
  <si>
    <t>cuete res-jamon-tocino-chicharron-quesos-fajitas res--salchicha-molida mixta-pechuga-pollo-</t>
  </si>
  <si>
    <t>manzanilla-epazote-hierbabuena-oregano-tomillo-pipicha-cilantro-hoja aguacate</t>
  </si>
  <si>
    <t>elote-huazontles-poro-brocoli-espinaca-calabaza-jitomate-papa-cebolla-serrano-chicharo-tomate-poblano-tampico-jalapeño-ajo</t>
  </si>
  <si>
    <t>sandia-naranja-papayas-</t>
  </si>
  <si>
    <t>jamaica-chile ancho-chile pulla-chile guajillo-costeño-tamarindo</t>
  </si>
  <si>
    <t>chipotle-rajas-elote-harina-Knor zuisa tarro-yogurt</t>
  </si>
  <si>
    <t>PAN DULCE-----BIMBO</t>
  </si>
  <si>
    <t>semana  # 01</t>
  </si>
  <si>
    <t>semana  # 02</t>
  </si>
  <si>
    <t>semana  # 03</t>
  </si>
  <si>
    <t>semana  # 04</t>
  </si>
  <si>
    <t>semana  # 05</t>
  </si>
  <si>
    <t>26-Ago- al  01-SEPT</t>
  </si>
  <si>
    <t xml:space="preserve">AGUA </t>
  </si>
  <si>
    <t>2--al  -8-Sept-23</t>
  </si>
  <si>
    <t>del       23--- al  29 Septiembre</t>
  </si>
  <si>
    <t>23--al 29- Sept-23</t>
  </si>
  <si>
    <t>del       15--- al  22   Septiembre</t>
  </si>
  <si>
    <t>del       23--- al  29    Septiembre</t>
  </si>
  <si>
    <t>Norteño-queso panela-pechuga-totopos-crema-costilla-gouda-mole-alon-maiz abuela</t>
  </si>
  <si>
    <t>poblano-jitomate-tampico-cebolla-calabaza-chayote-zanahoria-papa-tomate-chicharo-ajo-</t>
  </si>
  <si>
    <t>melon-papaya-sandia-tuna-guayaba--manzana-piña</t>
  </si>
  <si>
    <t>epazote-perejil-oregano-rabanos-lechugas-</t>
  </si>
  <si>
    <t xml:space="preserve">HUEVO   </t>
  </si>
  <si>
    <t xml:space="preserve">AZUCAR  BULTO 50 kg </t>
  </si>
  <si>
    <t>ELOTE-CAFÉ LEGAL-HARINA-ITALPASTA-CREMA-SALEROS-MAYONESA</t>
  </si>
  <si>
    <t>CANELA-AJONJOLI- FRIJOL</t>
  </si>
  <si>
    <t>Norteño-queso panela-totopos-gouda-pechuga pollo-costilla-jamon-mole-maiz-tostadas-alon</t>
  </si>
  <si>
    <t>Jitomate-cebolla-ejote-chicharo-chayote-papa-zanahoria-calabaza-tomate-tampico-serramp-poblano-aguacate-limon-jalapeño-morron-</t>
  </si>
  <si>
    <t>Manzana -guayaba-sandia-melon</t>
  </si>
  <si>
    <t>Manzanilla-cilantro-telimon-hoja aguacate-laurel-tomillo-oregano-lechugas</t>
  </si>
  <si>
    <t>TOTILLAS</t>
  </si>
  <si>
    <t>Papel mixiote-microdin-yogurt-cereal-vinagre-elote-Café legal-Italpasta-  AJAX</t>
  </si>
  <si>
    <r>
      <t xml:space="preserve">AZUCAR  1 BULTO  50 Kg        </t>
    </r>
    <r>
      <rPr>
        <b/>
        <sz val="11"/>
        <color rgb="FF990033"/>
        <rFont val="Calibri"/>
        <family val="2"/>
        <scheme val="minor"/>
      </rPr>
      <t xml:space="preserve"> Compra anterior 5--Sept-         1 BULTO   </t>
    </r>
  </si>
  <si>
    <t>Ajonjoli--chile costeño-pulla-tamatindo-serrano-arroz-chipotle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</si>
</sst>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3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16" fillId="0" borderId="39" xfId="0" applyFont="1" applyBorder="1" applyAlignment="1">
      <alignment wrapText="1"/>
    </xf>
    <xf numFmtId="0" fontId="9" fillId="0" borderId="39" xfId="0" applyFont="1" applyBorder="1"/>
    <xf numFmtId="0" fontId="11" fillId="0" borderId="39" xfId="0" applyFont="1" applyBorder="1" applyAlignment="1">
      <alignment wrapText="1"/>
    </xf>
    <xf numFmtId="0" fontId="9" fillId="0" borderId="39" xfId="0" applyFont="1" applyBorder="1" applyAlignment="1">
      <alignment vertical="center"/>
    </xf>
    <xf numFmtId="44" fontId="2" fillId="0" borderId="35" xfId="1" applyFont="1" applyFill="1" applyBorder="1"/>
    <xf numFmtId="44" fontId="2" fillId="0" borderId="40" xfId="1" applyFont="1" applyFill="1" applyBorder="1"/>
    <xf numFmtId="44" fontId="2" fillId="0" borderId="37" xfId="1" applyFont="1" applyFill="1" applyBorder="1"/>
    <xf numFmtId="15" fontId="9" fillId="0" borderId="9" xfId="0" applyNumberFormat="1" applyFont="1" applyBorder="1" applyAlignment="1">
      <alignment horizontal="center"/>
    </xf>
    <xf numFmtId="15" fontId="11" fillId="0" borderId="41" xfId="0" applyNumberFormat="1" applyFont="1" applyBorder="1" applyAlignment="1">
      <alignment horizontal="center" vertical="center" wrapText="1"/>
    </xf>
    <xf numFmtId="15" fontId="11" fillId="0" borderId="42" xfId="0" applyNumberFormat="1" applyFont="1" applyBorder="1" applyAlignment="1">
      <alignment horizontal="center" vertical="center" wrapText="1"/>
    </xf>
    <xf numFmtId="15" fontId="11" fillId="0" borderId="43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0" fillId="8" borderId="0" xfId="0" applyFill="1" applyBorder="1"/>
    <xf numFmtId="0" fontId="0" fillId="8" borderId="8" xfId="0" applyFill="1" applyBorder="1"/>
    <xf numFmtId="0" fontId="4" fillId="8" borderId="33" xfId="0" applyFont="1" applyFill="1" applyBorder="1" applyAlignment="1"/>
    <xf numFmtId="0" fontId="0" fillId="8" borderId="27" xfId="0" applyFill="1" applyBorder="1"/>
    <xf numFmtId="0" fontId="5" fillId="8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vertical="center"/>
    </xf>
    <xf numFmtId="0" fontId="4" fillId="0" borderId="33" xfId="0" applyFont="1" applyFill="1" applyBorder="1" applyAlignment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17" fillId="0" borderId="0" xfId="0" applyFont="1" applyFill="1" applyAlignment="1">
      <alignment wrapText="1"/>
    </xf>
    <xf numFmtId="7" fontId="4" fillId="0" borderId="0" xfId="1" applyNumberFormat="1" applyFont="1" applyFill="1" applyBorder="1" applyAlignment="1"/>
    <xf numFmtId="44" fontId="0" fillId="0" borderId="8" xfId="1" applyFont="1" applyFill="1" applyBorder="1"/>
    <xf numFmtId="44" fontId="3" fillId="0" borderId="45" xfId="1" applyFont="1" applyBorder="1" applyAlignment="1">
      <alignment vertical="center"/>
    </xf>
    <xf numFmtId="15" fontId="2" fillId="3" borderId="46" xfId="0" applyNumberFormat="1" applyFont="1" applyFill="1" applyBorder="1" applyAlignment="1">
      <alignment horizontal="center"/>
    </xf>
    <xf numFmtId="0" fontId="8" fillId="3" borderId="47" xfId="0" applyFont="1" applyFill="1" applyBorder="1" applyAlignment="1">
      <alignment horizontal="right" vertical="center"/>
    </xf>
    <xf numFmtId="44" fontId="5" fillId="3" borderId="48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15" fontId="5" fillId="0" borderId="44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44" fontId="2" fillId="0" borderId="2" xfId="1" applyFont="1" applyBorder="1"/>
    <xf numFmtId="44" fontId="3" fillId="0" borderId="2" xfId="0" applyNumberFormat="1" applyFont="1" applyFill="1" applyBorder="1" applyAlignment="1">
      <alignment vertical="center"/>
    </xf>
    <xf numFmtId="15" fontId="2" fillId="0" borderId="19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44" fontId="3" fillId="0" borderId="0" xfId="1" applyFont="1"/>
    <xf numFmtId="0" fontId="4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5" fontId="2" fillId="9" borderId="46" xfId="0" applyNumberFormat="1" applyFont="1" applyFill="1" applyBorder="1" applyAlignment="1">
      <alignment horizontal="center"/>
    </xf>
    <xf numFmtId="0" fontId="8" fillId="9" borderId="47" xfId="0" applyFont="1" applyFill="1" applyBorder="1" applyAlignment="1">
      <alignment horizontal="right" vertical="center"/>
    </xf>
    <xf numFmtId="44" fontId="5" fillId="9" borderId="48" xfId="0" applyNumberFormat="1" applyFont="1" applyFill="1" applyBorder="1"/>
    <xf numFmtId="0" fontId="2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0" borderId="50" xfId="1" applyFont="1" applyBorder="1" applyAlignment="1">
      <alignment vertical="center"/>
    </xf>
    <xf numFmtId="44" fontId="2" fillId="0" borderId="7" xfId="1" applyFont="1" applyBorder="1"/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9" fillId="6" borderId="36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4" fillId="3" borderId="3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15" fontId="2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  <color rgb="FF66FF66"/>
      <color rgb="FF00FFFF"/>
      <color rgb="FFFFCCFF"/>
      <color rgb="FF99FF99"/>
      <color rgb="FF800000"/>
      <color rgb="FF0000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217"/>
  <sheetViews>
    <sheetView tabSelected="1" zoomScale="85" zoomScaleNormal="85" workbookViewId="0">
      <pane xSplit="2" ySplit="4" topLeftCell="G5" activePane="bottomRight" state="frozen"/>
      <selection pane="topRight" activeCell="C1" sqref="C1"/>
      <selection pane="bottomLeft" activeCell="A4" sqref="A4"/>
      <selection pane="bottomRight" activeCell="J6" sqref="J6"/>
    </sheetView>
  </sheetViews>
  <sheetFormatPr baseColWidth="10" defaultRowHeight="15" x14ac:dyDescent="0.25"/>
  <cols>
    <col min="1" max="1" width="11.42578125" customWidth="1"/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42578125" customWidth="1"/>
    <col min="9" max="9" width="11" customWidth="1"/>
    <col min="10" max="10" width="13.42578125" customWidth="1"/>
    <col min="11" max="11" width="11.5703125" customWidth="1"/>
    <col min="12" max="12" width="13.1406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3.140625" customWidth="1"/>
    <col min="24" max="24" width="11.5703125" bestFit="1" customWidth="1"/>
  </cols>
  <sheetData>
    <row r="1" spans="2:25" ht="27.75" customHeight="1" thickBot="1" x14ac:dyDescent="0.3">
      <c r="O1" s="211"/>
      <c r="P1" s="212"/>
      <c r="Q1" s="212"/>
      <c r="R1" s="212"/>
      <c r="S1" s="212"/>
      <c r="T1" s="212"/>
      <c r="U1" s="212"/>
      <c r="V1" s="212"/>
      <c r="W1" s="212"/>
      <c r="X1" s="212"/>
    </row>
    <row r="2" spans="2:25" ht="22.5" thickTop="1" thickBot="1" x14ac:dyDescent="0.4">
      <c r="C2" s="187" t="s">
        <v>36</v>
      </c>
      <c r="D2" s="188"/>
      <c r="E2" s="188"/>
      <c r="F2" s="188"/>
      <c r="G2" s="188"/>
      <c r="H2" s="188"/>
      <c r="I2" s="188"/>
      <c r="J2" s="188"/>
      <c r="K2" s="188"/>
      <c r="L2" s="185" t="s">
        <v>42</v>
      </c>
      <c r="M2" s="133"/>
      <c r="N2" s="81"/>
      <c r="O2" s="208" t="s">
        <v>19</v>
      </c>
      <c r="P2" s="209"/>
      <c r="Q2" s="209"/>
      <c r="R2" s="209"/>
      <c r="S2" s="209"/>
      <c r="T2" s="209"/>
      <c r="U2" s="209"/>
      <c r="V2" s="209"/>
      <c r="W2" s="209"/>
      <c r="X2" s="210" t="s">
        <v>42</v>
      </c>
    </row>
    <row r="3" spans="2:25" ht="16.5" thickBot="1" x14ac:dyDescent="0.3">
      <c r="I3" s="189" t="s">
        <v>149</v>
      </c>
      <c r="J3" s="190"/>
      <c r="K3" s="191"/>
      <c r="L3" s="68"/>
      <c r="M3" s="134"/>
      <c r="N3" s="74"/>
      <c r="V3" s="189" t="s">
        <v>152</v>
      </c>
      <c r="W3" s="190"/>
      <c r="X3" s="191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9" t="s">
        <v>38</v>
      </c>
      <c r="T4" s="140" t="s">
        <v>3</v>
      </c>
      <c r="U4" s="140" t="s">
        <v>4</v>
      </c>
      <c r="V4" s="141" t="s">
        <v>25</v>
      </c>
      <c r="W4" s="136" t="s">
        <v>8</v>
      </c>
      <c r="X4" s="144" t="s">
        <v>5</v>
      </c>
    </row>
    <row r="5" spans="2:25" ht="60" x14ac:dyDescent="0.25">
      <c r="B5" s="93" t="s">
        <v>150</v>
      </c>
      <c r="C5" s="107" t="s">
        <v>153</v>
      </c>
      <c r="D5" s="72"/>
      <c r="E5" s="72"/>
      <c r="F5" s="72"/>
      <c r="G5" s="72"/>
      <c r="H5" s="72"/>
      <c r="I5" s="72"/>
      <c r="J5" s="72"/>
      <c r="K5" s="72">
        <f>1777+1054+1013+1333+1334</f>
        <v>6511</v>
      </c>
      <c r="L5" s="70"/>
      <c r="M5" s="131"/>
      <c r="N5" s="74"/>
      <c r="O5" s="93" t="s">
        <v>150</v>
      </c>
      <c r="P5" s="86" t="s">
        <v>161</v>
      </c>
      <c r="Q5" s="72"/>
      <c r="R5" s="72"/>
      <c r="S5" s="72"/>
      <c r="T5" s="72"/>
      <c r="U5" s="72"/>
      <c r="V5" s="72"/>
      <c r="W5" s="72"/>
      <c r="X5" s="104">
        <f>1805+1908+939+1193+1386</f>
        <v>7231</v>
      </c>
    </row>
    <row r="6" spans="2:25" ht="60.75" x14ac:dyDescent="0.25">
      <c r="B6" s="93" t="s">
        <v>150</v>
      </c>
      <c r="C6" s="44" t="s">
        <v>154</v>
      </c>
      <c r="D6" s="67"/>
      <c r="E6" s="67"/>
      <c r="F6" s="67">
        <f>1970</f>
        <v>1970</v>
      </c>
      <c r="G6" s="67"/>
      <c r="H6" s="67"/>
      <c r="I6" s="67"/>
      <c r="J6" s="67"/>
      <c r="K6" s="67"/>
      <c r="L6" s="67"/>
      <c r="M6" s="131"/>
      <c r="N6" s="74"/>
      <c r="O6" s="93" t="s">
        <v>150</v>
      </c>
      <c r="P6" s="89" t="s">
        <v>162</v>
      </c>
      <c r="Q6" s="72"/>
      <c r="R6" s="72"/>
      <c r="S6" s="104">
        <f>3020+87+41</f>
        <v>3148</v>
      </c>
      <c r="T6" s="72"/>
      <c r="U6" s="72"/>
      <c r="V6" s="72"/>
      <c r="W6" s="72"/>
      <c r="X6" s="67"/>
    </row>
    <row r="7" spans="2:25" ht="34.5" customHeight="1" x14ac:dyDescent="0.25">
      <c r="B7" s="93" t="s">
        <v>150</v>
      </c>
      <c r="C7" s="43" t="s">
        <v>155</v>
      </c>
      <c r="D7" s="67">
        <f>85+324+280+202</f>
        <v>891</v>
      </c>
      <c r="E7" s="67"/>
      <c r="F7" s="67"/>
      <c r="G7" s="67"/>
      <c r="H7" s="67"/>
      <c r="I7" s="67"/>
      <c r="J7" s="67"/>
      <c r="K7" s="67"/>
      <c r="L7" s="11"/>
      <c r="M7" s="131"/>
      <c r="N7" s="74"/>
      <c r="O7" s="93" t="s">
        <v>150</v>
      </c>
      <c r="P7" s="89" t="s">
        <v>163</v>
      </c>
      <c r="Q7" s="104">
        <f>385+160+285</f>
        <v>830</v>
      </c>
      <c r="R7" s="72"/>
      <c r="S7" s="72"/>
      <c r="T7" s="72"/>
      <c r="U7" s="72"/>
      <c r="V7" s="72"/>
      <c r="W7" s="72"/>
      <c r="X7" s="67"/>
    </row>
    <row r="8" spans="2:25" ht="43.5" customHeight="1" x14ac:dyDescent="0.25">
      <c r="B8" s="93" t="s">
        <v>150</v>
      </c>
      <c r="C8" s="96" t="s">
        <v>156</v>
      </c>
      <c r="D8" s="67"/>
      <c r="E8" s="67"/>
      <c r="F8" s="67"/>
      <c r="G8" s="67">
        <f>55+20</f>
        <v>75</v>
      </c>
      <c r="H8" s="67"/>
      <c r="I8" s="67"/>
      <c r="J8" s="67"/>
      <c r="K8" s="67"/>
      <c r="L8" s="11"/>
      <c r="M8" s="131"/>
      <c r="N8" s="74"/>
      <c r="O8" s="93" t="s">
        <v>150</v>
      </c>
      <c r="P8" s="87" t="s">
        <v>164</v>
      </c>
      <c r="Q8" s="72"/>
      <c r="R8" s="72"/>
      <c r="S8" s="72"/>
      <c r="T8" s="104">
        <f>55+121</f>
        <v>176</v>
      </c>
      <c r="U8" s="72"/>
      <c r="V8" s="72"/>
      <c r="W8" s="72"/>
      <c r="X8" s="67"/>
    </row>
    <row r="9" spans="2:25" ht="39" customHeight="1" x14ac:dyDescent="0.25">
      <c r="B9" s="93" t="s">
        <v>150</v>
      </c>
      <c r="C9" s="44" t="s">
        <v>46</v>
      </c>
      <c r="D9" s="67"/>
      <c r="E9" s="67"/>
      <c r="F9" s="67"/>
      <c r="G9" s="67"/>
      <c r="H9" s="67"/>
      <c r="I9" s="67"/>
      <c r="J9" s="67"/>
      <c r="K9" s="67"/>
      <c r="L9" s="11">
        <v>500</v>
      </c>
      <c r="M9" s="131"/>
      <c r="N9" s="74"/>
      <c r="O9" s="93" t="s">
        <v>150</v>
      </c>
      <c r="P9" s="89" t="s">
        <v>168</v>
      </c>
      <c r="Q9" s="72"/>
      <c r="R9" s="104">
        <f>50+443+432+130</f>
        <v>1055</v>
      </c>
      <c r="S9" s="72"/>
      <c r="T9" s="72"/>
      <c r="U9" s="72"/>
      <c r="V9" s="72"/>
      <c r="W9" s="72"/>
      <c r="X9" s="67"/>
    </row>
    <row r="10" spans="2:25" ht="24" customHeight="1" x14ac:dyDescent="0.25">
      <c r="B10" s="93" t="s">
        <v>150</v>
      </c>
      <c r="C10" s="44" t="s">
        <v>157</v>
      </c>
      <c r="D10" s="67"/>
      <c r="E10" s="67"/>
      <c r="F10" s="67"/>
      <c r="G10" s="67"/>
      <c r="H10" s="67"/>
      <c r="I10" s="67">
        <v>716</v>
      </c>
      <c r="J10" s="67"/>
      <c r="K10" s="67"/>
      <c r="L10" s="11"/>
      <c r="M10" s="131"/>
      <c r="N10" s="74"/>
      <c r="O10" s="93" t="s">
        <v>150</v>
      </c>
      <c r="P10" s="98" t="s">
        <v>165</v>
      </c>
      <c r="Q10" s="72"/>
      <c r="R10" s="72"/>
      <c r="S10" s="72"/>
      <c r="T10" s="72"/>
      <c r="U10" s="72"/>
      <c r="V10" s="104">
        <f>170+170+221+170+204</f>
        <v>935</v>
      </c>
      <c r="W10" s="72"/>
      <c r="X10" s="67"/>
    </row>
    <row r="11" spans="2:25" ht="60" x14ac:dyDescent="0.25">
      <c r="B11" s="93" t="s">
        <v>150</v>
      </c>
      <c r="C11" s="44" t="s">
        <v>159</v>
      </c>
      <c r="D11" s="67"/>
      <c r="E11" s="67"/>
      <c r="F11" s="67"/>
      <c r="G11" s="67"/>
      <c r="H11" s="67"/>
      <c r="I11" s="67"/>
      <c r="J11" s="94">
        <f>440+19+261</f>
        <v>720</v>
      </c>
      <c r="K11" s="67"/>
      <c r="L11" s="11"/>
      <c r="M11" s="131"/>
      <c r="N11" s="74"/>
      <c r="O11" s="93" t="s">
        <v>150</v>
      </c>
      <c r="P11" s="87" t="s">
        <v>166</v>
      </c>
      <c r="Q11" s="72"/>
      <c r="R11" s="72"/>
      <c r="S11" s="72"/>
      <c r="T11" s="72"/>
      <c r="U11" s="72"/>
      <c r="V11" s="72"/>
      <c r="W11" s="104">
        <f>805+473+669</f>
        <v>1947</v>
      </c>
      <c r="X11" s="67"/>
      <c r="Y11" s="129"/>
    </row>
    <row r="12" spans="2:25" ht="24" customHeight="1" x14ac:dyDescent="0.25">
      <c r="B12" s="93" t="s">
        <v>150</v>
      </c>
      <c r="C12" s="42" t="s">
        <v>158</v>
      </c>
      <c r="D12" s="67"/>
      <c r="E12" s="67"/>
      <c r="F12" s="67"/>
      <c r="G12" s="67"/>
      <c r="H12" s="67"/>
      <c r="I12" s="67"/>
      <c r="J12" s="67">
        <v>1500</v>
      </c>
      <c r="K12" s="67"/>
      <c r="L12" s="11"/>
      <c r="M12" s="131"/>
      <c r="N12" s="74"/>
      <c r="O12" s="93" t="s">
        <v>150</v>
      </c>
      <c r="P12" s="90" t="s">
        <v>4</v>
      </c>
      <c r="Q12" s="72"/>
      <c r="R12" s="72"/>
      <c r="S12" s="72"/>
      <c r="T12" s="72"/>
      <c r="U12" s="72"/>
      <c r="V12" s="104">
        <v>688</v>
      </c>
      <c r="W12" s="72"/>
      <c r="X12" s="67"/>
    </row>
    <row r="13" spans="2:25" ht="44.25" customHeight="1" x14ac:dyDescent="0.25">
      <c r="B13" s="93" t="s">
        <v>150</v>
      </c>
      <c r="C13" s="95" t="s">
        <v>96</v>
      </c>
      <c r="D13" s="67"/>
      <c r="E13" s="67"/>
      <c r="F13" s="67"/>
      <c r="G13" s="67"/>
      <c r="H13" s="67">
        <f>102+68+238+85+204</f>
        <v>697</v>
      </c>
      <c r="I13" s="67"/>
      <c r="J13" s="67"/>
      <c r="K13" s="67"/>
      <c r="L13" s="11"/>
      <c r="M13" s="131"/>
      <c r="N13" s="74"/>
      <c r="O13" s="93" t="s">
        <v>150</v>
      </c>
      <c r="P13" s="186" t="s">
        <v>167</v>
      </c>
      <c r="Q13" s="72"/>
      <c r="R13" s="72"/>
      <c r="S13" s="72"/>
      <c r="T13" s="72"/>
      <c r="U13" s="72"/>
      <c r="V13" s="104">
        <v>1440</v>
      </c>
      <c r="W13" s="72"/>
      <c r="X13" s="67"/>
    </row>
    <row r="14" spans="2:25" ht="24" customHeight="1" x14ac:dyDescent="0.25">
      <c r="B14" s="93" t="s">
        <v>150</v>
      </c>
      <c r="C14" s="42" t="s">
        <v>11</v>
      </c>
      <c r="D14" s="67"/>
      <c r="E14" s="67"/>
      <c r="F14" s="67"/>
      <c r="G14" s="67"/>
      <c r="H14" s="67">
        <f>380+380+470</f>
        <v>1230</v>
      </c>
      <c r="I14" s="67"/>
      <c r="J14" s="67"/>
      <c r="K14" s="67"/>
      <c r="L14" s="11"/>
      <c r="M14" s="131"/>
      <c r="N14" s="74"/>
      <c r="O14" s="93" t="s">
        <v>150</v>
      </c>
      <c r="P14" s="88" t="s">
        <v>140</v>
      </c>
      <c r="Q14" s="72"/>
      <c r="R14" s="72"/>
      <c r="S14" s="72"/>
      <c r="T14" s="72"/>
      <c r="U14" s="72"/>
      <c r="V14" s="104">
        <f>700+700+710+3464</f>
        <v>5574</v>
      </c>
      <c r="W14" s="72"/>
      <c r="X14" s="67"/>
    </row>
    <row r="15" spans="2:25" x14ac:dyDescent="0.25">
      <c r="B15" s="93" t="s">
        <v>150</v>
      </c>
      <c r="C15" s="95" t="s">
        <v>160</v>
      </c>
      <c r="D15" s="67"/>
      <c r="E15" s="67">
        <v>212</v>
      </c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x14ac:dyDescent="0.25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thickBot="1" x14ac:dyDescent="0.3">
      <c r="B18" s="9"/>
      <c r="C18" s="34"/>
      <c r="D18" s="73">
        <v>0</v>
      </c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C19" s="35" t="s">
        <v>18</v>
      </c>
      <c r="D19" s="30">
        <f t="shared" ref="D19:L19" si="0">SUM(D5:D18)</f>
        <v>891</v>
      </c>
      <c r="E19" s="31">
        <f t="shared" si="0"/>
        <v>212</v>
      </c>
      <c r="F19" s="31">
        <f t="shared" si="0"/>
        <v>1970</v>
      </c>
      <c r="G19" s="31">
        <f t="shared" si="0"/>
        <v>75</v>
      </c>
      <c r="H19" s="31">
        <f t="shared" si="0"/>
        <v>1927</v>
      </c>
      <c r="I19" s="31">
        <f t="shared" si="0"/>
        <v>716</v>
      </c>
      <c r="J19" s="22">
        <f t="shared" si="0"/>
        <v>2220</v>
      </c>
      <c r="K19" s="32">
        <f t="shared" si="0"/>
        <v>6511</v>
      </c>
      <c r="L19" s="100">
        <f t="shared" si="0"/>
        <v>500</v>
      </c>
      <c r="M19" s="132"/>
      <c r="N19" s="74"/>
      <c r="P19" s="33" t="s">
        <v>18</v>
      </c>
      <c r="Q19" s="21">
        <f t="shared" ref="Q19:X19" si="1">SUM(Q5:Q18)</f>
        <v>830</v>
      </c>
      <c r="R19" s="21">
        <f t="shared" si="1"/>
        <v>1055</v>
      </c>
      <c r="S19" s="21">
        <f t="shared" si="1"/>
        <v>3148</v>
      </c>
      <c r="T19" s="21">
        <f t="shared" si="1"/>
        <v>176</v>
      </c>
      <c r="U19" s="21">
        <f t="shared" si="1"/>
        <v>0</v>
      </c>
      <c r="V19" s="21">
        <f t="shared" si="1"/>
        <v>8637</v>
      </c>
      <c r="W19" s="21">
        <f t="shared" si="1"/>
        <v>1947</v>
      </c>
      <c r="X19" s="21">
        <f t="shared" si="1"/>
        <v>7231</v>
      </c>
    </row>
    <row r="20" spans="2:24" ht="15.75" thickBot="1" x14ac:dyDescent="0.3"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D21" s="5"/>
      <c r="E21" s="5"/>
      <c r="F21" s="192">
        <f>K19+J19+I19+H19+G19+F19+E19+D19+L19</f>
        <v>15022</v>
      </c>
      <c r="G21" s="193"/>
      <c r="H21" s="194"/>
      <c r="I21" s="5"/>
      <c r="J21" s="5"/>
      <c r="K21" s="5"/>
      <c r="L21" s="71"/>
      <c r="M21" s="74"/>
      <c r="N21" s="74"/>
      <c r="Q21" s="5"/>
      <c r="R21" s="5"/>
      <c r="S21" s="197">
        <f>Q19+R19+S19+T19+U19+V19+W19+X19</f>
        <v>23024</v>
      </c>
      <c r="T21" s="198"/>
      <c r="U21" s="199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J22" s="5"/>
      <c r="K22" s="5"/>
      <c r="L22" s="71"/>
      <c r="M22" s="74"/>
      <c r="N22" s="74"/>
      <c r="Q22" s="5"/>
      <c r="R22" s="5"/>
      <c r="S22" s="5"/>
      <c r="T22" s="5"/>
      <c r="U22" s="5"/>
      <c r="V22" s="5"/>
      <c r="W22" s="5"/>
      <c r="X22" s="5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</row>
    <row r="24" spans="2:24" x14ac:dyDescent="0.25">
      <c r="D24" s="5"/>
      <c r="E24" s="5"/>
      <c r="F24" s="5"/>
      <c r="G24" s="5"/>
      <c r="H24" s="5"/>
      <c r="I24" s="5"/>
      <c r="J24" s="5"/>
      <c r="K24" s="5"/>
      <c r="L24" s="71"/>
      <c r="M24" s="74"/>
      <c r="N24" s="74"/>
    </row>
    <row r="29" spans="2:24" ht="15.75" thickBot="1" x14ac:dyDescent="0.3"/>
    <row r="30" spans="2:24" ht="22.5" thickTop="1" thickBot="1" x14ac:dyDescent="0.4">
      <c r="C30" s="187" t="s">
        <v>36</v>
      </c>
      <c r="D30" s="188"/>
      <c r="E30" s="188"/>
      <c r="F30" s="188"/>
      <c r="G30" s="188"/>
      <c r="H30" s="188"/>
      <c r="I30" s="188"/>
      <c r="J30" s="188"/>
      <c r="K30" s="188"/>
      <c r="L30" s="185" t="s">
        <v>41</v>
      </c>
      <c r="M30" s="133"/>
      <c r="N30" s="81"/>
      <c r="O30" s="195" t="s">
        <v>19</v>
      </c>
      <c r="P30" s="196"/>
      <c r="Q30" s="196"/>
      <c r="R30" s="196"/>
      <c r="S30" s="196"/>
      <c r="T30" s="196"/>
      <c r="U30" s="196"/>
      <c r="V30" s="196"/>
      <c r="W30" s="196"/>
      <c r="X30" s="128" t="s">
        <v>41</v>
      </c>
    </row>
    <row r="31" spans="2:24" ht="16.5" thickBot="1" x14ac:dyDescent="0.3">
      <c r="I31" s="189" t="s">
        <v>129</v>
      </c>
      <c r="J31" s="190"/>
      <c r="K31" s="191"/>
      <c r="L31" s="68"/>
      <c r="M31" s="134"/>
      <c r="N31" s="74"/>
      <c r="V31" s="189" t="s">
        <v>151</v>
      </c>
      <c r="W31" s="190"/>
      <c r="X31" s="191"/>
    </row>
    <row r="32" spans="2:24" ht="64.5" thickTop="1" thickBot="1" x14ac:dyDescent="0.3">
      <c r="B32" s="6" t="s">
        <v>0</v>
      </c>
      <c r="C32" s="24" t="s">
        <v>1</v>
      </c>
      <c r="D32" s="25" t="s">
        <v>2</v>
      </c>
      <c r="E32" s="26" t="s">
        <v>7</v>
      </c>
      <c r="F32" s="56" t="s">
        <v>38</v>
      </c>
      <c r="G32" s="25" t="s">
        <v>3</v>
      </c>
      <c r="H32" s="27" t="s">
        <v>22</v>
      </c>
      <c r="I32" s="60" t="s">
        <v>4</v>
      </c>
      <c r="J32" s="61" t="s">
        <v>8</v>
      </c>
      <c r="K32" s="62" t="s">
        <v>5</v>
      </c>
      <c r="L32" s="99" t="s">
        <v>46</v>
      </c>
      <c r="M32" s="135"/>
      <c r="N32" s="82"/>
      <c r="O32" s="36" t="s">
        <v>0</v>
      </c>
      <c r="P32" s="143" t="s">
        <v>1</v>
      </c>
      <c r="Q32" s="137" t="s">
        <v>2</v>
      </c>
      <c r="R32" s="138" t="s">
        <v>16</v>
      </c>
      <c r="S32" s="139" t="s">
        <v>38</v>
      </c>
      <c r="T32" s="140" t="s">
        <v>3</v>
      </c>
      <c r="U32" s="140" t="s">
        <v>4</v>
      </c>
      <c r="V32" s="141" t="s">
        <v>25</v>
      </c>
      <c r="W32" s="136" t="s">
        <v>8</v>
      </c>
      <c r="X32" s="144" t="s">
        <v>5</v>
      </c>
    </row>
    <row r="33" spans="2:27" ht="75" x14ac:dyDescent="0.25">
      <c r="B33" s="93" t="s">
        <v>123</v>
      </c>
      <c r="C33" s="107" t="s">
        <v>130</v>
      </c>
      <c r="D33" s="72"/>
      <c r="E33" s="72"/>
      <c r="F33" s="72"/>
      <c r="G33" s="72"/>
      <c r="H33" s="72"/>
      <c r="I33" s="72"/>
      <c r="J33" s="72"/>
      <c r="K33" s="72">
        <f>2361+1550+386+1883+642+964</f>
        <v>7786</v>
      </c>
      <c r="L33" s="70"/>
      <c r="M33" s="131"/>
      <c r="N33" s="74"/>
      <c r="O33" s="93" t="s">
        <v>133</v>
      </c>
      <c r="P33" s="86" t="s">
        <v>134</v>
      </c>
      <c r="Q33" s="72"/>
      <c r="R33" s="72"/>
      <c r="S33" s="72"/>
      <c r="T33" s="72"/>
      <c r="U33" s="72"/>
      <c r="V33" s="72"/>
      <c r="W33" s="72"/>
      <c r="X33" s="72">
        <f>2377+2781+1874+429+754</f>
        <v>8215</v>
      </c>
    </row>
    <row r="34" spans="2:27" ht="51.75" customHeight="1" x14ac:dyDescent="0.25">
      <c r="B34" s="93" t="s">
        <v>123</v>
      </c>
      <c r="C34" s="44" t="s">
        <v>131</v>
      </c>
      <c r="D34" s="67"/>
      <c r="E34" s="67"/>
      <c r="F34" s="67">
        <f>1380+370+88+238</f>
        <v>2076</v>
      </c>
      <c r="G34" s="67"/>
      <c r="H34" s="67"/>
      <c r="I34" s="67"/>
      <c r="J34" s="67"/>
      <c r="K34" s="67"/>
      <c r="L34" s="67"/>
      <c r="M34" s="131"/>
      <c r="N34" s="74"/>
      <c r="O34" s="93" t="s">
        <v>133</v>
      </c>
      <c r="P34" s="89" t="s">
        <v>136</v>
      </c>
      <c r="Q34" s="72"/>
      <c r="R34" s="72"/>
      <c r="S34" s="72">
        <f>180+148+36+2475</f>
        <v>2839</v>
      </c>
      <c r="T34" s="72"/>
      <c r="U34" s="72"/>
      <c r="V34" s="72"/>
      <c r="W34" s="72"/>
      <c r="X34" s="67"/>
    </row>
    <row r="35" spans="2:27" ht="29.25" customHeight="1" x14ac:dyDescent="0.25">
      <c r="B35" s="93" t="s">
        <v>123</v>
      </c>
      <c r="C35" s="43" t="s">
        <v>124</v>
      </c>
      <c r="D35" s="67">
        <f>47+72.5+247+54+245</f>
        <v>665.5</v>
      </c>
      <c r="E35" s="67"/>
      <c r="F35" s="67"/>
      <c r="G35" s="67"/>
      <c r="H35" s="67"/>
      <c r="I35" s="67"/>
      <c r="J35" s="67"/>
      <c r="K35" s="67"/>
      <c r="L35" s="11"/>
      <c r="M35" s="131"/>
      <c r="N35" s="74"/>
      <c r="O35" s="93" t="s">
        <v>133</v>
      </c>
      <c r="P35" s="89" t="s">
        <v>137</v>
      </c>
      <c r="Q35" s="72">
        <f>330+158+288+87</f>
        <v>863</v>
      </c>
      <c r="R35" s="72"/>
      <c r="S35" s="72"/>
      <c r="T35" s="72"/>
      <c r="U35" s="72"/>
      <c r="V35" s="72"/>
      <c r="W35" s="72"/>
      <c r="X35" s="67"/>
    </row>
    <row r="36" spans="2:27" ht="60" x14ac:dyDescent="0.25">
      <c r="B36" s="93" t="s">
        <v>123</v>
      </c>
      <c r="C36" s="96" t="s">
        <v>125</v>
      </c>
      <c r="D36" s="67"/>
      <c r="E36" s="67"/>
      <c r="F36" s="67"/>
      <c r="G36" s="67">
        <v>140</v>
      </c>
      <c r="H36" s="67"/>
      <c r="I36" s="67"/>
      <c r="J36" s="67"/>
      <c r="K36" s="67"/>
      <c r="L36" s="11"/>
      <c r="M36" s="131"/>
      <c r="N36" s="74"/>
      <c r="O36" s="93" t="s">
        <v>133</v>
      </c>
      <c r="P36" s="87" t="s">
        <v>135</v>
      </c>
      <c r="Q36" s="72"/>
      <c r="R36" s="72"/>
      <c r="S36" s="72"/>
      <c r="T36" s="72">
        <v>145</v>
      </c>
      <c r="U36" s="72"/>
      <c r="V36" s="72"/>
      <c r="W36" s="72"/>
      <c r="X36" s="67"/>
    </row>
    <row r="37" spans="2:27" ht="36" customHeight="1" x14ac:dyDescent="0.25">
      <c r="B37" s="93" t="s">
        <v>123</v>
      </c>
      <c r="C37" s="44" t="s">
        <v>46</v>
      </c>
      <c r="D37" s="67"/>
      <c r="E37" s="67"/>
      <c r="F37" s="67"/>
      <c r="G37" s="67"/>
      <c r="H37" s="67"/>
      <c r="I37" s="67"/>
      <c r="J37" s="67"/>
      <c r="K37" s="67"/>
      <c r="L37" s="11">
        <v>500</v>
      </c>
      <c r="M37" s="131"/>
      <c r="N37" s="74"/>
      <c r="O37" s="93" t="s">
        <v>133</v>
      </c>
      <c r="P37" s="89" t="s">
        <v>138</v>
      </c>
      <c r="Q37" s="72"/>
      <c r="R37" s="72">
        <v>1081</v>
      </c>
      <c r="S37" s="72"/>
      <c r="T37" s="72"/>
      <c r="U37" s="72"/>
      <c r="V37" s="72"/>
      <c r="W37" s="72"/>
      <c r="X37" s="67"/>
    </row>
    <row r="38" spans="2:27" ht="28.5" customHeight="1" x14ac:dyDescent="0.25">
      <c r="B38" s="93" t="s">
        <v>123</v>
      </c>
      <c r="C38" s="44" t="s">
        <v>126</v>
      </c>
      <c r="D38" s="67"/>
      <c r="E38" s="67">
        <v>68</v>
      </c>
      <c r="F38" s="67"/>
      <c r="G38" s="67"/>
      <c r="H38" s="67"/>
      <c r="I38" s="67"/>
      <c r="J38" s="67"/>
      <c r="K38" s="67"/>
      <c r="L38" s="11"/>
      <c r="M38" s="131"/>
      <c r="N38" s="74"/>
      <c r="O38" s="93" t="s">
        <v>133</v>
      </c>
      <c r="P38" s="89"/>
      <c r="Q38" s="72"/>
      <c r="R38" s="72"/>
      <c r="S38" s="72"/>
      <c r="T38" s="72"/>
      <c r="U38" s="72"/>
      <c r="V38" s="72"/>
      <c r="W38" s="72"/>
      <c r="X38" s="67"/>
    </row>
    <row r="39" spans="2:27" ht="31.5" customHeight="1" x14ac:dyDescent="0.25">
      <c r="B39" s="93" t="s">
        <v>123</v>
      </c>
      <c r="C39" s="44" t="s">
        <v>128</v>
      </c>
      <c r="D39" s="67"/>
      <c r="E39" s="67"/>
      <c r="F39" s="67"/>
      <c r="G39" s="67"/>
      <c r="H39" s="67"/>
      <c r="I39" s="67"/>
      <c r="J39" s="94">
        <f>155+626</f>
        <v>781</v>
      </c>
      <c r="K39" s="67"/>
      <c r="L39" s="11"/>
      <c r="M39" s="131"/>
      <c r="N39" s="74"/>
      <c r="O39" s="93" t="s">
        <v>133</v>
      </c>
      <c r="P39" s="87" t="s">
        <v>139</v>
      </c>
      <c r="Q39" s="72"/>
      <c r="R39" s="72"/>
      <c r="S39" s="72"/>
      <c r="T39" s="72"/>
      <c r="U39" s="72"/>
      <c r="V39" s="72"/>
      <c r="W39" s="72">
        <f>900+345</f>
        <v>1245</v>
      </c>
      <c r="X39" s="67"/>
      <c r="Y39" s="129"/>
      <c r="Z39" s="80"/>
      <c r="AA39" s="80"/>
    </row>
    <row r="40" spans="2:27" x14ac:dyDescent="0.25">
      <c r="B40" s="93" t="s">
        <v>123</v>
      </c>
      <c r="C40" s="42" t="s">
        <v>127</v>
      </c>
      <c r="D40" s="67"/>
      <c r="E40" s="67"/>
      <c r="F40" s="67"/>
      <c r="G40" s="67"/>
      <c r="H40" s="67"/>
      <c r="I40" s="67">
        <v>850</v>
      </c>
      <c r="J40" s="67"/>
      <c r="K40" s="67"/>
      <c r="L40" s="11"/>
      <c r="M40" s="131"/>
      <c r="N40" s="74"/>
      <c r="O40" s="93" t="s">
        <v>133</v>
      </c>
      <c r="P40" s="90" t="s">
        <v>4</v>
      </c>
      <c r="Q40" s="72"/>
      <c r="R40" s="72"/>
      <c r="S40" s="72"/>
      <c r="T40" s="72"/>
      <c r="U40" s="72">
        <v>729</v>
      </c>
      <c r="V40" s="72"/>
      <c r="W40" s="72"/>
      <c r="X40" s="67"/>
    </row>
    <row r="41" spans="2:27" ht="22.5" customHeight="1" x14ac:dyDescent="0.25">
      <c r="B41" s="93" t="s">
        <v>123</v>
      </c>
      <c r="C41" s="95" t="s">
        <v>96</v>
      </c>
      <c r="D41" s="67"/>
      <c r="E41" s="67"/>
      <c r="F41" s="67"/>
      <c r="G41" s="67"/>
      <c r="H41" s="67">
        <f>119+51+68+68+102+68</f>
        <v>476</v>
      </c>
      <c r="I41" s="67"/>
      <c r="J41" s="67"/>
      <c r="K41" s="67"/>
      <c r="L41" s="11"/>
      <c r="M41" s="131"/>
      <c r="N41" s="74"/>
      <c r="O41" s="93" t="s">
        <v>133</v>
      </c>
      <c r="P41" s="98" t="s">
        <v>132</v>
      </c>
      <c r="Q41" s="72"/>
      <c r="R41" s="72"/>
      <c r="S41" s="72"/>
      <c r="T41" s="72"/>
      <c r="U41" s="72"/>
      <c r="V41" s="72">
        <f>270+153+170+204+170+204</f>
        <v>1171</v>
      </c>
      <c r="W41" s="72"/>
      <c r="X41" s="67"/>
    </row>
    <row r="42" spans="2:27" ht="18.75" customHeight="1" x14ac:dyDescent="0.25">
      <c r="B42" s="93" t="s">
        <v>123</v>
      </c>
      <c r="C42" s="42" t="s">
        <v>11</v>
      </c>
      <c r="D42" s="67"/>
      <c r="E42" s="67"/>
      <c r="F42" s="67"/>
      <c r="G42" s="67"/>
      <c r="H42" s="67">
        <f>380+380+470</f>
        <v>1230</v>
      </c>
      <c r="I42" s="67"/>
      <c r="J42" s="67"/>
      <c r="K42" s="67"/>
      <c r="L42" s="11"/>
      <c r="M42" s="131"/>
      <c r="N42" s="74"/>
      <c r="O42" s="93"/>
      <c r="P42" s="88" t="s">
        <v>140</v>
      </c>
      <c r="Q42" s="72"/>
      <c r="R42" s="72"/>
      <c r="S42" s="72"/>
      <c r="T42" s="72"/>
      <c r="U42" s="72"/>
      <c r="V42" s="72">
        <f>700+700+710+2566+310</f>
        <v>4986</v>
      </c>
      <c r="W42" s="72"/>
      <c r="X42" s="67"/>
    </row>
    <row r="43" spans="2:27" ht="18.75" customHeight="1" x14ac:dyDescent="0.25">
      <c r="B43" s="93" t="s">
        <v>123</v>
      </c>
      <c r="C43" s="95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88"/>
      <c r="Q43" s="72"/>
      <c r="R43" s="72"/>
      <c r="S43" s="72"/>
      <c r="T43" s="72"/>
      <c r="U43" s="72"/>
      <c r="V43" s="72"/>
      <c r="W43" s="72"/>
      <c r="X43" s="67"/>
    </row>
    <row r="44" spans="2:27" ht="18.75" customHeight="1" x14ac:dyDescent="0.25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7" x14ac:dyDescent="0.25">
      <c r="B45" s="93"/>
      <c r="C45" s="10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91"/>
      <c r="Q45" s="67"/>
      <c r="R45" s="67"/>
      <c r="S45" s="67"/>
      <c r="T45" s="67"/>
      <c r="U45" s="67"/>
      <c r="V45" s="67"/>
      <c r="W45" s="67"/>
      <c r="X45" s="67"/>
    </row>
    <row r="46" spans="2:27" ht="15.75" thickBot="1" x14ac:dyDescent="0.3">
      <c r="B46" s="9"/>
      <c r="C46" s="34"/>
      <c r="D46" s="73">
        <v>0</v>
      </c>
      <c r="E46" s="73"/>
      <c r="F46" s="73"/>
      <c r="G46" s="73"/>
      <c r="H46" s="73"/>
      <c r="I46" s="73"/>
      <c r="J46" s="73"/>
      <c r="K46" s="73"/>
      <c r="L46" s="20"/>
      <c r="M46" s="131"/>
      <c r="N46" s="74"/>
      <c r="O46" s="46"/>
      <c r="P46" s="51"/>
      <c r="Q46" s="73">
        <v>0</v>
      </c>
      <c r="R46" s="73"/>
      <c r="S46" s="73"/>
      <c r="T46" s="73"/>
      <c r="U46" s="73"/>
      <c r="V46" s="73"/>
      <c r="W46" s="73"/>
      <c r="X46" s="73"/>
    </row>
    <row r="47" spans="2:27" ht="24" thickBot="1" x14ac:dyDescent="0.3">
      <c r="C47" s="35" t="s">
        <v>18</v>
      </c>
      <c r="D47" s="30">
        <f t="shared" ref="D47" si="2">SUM(D33:D46)</f>
        <v>665.5</v>
      </c>
      <c r="E47" s="31">
        <f t="shared" ref="E47:L47" si="3">SUM(E33:E46)</f>
        <v>68</v>
      </c>
      <c r="F47" s="31">
        <f t="shared" si="3"/>
        <v>2076</v>
      </c>
      <c r="G47" s="31">
        <f t="shared" si="3"/>
        <v>140</v>
      </c>
      <c r="H47" s="31">
        <f t="shared" si="3"/>
        <v>1706</v>
      </c>
      <c r="I47" s="31">
        <f t="shared" si="3"/>
        <v>850</v>
      </c>
      <c r="J47" s="22">
        <f t="shared" si="3"/>
        <v>781</v>
      </c>
      <c r="K47" s="32">
        <f t="shared" si="3"/>
        <v>7786</v>
      </c>
      <c r="L47" s="100">
        <f t="shared" si="3"/>
        <v>500</v>
      </c>
      <c r="M47" s="132"/>
      <c r="N47" s="74"/>
      <c r="P47" s="33" t="s">
        <v>18</v>
      </c>
      <c r="Q47" s="21">
        <f t="shared" ref="Q47:X47" si="4">SUM(Q33:Q46)</f>
        <v>863</v>
      </c>
      <c r="R47" s="21">
        <f t="shared" si="4"/>
        <v>1081</v>
      </c>
      <c r="S47" s="21">
        <f t="shared" si="4"/>
        <v>2839</v>
      </c>
      <c r="T47" s="21">
        <f t="shared" si="4"/>
        <v>145</v>
      </c>
      <c r="U47" s="21">
        <f t="shared" si="4"/>
        <v>729</v>
      </c>
      <c r="V47" s="21">
        <f t="shared" si="4"/>
        <v>6157</v>
      </c>
      <c r="W47" s="21">
        <f t="shared" si="4"/>
        <v>1245</v>
      </c>
      <c r="X47" s="21">
        <f t="shared" si="4"/>
        <v>8215</v>
      </c>
    </row>
    <row r="48" spans="2:27" ht="15.75" thickBot="1" x14ac:dyDescent="0.3">
      <c r="D48" s="5"/>
      <c r="E48" s="5"/>
      <c r="F48" s="5"/>
      <c r="G48" s="5"/>
      <c r="H48" s="5"/>
      <c r="I48" s="5"/>
      <c r="J48" s="5"/>
      <c r="K48" s="5"/>
      <c r="L48" s="78"/>
      <c r="M48" s="76"/>
      <c r="N48" s="74"/>
      <c r="Q48" s="5"/>
      <c r="R48" s="5"/>
      <c r="S48" s="5"/>
      <c r="T48" s="5"/>
      <c r="U48" s="5"/>
      <c r="V48" s="5"/>
      <c r="W48" s="5"/>
      <c r="X48" s="5"/>
    </row>
    <row r="49" spans="4:24" ht="21.75" thickBot="1" x14ac:dyDescent="0.4">
      <c r="D49" s="5"/>
      <c r="E49" s="5"/>
      <c r="F49" s="192">
        <f>K47+J47+I47+H47+G47+F47+E47+D47+L47</f>
        <v>14572.5</v>
      </c>
      <c r="G49" s="193"/>
      <c r="H49" s="194"/>
      <c r="I49" s="5"/>
      <c r="J49" s="5"/>
      <c r="K49" s="5"/>
      <c r="L49" s="71"/>
      <c r="M49" s="74"/>
      <c r="N49" s="74"/>
      <c r="Q49" s="5"/>
      <c r="R49" s="5"/>
      <c r="S49" s="197">
        <f>Q47+R47+S47+T47+U47+V47+W47+X47</f>
        <v>21274</v>
      </c>
      <c r="T49" s="198"/>
      <c r="U49" s="199"/>
      <c r="V49" s="5"/>
      <c r="W49" s="5"/>
      <c r="X49" s="5"/>
    </row>
    <row r="50" spans="4:24" x14ac:dyDescent="0.25">
      <c r="D50" s="5"/>
      <c r="E50" s="5"/>
      <c r="F50" s="5"/>
      <c r="G50" s="5"/>
      <c r="H50" s="5"/>
      <c r="J50" s="5"/>
      <c r="K50" s="5"/>
      <c r="L50" s="71"/>
      <c r="M50" s="74"/>
      <c r="N50" s="74"/>
      <c r="Q50" s="5"/>
      <c r="R50" s="5"/>
      <c r="S50" s="5"/>
      <c r="T50" s="5"/>
      <c r="U50" s="5"/>
      <c r="V50" s="5"/>
      <c r="W50" s="5"/>
      <c r="X50" s="5"/>
    </row>
    <row r="51" spans="4:24" x14ac:dyDescent="0.25">
      <c r="D51" s="5"/>
      <c r="E51" s="5"/>
      <c r="F51" s="5"/>
      <c r="G51" s="5"/>
      <c r="H51" s="5"/>
      <c r="I51" s="5"/>
      <c r="J51" s="5"/>
      <c r="K51" s="5"/>
      <c r="L51" s="71"/>
      <c r="M51" s="74"/>
      <c r="N51" s="74"/>
    </row>
    <row r="52" spans="4:24" x14ac:dyDescent="0.25">
      <c r="D52" s="5"/>
      <c r="E52" s="5"/>
      <c r="F52" s="5"/>
      <c r="G52" s="5"/>
      <c r="H52" s="5"/>
      <c r="I52" s="5"/>
      <c r="J52" s="5"/>
      <c r="K52" s="5"/>
      <c r="L52" s="71"/>
      <c r="M52" s="74"/>
      <c r="N52" s="74"/>
    </row>
    <row r="53" spans="4:24" x14ac:dyDescent="0.25">
      <c r="L53" s="130"/>
      <c r="M53" s="130"/>
      <c r="N53" s="74"/>
    </row>
    <row r="91" spans="2:24" ht="15.75" thickBot="1" x14ac:dyDescent="0.3"/>
    <row r="92" spans="2:24" ht="22.5" thickTop="1" thickBot="1" x14ac:dyDescent="0.4">
      <c r="C92" s="187" t="s">
        <v>36</v>
      </c>
      <c r="D92" s="188"/>
      <c r="E92" s="188"/>
      <c r="F92" s="188"/>
      <c r="G92" s="188"/>
      <c r="H92" s="188"/>
      <c r="I92" s="188"/>
      <c r="J92" s="188"/>
      <c r="K92" s="188"/>
      <c r="L92" s="84" t="s">
        <v>88</v>
      </c>
      <c r="M92" s="83"/>
      <c r="N92" s="81"/>
      <c r="O92" s="195" t="s">
        <v>19</v>
      </c>
      <c r="P92" s="196"/>
      <c r="Q92" s="196"/>
      <c r="R92" s="196"/>
      <c r="S92" s="196"/>
      <c r="T92" s="196"/>
      <c r="U92" s="196"/>
      <c r="V92" s="196"/>
      <c r="W92" s="196"/>
      <c r="X92" s="85" t="s">
        <v>88</v>
      </c>
    </row>
    <row r="93" spans="2:24" ht="16.5" thickBot="1" x14ac:dyDescent="0.3">
      <c r="I93" s="189" t="s">
        <v>107</v>
      </c>
      <c r="J93" s="190"/>
      <c r="K93" s="191"/>
      <c r="L93" s="68"/>
      <c r="M93" s="59"/>
      <c r="N93" s="74"/>
      <c r="V93" s="189" t="s">
        <v>107</v>
      </c>
      <c r="W93" s="190"/>
      <c r="X93" s="191"/>
    </row>
    <row r="94" spans="2:24" ht="64.5" thickTop="1" thickBot="1" x14ac:dyDescent="0.3">
      <c r="B94" s="6" t="s">
        <v>0</v>
      </c>
      <c r="C94" s="24" t="s">
        <v>1</v>
      </c>
      <c r="D94" s="25" t="s">
        <v>2</v>
      </c>
      <c r="E94" s="26" t="s">
        <v>7</v>
      </c>
      <c r="F94" s="56" t="s">
        <v>38</v>
      </c>
      <c r="G94" s="25" t="s">
        <v>3</v>
      </c>
      <c r="H94" s="27" t="s">
        <v>22</v>
      </c>
      <c r="I94" s="60" t="s">
        <v>4</v>
      </c>
      <c r="J94" s="61" t="s">
        <v>8</v>
      </c>
      <c r="K94" s="62" t="s">
        <v>5</v>
      </c>
      <c r="L94" s="99" t="s">
        <v>46</v>
      </c>
      <c r="M94" s="38"/>
      <c r="N94" s="82"/>
      <c r="O94" s="36" t="s">
        <v>0</v>
      </c>
      <c r="P94" s="18" t="s">
        <v>1</v>
      </c>
      <c r="Q94" s="64" t="s">
        <v>2</v>
      </c>
      <c r="R94" s="19" t="s">
        <v>16</v>
      </c>
      <c r="S94" s="54" t="s">
        <v>38</v>
      </c>
      <c r="T94" s="14" t="s">
        <v>3</v>
      </c>
      <c r="U94" s="14" t="s">
        <v>4</v>
      </c>
      <c r="V94" s="55" t="s">
        <v>25</v>
      </c>
      <c r="W94" s="57" t="s">
        <v>8</v>
      </c>
      <c r="X94" s="58" t="s">
        <v>5</v>
      </c>
    </row>
    <row r="95" spans="2:24" ht="30" x14ac:dyDescent="0.25">
      <c r="B95" s="93" t="s">
        <v>89</v>
      </c>
      <c r="C95" s="107" t="s">
        <v>90</v>
      </c>
      <c r="D95" s="72"/>
      <c r="E95" s="72"/>
      <c r="F95" s="72"/>
      <c r="G95" s="72"/>
      <c r="H95" s="72"/>
      <c r="I95" s="72"/>
      <c r="J95" s="72"/>
      <c r="K95" s="72">
        <f>899+759+1031</f>
        <v>2689</v>
      </c>
      <c r="L95" s="70"/>
      <c r="M95" s="74"/>
      <c r="N95" s="74"/>
      <c r="O95" s="93" t="s">
        <v>89</v>
      </c>
      <c r="P95" s="86" t="s">
        <v>97</v>
      </c>
      <c r="Q95" s="72"/>
      <c r="R95" s="72"/>
      <c r="S95" s="72"/>
      <c r="T95" s="72"/>
      <c r="U95" s="72"/>
      <c r="V95" s="72"/>
      <c r="W95" s="72"/>
      <c r="X95" s="72">
        <f>1196+1463</f>
        <v>2659</v>
      </c>
    </row>
    <row r="96" spans="2:24" ht="51.75" customHeight="1" x14ac:dyDescent="0.25">
      <c r="B96" s="93" t="s">
        <v>89</v>
      </c>
      <c r="C96" s="44" t="s">
        <v>93</v>
      </c>
      <c r="D96" s="67"/>
      <c r="E96" s="67"/>
      <c r="F96" s="67">
        <f>2439+120+100+72+45</f>
        <v>2776</v>
      </c>
      <c r="G96" s="67"/>
      <c r="H96" s="67"/>
      <c r="I96" s="67"/>
      <c r="J96" s="67"/>
      <c r="K96" s="67"/>
      <c r="L96" s="67"/>
      <c r="M96" s="74"/>
      <c r="N96" s="74"/>
      <c r="O96" s="93" t="s">
        <v>89</v>
      </c>
      <c r="P96" s="89" t="s">
        <v>99</v>
      </c>
      <c r="Q96" s="72"/>
      <c r="R96" s="72"/>
      <c r="S96" s="72">
        <f>79+3580</f>
        <v>3659</v>
      </c>
      <c r="T96" s="72"/>
      <c r="U96" s="72"/>
      <c r="V96" s="72"/>
      <c r="W96" s="72"/>
      <c r="X96" s="67"/>
    </row>
    <row r="97" spans="2:27" ht="36.75" x14ac:dyDescent="0.25">
      <c r="B97" s="93" t="s">
        <v>89</v>
      </c>
      <c r="C97" s="43" t="s">
        <v>91</v>
      </c>
      <c r="D97" s="67">
        <f>131+221</f>
        <v>352</v>
      </c>
      <c r="E97" s="67"/>
      <c r="F97" s="67"/>
      <c r="G97" s="67"/>
      <c r="H97" s="67"/>
      <c r="I97" s="67"/>
      <c r="J97" s="67"/>
      <c r="K97" s="67"/>
      <c r="L97" s="11"/>
      <c r="M97" s="74"/>
      <c r="N97" s="74"/>
      <c r="O97" s="93" t="s">
        <v>89</v>
      </c>
      <c r="P97" s="89" t="s">
        <v>98</v>
      </c>
      <c r="Q97" s="72"/>
      <c r="R97" s="72"/>
      <c r="S97" s="72"/>
      <c r="T97" s="72">
        <f>40+85</f>
        <v>125</v>
      </c>
      <c r="U97" s="72"/>
      <c r="V97" s="72"/>
      <c r="W97" s="72"/>
      <c r="X97" s="67"/>
    </row>
    <row r="98" spans="2:27" ht="30" customHeight="1" x14ac:dyDescent="0.25">
      <c r="B98" s="93" t="s">
        <v>89</v>
      </c>
      <c r="C98" s="96" t="s">
        <v>92</v>
      </c>
      <c r="D98" s="67"/>
      <c r="E98" s="67"/>
      <c r="F98" s="67"/>
      <c r="G98" s="67">
        <v>45</v>
      </c>
      <c r="H98" s="67" t="s">
        <v>26</v>
      </c>
      <c r="I98" s="67"/>
      <c r="J98" s="67"/>
      <c r="K98" s="67"/>
      <c r="L98" s="11"/>
      <c r="M98" s="74"/>
      <c r="N98" s="74"/>
      <c r="O98" s="93" t="s">
        <v>89</v>
      </c>
      <c r="P98" s="87" t="s">
        <v>100</v>
      </c>
      <c r="Q98" s="72">
        <f>144+460+166</f>
        <v>770</v>
      </c>
      <c r="R98" s="72"/>
      <c r="S98" s="72"/>
      <c r="T98" s="72"/>
      <c r="U98" s="72"/>
      <c r="V98" s="72"/>
      <c r="W98" s="72"/>
      <c r="X98" s="67"/>
    </row>
    <row r="99" spans="2:27" ht="48.75" x14ac:dyDescent="0.25">
      <c r="B99" s="93" t="s">
        <v>89</v>
      </c>
      <c r="C99" s="44" t="s">
        <v>46</v>
      </c>
      <c r="D99" s="67"/>
      <c r="E99" s="67"/>
      <c r="F99" s="67"/>
      <c r="G99" s="67"/>
      <c r="H99" s="67"/>
      <c r="I99" s="67"/>
      <c r="J99" s="67"/>
      <c r="K99" s="67"/>
      <c r="L99" s="11">
        <v>500</v>
      </c>
      <c r="M99" s="74"/>
      <c r="N99" s="74"/>
      <c r="O99" s="93" t="s">
        <v>89</v>
      </c>
      <c r="P99" s="89" t="s">
        <v>104</v>
      </c>
      <c r="Q99" s="72"/>
      <c r="R99" s="72"/>
      <c r="S99" s="72"/>
      <c r="T99" s="72"/>
      <c r="U99" s="72"/>
      <c r="V99" s="72"/>
      <c r="W99" s="72">
        <f>610+60.5+856+50+1164</f>
        <v>2740.5</v>
      </c>
      <c r="X99" s="67"/>
    </row>
    <row r="100" spans="2:27" x14ac:dyDescent="0.25">
      <c r="B100" s="93" t="s">
        <v>89</v>
      </c>
      <c r="C100" s="44" t="s">
        <v>12</v>
      </c>
      <c r="D100" s="67"/>
      <c r="E100" s="67"/>
      <c r="F100" s="67"/>
      <c r="G100" s="67"/>
      <c r="H100" s="67"/>
      <c r="I100" s="67">
        <v>381</v>
      </c>
      <c r="J100" s="67"/>
      <c r="K100" s="67"/>
      <c r="L100" s="11"/>
      <c r="M100" s="74"/>
      <c r="N100" s="74"/>
      <c r="O100" s="93" t="s">
        <v>89</v>
      </c>
      <c r="P100" s="89" t="s">
        <v>4</v>
      </c>
      <c r="Q100" s="72"/>
      <c r="R100" s="72"/>
      <c r="S100" s="72"/>
      <c r="T100" s="72"/>
      <c r="U100" s="72">
        <v>728</v>
      </c>
      <c r="V100" s="72"/>
      <c r="W100" s="72"/>
      <c r="X100" s="67"/>
    </row>
    <row r="101" spans="2:27" ht="24" x14ac:dyDescent="0.25">
      <c r="B101" s="93" t="s">
        <v>89</v>
      </c>
      <c r="C101" s="44" t="s">
        <v>94</v>
      </c>
      <c r="D101" s="67"/>
      <c r="E101" s="67"/>
      <c r="F101" s="67"/>
      <c r="G101" s="67"/>
      <c r="H101" s="67"/>
      <c r="I101" s="67"/>
      <c r="J101" s="94">
        <v>1223</v>
      </c>
      <c r="K101" s="67"/>
      <c r="L101" s="11"/>
      <c r="M101" s="74"/>
      <c r="N101" s="74"/>
      <c r="O101" s="93" t="s">
        <v>89</v>
      </c>
      <c r="P101" s="87" t="s">
        <v>101</v>
      </c>
      <c r="Q101" s="72"/>
      <c r="R101" s="72"/>
      <c r="S101" s="72"/>
      <c r="T101" s="72"/>
      <c r="U101" s="72"/>
      <c r="V101" s="72"/>
      <c r="W101" s="72">
        <v>1390</v>
      </c>
      <c r="X101" s="67"/>
      <c r="Y101" s="109" t="s">
        <v>102</v>
      </c>
      <c r="Z101" s="110"/>
      <c r="AA101" s="80"/>
    </row>
    <row r="102" spans="2:27" ht="26.25" x14ac:dyDescent="0.25">
      <c r="B102" s="93" t="s">
        <v>89</v>
      </c>
      <c r="C102" s="42" t="s">
        <v>95</v>
      </c>
      <c r="D102" s="67"/>
      <c r="E102" s="67">
        <v>180</v>
      </c>
      <c r="F102" s="67"/>
      <c r="G102" s="67"/>
      <c r="H102" s="67"/>
      <c r="I102" s="67"/>
      <c r="J102" s="67"/>
      <c r="K102" s="67"/>
      <c r="L102" s="11"/>
      <c r="M102" s="74"/>
      <c r="N102" s="74"/>
      <c r="O102" s="93" t="s">
        <v>89</v>
      </c>
      <c r="P102" s="90" t="s">
        <v>103</v>
      </c>
      <c r="Q102" s="72"/>
      <c r="R102" s="72">
        <v>1462</v>
      </c>
      <c r="S102" s="72"/>
      <c r="T102" s="72"/>
      <c r="U102" s="72"/>
      <c r="V102" s="72"/>
      <c r="W102" s="72"/>
      <c r="X102" s="67"/>
    </row>
    <row r="103" spans="2:27" ht="22.5" customHeight="1" x14ac:dyDescent="0.25">
      <c r="B103" s="93" t="s">
        <v>89</v>
      </c>
      <c r="C103" s="95" t="s">
        <v>96</v>
      </c>
      <c r="D103" s="67"/>
      <c r="E103" s="67"/>
      <c r="F103" s="67"/>
      <c r="G103" s="67"/>
      <c r="H103" s="67">
        <f>85+85+102+68+68</f>
        <v>408</v>
      </c>
      <c r="I103" s="67"/>
      <c r="J103" s="67"/>
      <c r="K103" s="67"/>
      <c r="L103" s="11"/>
      <c r="M103" s="74"/>
      <c r="N103" s="74"/>
      <c r="O103" s="93" t="s">
        <v>89</v>
      </c>
      <c r="P103" s="98" t="s">
        <v>105</v>
      </c>
      <c r="Q103" s="72"/>
      <c r="R103" s="72"/>
      <c r="S103" s="72"/>
      <c r="T103" s="72"/>
      <c r="U103" s="72"/>
      <c r="V103" s="72">
        <f>700+710+700+669+1754</f>
        <v>4533</v>
      </c>
      <c r="W103" s="72"/>
      <c r="X103" s="67"/>
    </row>
    <row r="104" spans="2:27" ht="18.75" customHeight="1" x14ac:dyDescent="0.25">
      <c r="B104" s="93" t="s">
        <v>89</v>
      </c>
      <c r="C104" s="42" t="s">
        <v>11</v>
      </c>
      <c r="D104" s="67"/>
      <c r="E104" s="67"/>
      <c r="F104" s="67"/>
      <c r="G104" s="67"/>
      <c r="H104" s="67">
        <f>380+380+470</f>
        <v>1230</v>
      </c>
      <c r="I104" s="67"/>
      <c r="J104" s="67"/>
      <c r="K104" s="67"/>
      <c r="L104" s="11"/>
      <c r="M104" s="74"/>
      <c r="N104" s="74"/>
      <c r="O104" s="93" t="s">
        <v>89</v>
      </c>
      <c r="P104" s="88" t="s">
        <v>106</v>
      </c>
      <c r="Q104" s="72"/>
      <c r="R104" s="72"/>
      <c r="S104" s="72"/>
      <c r="T104" s="72"/>
      <c r="U104" s="72"/>
      <c r="V104" s="72">
        <f>170+170+204+204+170</f>
        <v>918</v>
      </c>
      <c r="W104" s="72"/>
      <c r="X104" s="67"/>
    </row>
    <row r="105" spans="2:27" ht="18.75" customHeight="1" x14ac:dyDescent="0.25">
      <c r="B105" s="93" t="s">
        <v>89</v>
      </c>
      <c r="C105" s="95"/>
      <c r="D105" s="67"/>
      <c r="E105" s="67"/>
      <c r="F105" s="67"/>
      <c r="G105" s="67"/>
      <c r="H105" s="67"/>
      <c r="I105" s="67"/>
      <c r="J105" s="67"/>
      <c r="K105" s="67"/>
      <c r="L105" s="11"/>
      <c r="M105" s="74"/>
      <c r="N105" s="74"/>
      <c r="O105" s="93" t="s">
        <v>89</v>
      </c>
      <c r="P105" s="88"/>
      <c r="Q105" s="72"/>
      <c r="R105" s="72"/>
      <c r="S105" s="72"/>
      <c r="T105" s="72"/>
      <c r="U105" s="72"/>
      <c r="V105" s="72"/>
      <c r="W105" s="72"/>
      <c r="X105" s="67"/>
    </row>
    <row r="106" spans="2:27" ht="18.75" customHeight="1" x14ac:dyDescent="0.25">
      <c r="B106" s="93" t="s">
        <v>89</v>
      </c>
      <c r="C106" s="10"/>
      <c r="D106" s="67"/>
      <c r="E106" s="67"/>
      <c r="F106" s="67"/>
      <c r="G106" s="67"/>
      <c r="H106" s="67"/>
      <c r="I106" s="67"/>
      <c r="J106" s="67"/>
      <c r="K106" s="67"/>
      <c r="L106" s="11"/>
      <c r="M106" s="74"/>
      <c r="N106" s="74"/>
      <c r="O106" s="93" t="s">
        <v>89</v>
      </c>
      <c r="P106" s="91"/>
      <c r="Q106" s="67"/>
      <c r="R106" s="67"/>
      <c r="S106" s="67"/>
      <c r="T106" s="67"/>
      <c r="U106" s="67"/>
      <c r="V106" s="67"/>
      <c r="W106" s="67"/>
      <c r="X106" s="67"/>
    </row>
    <row r="107" spans="2:27" x14ac:dyDescent="0.25">
      <c r="B107" s="93" t="s">
        <v>89</v>
      </c>
      <c r="C107" s="10"/>
      <c r="D107" s="67"/>
      <c r="E107" s="67"/>
      <c r="F107" s="67"/>
      <c r="G107" s="67"/>
      <c r="H107" s="67"/>
      <c r="I107" s="67"/>
      <c r="J107" s="67"/>
      <c r="K107" s="67"/>
      <c r="L107" s="11"/>
      <c r="M107" s="74"/>
      <c r="N107" s="74"/>
      <c r="O107" s="93" t="s">
        <v>89</v>
      </c>
      <c r="P107" s="91"/>
      <c r="Q107" s="67"/>
      <c r="R107" s="67"/>
      <c r="S107" s="67"/>
      <c r="T107" s="67"/>
      <c r="U107" s="67"/>
      <c r="V107" s="67"/>
      <c r="W107" s="67"/>
      <c r="X107" s="67"/>
    </row>
    <row r="108" spans="2:27" ht="15.75" thickBot="1" x14ac:dyDescent="0.3">
      <c r="B108" s="9"/>
      <c r="C108" s="34"/>
      <c r="D108" s="73">
        <v>0</v>
      </c>
      <c r="E108" s="73"/>
      <c r="F108" s="73"/>
      <c r="G108" s="73"/>
      <c r="H108" s="73"/>
      <c r="I108" s="73"/>
      <c r="J108" s="73"/>
      <c r="K108" s="73"/>
      <c r="L108" s="20"/>
      <c r="M108" s="74"/>
      <c r="N108" s="74"/>
      <c r="O108" s="46"/>
      <c r="P108" s="51"/>
      <c r="Q108" s="73">
        <v>0</v>
      </c>
      <c r="R108" s="73"/>
      <c r="S108" s="73"/>
      <c r="T108" s="73"/>
      <c r="U108" s="73"/>
      <c r="V108" s="73"/>
      <c r="W108" s="73"/>
      <c r="X108" s="73"/>
    </row>
    <row r="109" spans="2:27" ht="24" thickBot="1" x14ac:dyDescent="0.3">
      <c r="C109" s="35" t="s">
        <v>18</v>
      </c>
      <c r="D109" s="30">
        <f t="shared" ref="D109" si="5">SUM(D95:D108)</f>
        <v>352</v>
      </c>
      <c r="E109" s="31">
        <f t="shared" ref="E109" si="6">SUM(E95:E108)</f>
        <v>180</v>
      </c>
      <c r="F109" s="31">
        <f t="shared" ref="F109" si="7">SUM(F95:F108)</f>
        <v>2776</v>
      </c>
      <c r="G109" s="31">
        <f t="shared" ref="G109" si="8">SUM(G95:G108)</f>
        <v>45</v>
      </c>
      <c r="H109" s="31">
        <f t="shared" ref="H109" si="9">SUM(H95:H108)</f>
        <v>1638</v>
      </c>
      <c r="I109" s="31">
        <f t="shared" ref="I109" si="10">SUM(I95:I108)</f>
        <v>381</v>
      </c>
      <c r="J109" s="22">
        <f t="shared" ref="J109" si="11">SUM(J95:J108)</f>
        <v>1223</v>
      </c>
      <c r="K109" s="32">
        <f t="shared" ref="K109" si="12">SUM(K95:K108)</f>
        <v>2689</v>
      </c>
      <c r="L109" s="100">
        <f t="shared" ref="L109" si="13">SUM(L95:L108)</f>
        <v>500</v>
      </c>
      <c r="M109" s="75"/>
      <c r="N109" s="74"/>
      <c r="P109" s="33" t="s">
        <v>18</v>
      </c>
      <c r="Q109" s="21">
        <f t="shared" ref="Q109" si="14">SUM(Q95:Q108)</f>
        <v>770</v>
      </c>
      <c r="R109" s="21">
        <f t="shared" ref="R109" si="15">SUM(R95:R108)</f>
        <v>1462</v>
      </c>
      <c r="S109" s="21">
        <f t="shared" ref="S109" si="16">SUM(S95:S108)</f>
        <v>3659</v>
      </c>
      <c r="T109" s="21">
        <f t="shared" ref="T109" si="17">SUM(T95:T108)</f>
        <v>125</v>
      </c>
      <c r="U109" s="21">
        <f t="shared" ref="U109" si="18">SUM(U95:U108)</f>
        <v>728</v>
      </c>
      <c r="V109" s="21">
        <f t="shared" ref="V109" si="19">SUM(V95:V108)</f>
        <v>5451</v>
      </c>
      <c r="W109" s="21">
        <f t="shared" ref="W109" si="20">SUM(W95:W108)</f>
        <v>4130.5</v>
      </c>
      <c r="X109" s="21">
        <f t="shared" ref="X109" si="21">SUM(X95:X108)</f>
        <v>2659</v>
      </c>
    </row>
    <row r="110" spans="2:27" ht="15.75" thickBot="1" x14ac:dyDescent="0.3">
      <c r="D110" s="5"/>
      <c r="E110" s="5"/>
      <c r="F110" s="5"/>
      <c r="G110" s="5"/>
      <c r="H110" s="5"/>
      <c r="I110" s="5"/>
      <c r="J110" s="5"/>
      <c r="K110" s="5"/>
      <c r="L110" s="78"/>
      <c r="M110" s="76"/>
      <c r="N110" s="74"/>
      <c r="Q110" s="5"/>
      <c r="R110" s="5"/>
      <c r="S110" s="5"/>
      <c r="T110" s="5"/>
      <c r="U110" s="5"/>
      <c r="V110" s="5"/>
      <c r="W110" s="5"/>
      <c r="X110" s="5"/>
    </row>
    <row r="111" spans="2:27" ht="21.75" thickBot="1" x14ac:dyDescent="0.4">
      <c r="D111" s="5"/>
      <c r="E111" s="5"/>
      <c r="F111" s="192">
        <f>K109+J109+I109+H109+G109+F109+E109+D109+L109</f>
        <v>9784</v>
      </c>
      <c r="G111" s="193"/>
      <c r="H111" s="194"/>
      <c r="I111" s="5"/>
      <c r="J111" s="5"/>
      <c r="K111" s="5"/>
      <c r="L111" s="78"/>
      <c r="M111" s="76"/>
      <c r="N111" s="74"/>
      <c r="Q111" s="5"/>
      <c r="R111" s="5"/>
      <c r="S111" s="197">
        <f>Q109+R109+S109+T109+U109+V109+W109+X109</f>
        <v>18984.5</v>
      </c>
      <c r="T111" s="198"/>
      <c r="U111" s="199"/>
      <c r="V111" s="5"/>
      <c r="W111" s="5"/>
      <c r="X111" s="5"/>
    </row>
    <row r="112" spans="2:27" x14ac:dyDescent="0.25">
      <c r="D112" s="5"/>
      <c r="E112" s="5"/>
      <c r="F112" s="5"/>
      <c r="G112" s="5"/>
      <c r="H112" s="5"/>
      <c r="J112" s="5"/>
      <c r="K112" s="5"/>
      <c r="L112" s="78"/>
      <c r="M112" s="76"/>
      <c r="N112" s="74"/>
      <c r="Q112" s="5"/>
      <c r="R112" s="5"/>
      <c r="S112" s="5"/>
      <c r="T112" s="5"/>
      <c r="U112" s="5"/>
      <c r="V112" s="5"/>
      <c r="W112" s="5"/>
      <c r="X112" s="5"/>
    </row>
    <row r="113" spans="2:24" x14ac:dyDescent="0.25">
      <c r="D113" s="5"/>
      <c r="E113" s="5"/>
      <c r="F113" s="5"/>
      <c r="G113" s="5"/>
      <c r="H113" s="5"/>
      <c r="I113" s="5"/>
      <c r="J113" s="5"/>
      <c r="K113" s="5"/>
      <c r="L113" s="78"/>
      <c r="M113" s="76"/>
      <c r="N113" s="74"/>
    </row>
    <row r="114" spans="2:24" ht="15.75" thickBot="1" x14ac:dyDescent="0.3">
      <c r="D114" s="5"/>
      <c r="E114" s="5"/>
      <c r="F114" s="5"/>
      <c r="G114" s="5"/>
      <c r="H114" s="5"/>
      <c r="I114" s="5"/>
      <c r="J114" s="5"/>
      <c r="K114" s="5"/>
      <c r="L114" s="78"/>
      <c r="M114" s="79"/>
      <c r="N114" s="74"/>
    </row>
    <row r="122" spans="2:24" ht="15.75" thickBot="1" x14ac:dyDescent="0.3"/>
    <row r="123" spans="2:24" ht="22.5" thickTop="1" thickBot="1" x14ac:dyDescent="0.4">
      <c r="C123" s="187" t="s">
        <v>36</v>
      </c>
      <c r="D123" s="188"/>
      <c r="E123" s="188"/>
      <c r="F123" s="188"/>
      <c r="G123" s="188"/>
      <c r="H123" s="188"/>
      <c r="I123" s="188"/>
      <c r="J123" s="188"/>
      <c r="K123" s="188"/>
      <c r="L123" s="84" t="s">
        <v>66</v>
      </c>
      <c r="M123" s="83"/>
      <c r="N123" s="81"/>
      <c r="O123" s="195" t="s">
        <v>19</v>
      </c>
      <c r="P123" s="196"/>
      <c r="Q123" s="196"/>
      <c r="R123" s="196"/>
      <c r="S123" s="196"/>
      <c r="T123" s="196"/>
      <c r="U123" s="196"/>
      <c r="V123" s="196"/>
      <c r="W123" s="196"/>
      <c r="X123" s="85" t="s">
        <v>66</v>
      </c>
    </row>
    <row r="124" spans="2:24" ht="16.5" thickBot="1" x14ac:dyDescent="0.3">
      <c r="I124" s="189" t="s">
        <v>68</v>
      </c>
      <c r="J124" s="190"/>
      <c r="K124" s="191"/>
      <c r="L124" s="68"/>
      <c r="M124" s="59"/>
      <c r="N124" s="74"/>
      <c r="V124" s="189" t="s">
        <v>68</v>
      </c>
      <c r="W124" s="190"/>
      <c r="X124" s="191"/>
    </row>
    <row r="125" spans="2:24" ht="64.5" thickTop="1" thickBot="1" x14ac:dyDescent="0.3">
      <c r="B125" s="6" t="s">
        <v>0</v>
      </c>
      <c r="C125" s="24" t="s">
        <v>1</v>
      </c>
      <c r="D125" s="25" t="s">
        <v>2</v>
      </c>
      <c r="E125" s="26" t="s">
        <v>7</v>
      </c>
      <c r="F125" s="56" t="s">
        <v>38</v>
      </c>
      <c r="G125" s="25" t="s">
        <v>3</v>
      </c>
      <c r="H125" s="27" t="s">
        <v>22</v>
      </c>
      <c r="I125" s="60" t="s">
        <v>4</v>
      </c>
      <c r="J125" s="61" t="s">
        <v>8</v>
      </c>
      <c r="K125" s="62" t="s">
        <v>5</v>
      </c>
      <c r="L125" s="99" t="s">
        <v>46</v>
      </c>
      <c r="M125" s="38"/>
      <c r="N125" s="82"/>
      <c r="O125" s="36" t="s">
        <v>0</v>
      </c>
      <c r="P125" s="18" t="s">
        <v>1</v>
      </c>
      <c r="Q125" s="64" t="s">
        <v>2</v>
      </c>
      <c r="R125" s="19" t="s">
        <v>16</v>
      </c>
      <c r="S125" s="54" t="s">
        <v>38</v>
      </c>
      <c r="T125" s="14" t="s">
        <v>3</v>
      </c>
      <c r="U125" s="14" t="s">
        <v>4</v>
      </c>
      <c r="V125" s="55" t="s">
        <v>25</v>
      </c>
      <c r="W125" s="57" t="s">
        <v>8</v>
      </c>
      <c r="X125" s="58" t="s">
        <v>5</v>
      </c>
    </row>
    <row r="126" spans="2:24" ht="36.75" x14ac:dyDescent="0.25">
      <c r="B126" s="93" t="s">
        <v>69</v>
      </c>
      <c r="C126" s="107" t="s">
        <v>70</v>
      </c>
      <c r="D126" s="72">
        <f>121+213+135</f>
        <v>469</v>
      </c>
      <c r="E126" s="72"/>
      <c r="F126" s="72"/>
      <c r="G126" s="72"/>
      <c r="H126" s="72"/>
      <c r="I126" s="72"/>
      <c r="J126" s="72"/>
      <c r="K126" s="72"/>
      <c r="L126" s="70"/>
      <c r="M126" s="74"/>
      <c r="N126" s="74"/>
      <c r="O126" s="93" t="s">
        <v>69</v>
      </c>
      <c r="P126" s="86" t="s">
        <v>84</v>
      </c>
      <c r="Q126" s="72"/>
      <c r="R126" s="72"/>
      <c r="S126" s="72"/>
      <c r="T126" s="72"/>
      <c r="U126" s="72"/>
      <c r="V126" s="72"/>
      <c r="W126" s="72"/>
      <c r="X126" s="72">
        <f>69+2445+1943+325+1621</f>
        <v>6403</v>
      </c>
    </row>
    <row r="127" spans="2:24" ht="36" x14ac:dyDescent="0.25">
      <c r="B127" s="93" t="s">
        <v>69</v>
      </c>
      <c r="C127" s="44" t="s">
        <v>79</v>
      </c>
      <c r="D127" s="67"/>
      <c r="E127" s="67"/>
      <c r="F127" s="67"/>
      <c r="G127" s="67"/>
      <c r="H127" s="67"/>
      <c r="I127" s="67"/>
      <c r="J127" s="67"/>
      <c r="K127" s="67">
        <f>1031+1026+1603+547+2029</f>
        <v>6236</v>
      </c>
      <c r="L127" s="67"/>
      <c r="M127" s="74"/>
      <c r="N127" s="74"/>
      <c r="O127" s="93" t="s">
        <v>69</v>
      </c>
      <c r="P127" s="89" t="s">
        <v>86</v>
      </c>
      <c r="Q127" s="72"/>
      <c r="R127" s="72"/>
      <c r="S127" s="72"/>
      <c r="T127" s="72"/>
      <c r="U127" s="72"/>
      <c r="V127" s="72"/>
      <c r="W127" s="72">
        <f>1500+380</f>
        <v>1880</v>
      </c>
      <c r="X127" s="67"/>
    </row>
    <row r="128" spans="2:24" ht="30" x14ac:dyDescent="0.25">
      <c r="B128" s="93" t="s">
        <v>69</v>
      </c>
      <c r="C128" s="43" t="s">
        <v>76</v>
      </c>
      <c r="D128" s="67"/>
      <c r="E128" s="67">
        <v>188</v>
      </c>
      <c r="F128" s="67"/>
      <c r="G128" s="67"/>
      <c r="H128" s="67"/>
      <c r="I128" s="67"/>
      <c r="J128" s="67"/>
      <c r="K128" s="67"/>
      <c r="L128" s="11"/>
      <c r="M128" s="74"/>
      <c r="N128" s="74"/>
      <c r="O128" s="93" t="s">
        <v>69</v>
      </c>
      <c r="P128" s="87" t="s">
        <v>81</v>
      </c>
      <c r="Q128" s="72">
        <f>78+342+635</f>
        <v>1055</v>
      </c>
      <c r="R128" s="72"/>
      <c r="S128" s="72"/>
      <c r="T128" s="72"/>
      <c r="U128" s="72"/>
      <c r="V128" s="72"/>
      <c r="W128" s="72"/>
      <c r="X128" s="67"/>
    </row>
    <row r="129" spans="2:24" ht="30" customHeight="1" x14ac:dyDescent="0.25">
      <c r="B129" s="93" t="s">
        <v>69</v>
      </c>
      <c r="C129" s="96" t="s">
        <v>74</v>
      </c>
      <c r="D129" s="67"/>
      <c r="E129" s="67"/>
      <c r="F129" s="67"/>
      <c r="G129" s="67"/>
      <c r="H129" s="67"/>
      <c r="I129" s="67">
        <v>829</v>
      </c>
      <c r="J129" s="67"/>
      <c r="K129" s="67"/>
      <c r="L129" s="11"/>
      <c r="M129" s="74"/>
      <c r="N129" s="74"/>
      <c r="O129" s="93" t="s">
        <v>69</v>
      </c>
      <c r="P129" s="88" t="s">
        <v>12</v>
      </c>
      <c r="Q129" s="72"/>
      <c r="R129" s="72"/>
      <c r="S129" s="72"/>
      <c r="T129" s="72"/>
      <c r="U129" s="72">
        <v>400</v>
      </c>
      <c r="V129" s="72"/>
      <c r="W129" s="72"/>
      <c r="X129" s="67"/>
    </row>
    <row r="130" spans="2:24" ht="24.75" x14ac:dyDescent="0.25">
      <c r="B130" s="93" t="s">
        <v>69</v>
      </c>
      <c r="C130" s="44" t="s">
        <v>72</v>
      </c>
      <c r="D130" s="67"/>
      <c r="E130" s="67"/>
      <c r="F130" s="67">
        <v>95</v>
      </c>
      <c r="G130" s="67"/>
      <c r="H130" s="67"/>
      <c r="I130" s="67"/>
      <c r="J130" s="67"/>
      <c r="K130" s="67"/>
      <c r="L130" s="11"/>
      <c r="M130" s="74"/>
      <c r="N130" s="74"/>
      <c r="O130" s="93" t="s">
        <v>69</v>
      </c>
      <c r="P130" s="89" t="s">
        <v>80</v>
      </c>
      <c r="Q130" s="72"/>
      <c r="R130" s="72">
        <v>776</v>
      </c>
      <c r="S130" s="72"/>
      <c r="T130" s="72"/>
      <c r="U130" s="72"/>
      <c r="V130" s="72"/>
      <c r="W130" s="72"/>
      <c r="X130" s="67"/>
    </row>
    <row r="131" spans="2:24" x14ac:dyDescent="0.25">
      <c r="B131" s="93" t="s">
        <v>69</v>
      </c>
      <c r="C131" s="44" t="s">
        <v>73</v>
      </c>
      <c r="D131" s="67"/>
      <c r="E131" s="67"/>
      <c r="F131" s="67"/>
      <c r="G131" s="67"/>
      <c r="H131" s="67"/>
      <c r="I131" s="67"/>
      <c r="J131" s="67">
        <v>624</v>
      </c>
      <c r="K131" s="67"/>
      <c r="L131" s="11"/>
      <c r="M131" s="74"/>
      <c r="N131" s="74"/>
      <c r="O131" s="93" t="s">
        <v>69</v>
      </c>
      <c r="P131" s="89" t="s">
        <v>82</v>
      </c>
      <c r="Q131" s="72"/>
      <c r="R131" s="72"/>
      <c r="S131" s="72"/>
      <c r="T131" s="72">
        <v>40</v>
      </c>
      <c r="U131" s="72"/>
      <c r="V131" s="72"/>
      <c r="W131" s="72"/>
      <c r="X131" s="67"/>
    </row>
    <row r="132" spans="2:24" ht="60.75" x14ac:dyDescent="0.25">
      <c r="B132" s="93" t="s">
        <v>69</v>
      </c>
      <c r="C132" s="44" t="s">
        <v>78</v>
      </c>
      <c r="D132" s="67"/>
      <c r="E132" s="67"/>
      <c r="F132" s="67"/>
      <c r="G132" s="67"/>
      <c r="H132" s="67"/>
      <c r="I132" s="67"/>
      <c r="J132" s="94">
        <f>413+68+84</f>
        <v>565</v>
      </c>
      <c r="K132" s="67"/>
      <c r="L132" s="11"/>
      <c r="M132" s="74"/>
      <c r="N132" s="74"/>
      <c r="O132" s="93" t="s">
        <v>69</v>
      </c>
      <c r="P132" s="89" t="s">
        <v>83</v>
      </c>
      <c r="Q132" s="72"/>
      <c r="R132" s="72"/>
      <c r="S132" s="72">
        <f>20+90+375+2010+280+252</f>
        <v>3027</v>
      </c>
      <c r="T132" s="72"/>
      <c r="U132" s="72"/>
      <c r="V132" s="72"/>
      <c r="W132" s="72"/>
      <c r="X132" s="67"/>
    </row>
    <row r="133" spans="2:24" x14ac:dyDescent="0.25">
      <c r="B133" s="93" t="s">
        <v>69</v>
      </c>
      <c r="C133" s="42" t="s">
        <v>75</v>
      </c>
      <c r="D133" s="67"/>
      <c r="E133" s="67"/>
      <c r="F133" s="67"/>
      <c r="G133" s="67"/>
      <c r="H133" s="67"/>
      <c r="I133" s="67"/>
      <c r="J133" s="67">
        <f>116+35.5</f>
        <v>151.5</v>
      </c>
      <c r="K133" s="67"/>
      <c r="L133" s="11"/>
      <c r="M133" s="74"/>
      <c r="N133" s="74"/>
      <c r="O133" s="93" t="s">
        <v>69</v>
      </c>
      <c r="P133" s="90" t="s">
        <v>87</v>
      </c>
      <c r="Q133" s="72"/>
      <c r="R133" s="72">
        <v>400</v>
      </c>
      <c r="S133" s="72"/>
      <c r="T133" s="72"/>
      <c r="U133" s="72"/>
      <c r="V133" s="72"/>
      <c r="W133" s="72"/>
      <c r="X133" s="67"/>
    </row>
    <row r="134" spans="2:24" ht="48" x14ac:dyDescent="0.25">
      <c r="B134" s="93" t="s">
        <v>69</v>
      </c>
      <c r="C134" s="44" t="s">
        <v>71</v>
      </c>
      <c r="D134" s="67"/>
      <c r="E134" s="67"/>
      <c r="F134" s="67">
        <f>1489+350+300+25</f>
        <v>2164</v>
      </c>
      <c r="G134" s="67"/>
      <c r="H134" s="67"/>
      <c r="I134" s="67"/>
      <c r="J134" s="67"/>
      <c r="K134" s="67"/>
      <c r="L134" s="11"/>
      <c r="M134" s="74"/>
      <c r="N134" s="74"/>
      <c r="O134" s="93" t="s">
        <v>69</v>
      </c>
      <c r="P134" s="98" t="s">
        <v>85</v>
      </c>
      <c r="Q134" s="72"/>
      <c r="R134" s="72"/>
      <c r="S134" s="72"/>
      <c r="T134" s="72"/>
      <c r="U134" s="72"/>
      <c r="V134" s="72">
        <f>700+700+700+2224</f>
        <v>4324</v>
      </c>
      <c r="W134" s="72"/>
      <c r="X134" s="67"/>
    </row>
    <row r="135" spans="2:24" ht="18.75" customHeight="1" thickBot="1" x14ac:dyDescent="0.3">
      <c r="B135" s="93" t="s">
        <v>69</v>
      </c>
      <c r="C135" s="42" t="s">
        <v>11</v>
      </c>
      <c r="D135" s="67"/>
      <c r="E135" s="67"/>
      <c r="F135" s="67"/>
      <c r="G135" s="67"/>
      <c r="H135" s="67">
        <f>380+380+470</f>
        <v>1230</v>
      </c>
      <c r="I135" s="67"/>
      <c r="J135" s="67"/>
      <c r="K135" s="67"/>
      <c r="L135" s="11"/>
      <c r="M135" s="74"/>
      <c r="N135" s="74"/>
      <c r="O135" s="93" t="s">
        <v>69</v>
      </c>
      <c r="P135" s="88" t="s">
        <v>34</v>
      </c>
      <c r="Q135" s="72"/>
      <c r="R135" s="72"/>
      <c r="S135" s="72"/>
      <c r="T135" s="72"/>
      <c r="U135" s="72"/>
      <c r="V135" s="72">
        <f>170+136+238+204+170+360</f>
        <v>1278</v>
      </c>
      <c r="W135" s="72"/>
      <c r="X135" s="67"/>
    </row>
    <row r="136" spans="2:24" ht="18.75" customHeight="1" x14ac:dyDescent="0.25">
      <c r="B136" s="93" t="s">
        <v>69</v>
      </c>
      <c r="C136" s="95" t="s">
        <v>46</v>
      </c>
      <c r="D136" s="67"/>
      <c r="E136" s="67"/>
      <c r="F136" s="67"/>
      <c r="G136" s="67"/>
      <c r="H136" s="67"/>
      <c r="I136" s="67"/>
      <c r="J136" s="67"/>
      <c r="K136" s="67"/>
      <c r="L136" s="11">
        <v>500</v>
      </c>
      <c r="M136" s="74"/>
      <c r="N136" s="74"/>
      <c r="O136" s="97"/>
      <c r="P136" s="88"/>
      <c r="Q136" s="72"/>
      <c r="R136" s="72"/>
      <c r="S136" s="72"/>
      <c r="T136" s="72"/>
      <c r="U136" s="72"/>
      <c r="V136" s="72"/>
      <c r="W136" s="72"/>
      <c r="X136" s="67"/>
    </row>
    <row r="137" spans="2:24" ht="18.75" customHeight="1" x14ac:dyDescent="0.25">
      <c r="B137" s="108" t="s">
        <v>69</v>
      </c>
      <c r="C137" s="10" t="s">
        <v>77</v>
      </c>
      <c r="D137" s="67"/>
      <c r="E137" s="67"/>
      <c r="F137" s="67"/>
      <c r="G137" s="67"/>
      <c r="H137" s="67">
        <f>102+68+102+204+85+90</f>
        <v>651</v>
      </c>
      <c r="I137" s="67"/>
      <c r="J137" s="67"/>
      <c r="K137" s="67"/>
      <c r="L137" s="11"/>
      <c r="M137" s="74"/>
      <c r="N137" s="74"/>
      <c r="O137" s="92"/>
      <c r="P137" s="91"/>
      <c r="Q137" s="67"/>
      <c r="R137" s="67"/>
      <c r="S137" s="67"/>
      <c r="T137" s="67"/>
      <c r="U137" s="67"/>
      <c r="V137" s="67"/>
      <c r="W137" s="67"/>
      <c r="X137" s="67"/>
    </row>
    <row r="138" spans="2:24" x14ac:dyDescent="0.25">
      <c r="B138" s="9"/>
      <c r="C138" s="10"/>
      <c r="D138" s="67">
        <v>0</v>
      </c>
      <c r="E138" s="67"/>
      <c r="F138" s="67"/>
      <c r="G138" s="67"/>
      <c r="H138" s="67"/>
      <c r="I138" s="67"/>
      <c r="J138" s="67"/>
      <c r="K138" s="67"/>
      <c r="L138" s="11"/>
      <c r="M138" s="74"/>
      <c r="N138" s="74"/>
      <c r="O138" s="92"/>
      <c r="P138" s="91"/>
      <c r="Q138" s="67"/>
      <c r="R138" s="67"/>
      <c r="S138" s="67"/>
      <c r="T138" s="67"/>
      <c r="U138" s="67"/>
      <c r="V138" s="67"/>
      <c r="W138" s="67"/>
      <c r="X138" s="67"/>
    </row>
    <row r="139" spans="2:24" ht="15.75" thickBot="1" x14ac:dyDescent="0.3">
      <c r="B139" s="9"/>
      <c r="C139" s="34"/>
      <c r="D139" s="73">
        <v>0</v>
      </c>
      <c r="E139" s="73"/>
      <c r="F139" s="73"/>
      <c r="G139" s="73"/>
      <c r="H139" s="73"/>
      <c r="I139" s="73"/>
      <c r="J139" s="73"/>
      <c r="K139" s="73"/>
      <c r="L139" s="20"/>
      <c r="M139" s="74"/>
      <c r="N139" s="74"/>
      <c r="O139" s="46"/>
      <c r="P139" s="51"/>
      <c r="Q139" s="73">
        <v>0</v>
      </c>
      <c r="R139" s="73"/>
      <c r="S139" s="73"/>
      <c r="T139" s="73"/>
      <c r="U139" s="73"/>
      <c r="V139" s="73"/>
      <c r="W139" s="73"/>
      <c r="X139" s="73"/>
    </row>
    <row r="140" spans="2:24" ht="24" thickBot="1" x14ac:dyDescent="0.3">
      <c r="C140" s="35" t="s">
        <v>18</v>
      </c>
      <c r="D140" s="30">
        <f t="shared" ref="D140:L140" si="22">SUM(D126:D139)</f>
        <v>469</v>
      </c>
      <c r="E140" s="31">
        <f t="shared" si="22"/>
        <v>188</v>
      </c>
      <c r="F140" s="31">
        <f t="shared" si="22"/>
        <v>2259</v>
      </c>
      <c r="G140" s="31">
        <f t="shared" si="22"/>
        <v>0</v>
      </c>
      <c r="H140" s="31">
        <f t="shared" si="22"/>
        <v>1881</v>
      </c>
      <c r="I140" s="31">
        <f t="shared" si="22"/>
        <v>829</v>
      </c>
      <c r="J140" s="22">
        <f t="shared" si="22"/>
        <v>1340.5</v>
      </c>
      <c r="K140" s="32">
        <f t="shared" si="22"/>
        <v>6236</v>
      </c>
      <c r="L140" s="100">
        <f t="shared" si="22"/>
        <v>500</v>
      </c>
      <c r="M140" s="75"/>
      <c r="N140" s="74"/>
      <c r="P140" s="33" t="s">
        <v>18</v>
      </c>
      <c r="Q140" s="21">
        <f t="shared" ref="Q140:X140" si="23">SUM(Q126:Q139)</f>
        <v>1055</v>
      </c>
      <c r="R140" s="21">
        <f t="shared" si="23"/>
        <v>1176</v>
      </c>
      <c r="S140" s="21">
        <f t="shared" si="23"/>
        <v>3027</v>
      </c>
      <c r="T140" s="21">
        <f t="shared" si="23"/>
        <v>40</v>
      </c>
      <c r="U140" s="21">
        <f t="shared" si="23"/>
        <v>400</v>
      </c>
      <c r="V140" s="21">
        <f t="shared" si="23"/>
        <v>5602</v>
      </c>
      <c r="W140" s="21">
        <f t="shared" si="23"/>
        <v>1880</v>
      </c>
      <c r="X140" s="21">
        <f t="shared" si="23"/>
        <v>6403</v>
      </c>
    </row>
    <row r="141" spans="2:24" ht="15.75" thickBot="1" x14ac:dyDescent="0.3">
      <c r="D141" s="5"/>
      <c r="E141" s="5"/>
      <c r="F141" s="5"/>
      <c r="G141" s="5"/>
      <c r="H141" s="5"/>
      <c r="I141" s="5"/>
      <c r="J141" s="5"/>
      <c r="K141" s="5"/>
      <c r="L141" s="78"/>
      <c r="M141" s="76"/>
      <c r="N141" s="74"/>
      <c r="Q141" s="5"/>
      <c r="R141" s="5"/>
      <c r="S141" s="5"/>
      <c r="T141" s="5"/>
      <c r="U141" s="5"/>
      <c r="V141" s="5"/>
      <c r="W141" s="5"/>
      <c r="X141" s="5"/>
    </row>
    <row r="142" spans="2:24" ht="21.75" thickBot="1" x14ac:dyDescent="0.4">
      <c r="D142" s="5"/>
      <c r="E142" s="5"/>
      <c r="F142" s="192">
        <f>K140+J140+I140+H140+G140+F140+E140+D140+L140</f>
        <v>13702.5</v>
      </c>
      <c r="G142" s="193"/>
      <c r="H142" s="194"/>
      <c r="I142" s="5"/>
      <c r="J142" s="5"/>
      <c r="K142" s="5"/>
      <c r="L142" s="78"/>
      <c r="M142" s="76"/>
      <c r="N142" s="74"/>
      <c r="Q142" s="5"/>
      <c r="R142" s="5"/>
      <c r="S142" s="197">
        <f>Q140+R140+S140+T140+U140+V140+W140+X140</f>
        <v>19583</v>
      </c>
      <c r="T142" s="198"/>
      <c r="U142" s="199"/>
      <c r="V142" s="5">
        <v>19583</v>
      </c>
      <c r="W142" s="5"/>
      <c r="X142" s="5"/>
    </row>
    <row r="143" spans="2:24" x14ac:dyDescent="0.25">
      <c r="D143" s="5"/>
      <c r="E143" s="5"/>
      <c r="F143" s="5"/>
      <c r="G143" s="5"/>
      <c r="H143" s="5"/>
      <c r="J143" s="5"/>
      <c r="K143" s="5"/>
      <c r="L143" s="78"/>
      <c r="M143" s="76"/>
      <c r="N143" s="74"/>
      <c r="Q143" s="5"/>
      <c r="R143" s="5"/>
      <c r="S143" s="5"/>
      <c r="T143" s="5"/>
      <c r="U143" s="5"/>
      <c r="V143" s="5"/>
      <c r="W143" s="5"/>
      <c r="X143" s="5"/>
    </row>
    <row r="144" spans="2:24" x14ac:dyDescent="0.25">
      <c r="D144" s="5"/>
      <c r="E144" s="5"/>
      <c r="F144" s="5"/>
      <c r="G144" s="5"/>
      <c r="H144" s="5"/>
      <c r="I144" s="5"/>
      <c r="J144" s="5"/>
      <c r="K144" s="5"/>
      <c r="L144" s="78"/>
      <c r="M144" s="76"/>
      <c r="N144" s="74"/>
    </row>
    <row r="145" spans="2:24" ht="15.75" thickBot="1" x14ac:dyDescent="0.3">
      <c r="D145" s="5"/>
      <c r="E145" s="5"/>
      <c r="F145" s="5"/>
      <c r="G145" s="5"/>
      <c r="H145" s="5"/>
      <c r="I145" s="5"/>
      <c r="J145" s="5"/>
      <c r="K145" s="5"/>
      <c r="L145" s="78"/>
      <c r="M145" s="79"/>
      <c r="N145" s="74"/>
    </row>
    <row r="155" spans="2:24" ht="15.75" thickBot="1" x14ac:dyDescent="0.3"/>
    <row r="156" spans="2:24" ht="22.5" thickTop="1" thickBot="1" x14ac:dyDescent="0.4">
      <c r="C156" s="187" t="s">
        <v>36</v>
      </c>
      <c r="D156" s="188"/>
      <c r="E156" s="188"/>
      <c r="F156" s="188"/>
      <c r="G156" s="188"/>
      <c r="H156" s="188"/>
      <c r="I156" s="188"/>
      <c r="J156" s="188"/>
      <c r="K156" s="188"/>
      <c r="L156" s="84" t="s">
        <v>42</v>
      </c>
      <c r="M156" s="83"/>
      <c r="N156" s="81"/>
      <c r="O156" s="195" t="s">
        <v>19</v>
      </c>
      <c r="P156" s="196"/>
      <c r="Q156" s="196"/>
      <c r="R156" s="196"/>
      <c r="S156" s="196"/>
      <c r="T156" s="196"/>
      <c r="U156" s="196"/>
      <c r="V156" s="196"/>
      <c r="W156" s="196"/>
      <c r="X156" s="85" t="s">
        <v>42</v>
      </c>
    </row>
    <row r="157" spans="2:24" ht="16.5" thickBot="1" x14ac:dyDescent="0.3">
      <c r="I157" s="189" t="s">
        <v>67</v>
      </c>
      <c r="J157" s="190"/>
      <c r="K157" s="191"/>
      <c r="L157" s="68"/>
      <c r="M157" s="59"/>
      <c r="N157" s="74"/>
      <c r="W157" s="190"/>
      <c r="X157" s="191"/>
    </row>
    <row r="158" spans="2:24" ht="64.5" thickTop="1" thickBot="1" x14ac:dyDescent="0.3">
      <c r="B158" s="6" t="s">
        <v>0</v>
      </c>
      <c r="C158" s="24" t="s">
        <v>1</v>
      </c>
      <c r="D158" s="25" t="s">
        <v>2</v>
      </c>
      <c r="E158" s="26" t="s">
        <v>7</v>
      </c>
      <c r="F158" s="56" t="s">
        <v>38</v>
      </c>
      <c r="G158" s="25" t="s">
        <v>3</v>
      </c>
      <c r="H158" s="27" t="s">
        <v>22</v>
      </c>
      <c r="I158" s="60" t="s">
        <v>4</v>
      </c>
      <c r="J158" s="61" t="s">
        <v>8</v>
      </c>
      <c r="K158" s="62" t="s">
        <v>5</v>
      </c>
      <c r="L158" s="99" t="s">
        <v>46</v>
      </c>
      <c r="M158" s="38"/>
      <c r="N158" s="82"/>
      <c r="O158" s="36" t="s">
        <v>0</v>
      </c>
      <c r="P158" s="18" t="s">
        <v>1</v>
      </c>
      <c r="Q158" s="64" t="s">
        <v>2</v>
      </c>
      <c r="R158" s="19" t="s">
        <v>16</v>
      </c>
      <c r="S158" s="54" t="s">
        <v>38</v>
      </c>
      <c r="T158" s="14" t="s">
        <v>3</v>
      </c>
      <c r="U158" s="14" t="s">
        <v>4</v>
      </c>
      <c r="V158" s="55" t="s">
        <v>25</v>
      </c>
      <c r="W158" s="57" t="s">
        <v>8</v>
      </c>
      <c r="X158" s="58" t="s">
        <v>5</v>
      </c>
    </row>
    <row r="159" spans="2:24" ht="37.5" thickBot="1" x14ac:dyDescent="0.3">
      <c r="B159" s="93" t="s">
        <v>43</v>
      </c>
      <c r="C159" s="41" t="s">
        <v>6</v>
      </c>
      <c r="D159" s="72">
        <f>170</f>
        <v>170</v>
      </c>
      <c r="E159" s="72"/>
      <c r="F159" s="72"/>
      <c r="G159" s="72"/>
      <c r="H159" s="72"/>
      <c r="I159" s="72"/>
      <c r="J159" s="72"/>
      <c r="K159" s="72"/>
      <c r="L159" s="70"/>
      <c r="M159" s="74"/>
      <c r="N159" s="74"/>
      <c r="O159" s="97" t="s">
        <v>43</v>
      </c>
      <c r="P159" s="86" t="s">
        <v>63</v>
      </c>
      <c r="Q159" s="72"/>
      <c r="R159" s="72"/>
      <c r="S159" s="72"/>
      <c r="T159" s="72"/>
      <c r="U159" s="72"/>
      <c r="V159" s="72"/>
      <c r="W159" s="72"/>
      <c r="X159" s="72">
        <f>725+922+1369+794+1333</f>
        <v>5143</v>
      </c>
    </row>
    <row r="160" spans="2:24" ht="61.5" thickBot="1" x14ac:dyDescent="0.3">
      <c r="B160" s="93" t="s">
        <v>43</v>
      </c>
      <c r="C160" s="44" t="s">
        <v>59</v>
      </c>
      <c r="D160" s="67"/>
      <c r="E160" s="67"/>
      <c r="F160" s="67"/>
      <c r="G160" s="67"/>
      <c r="H160" s="67"/>
      <c r="I160" s="67"/>
      <c r="J160" s="67"/>
      <c r="K160" s="67">
        <f>636+788+1081+941+1337</f>
        <v>4783</v>
      </c>
      <c r="L160" s="67"/>
      <c r="M160" s="74"/>
      <c r="N160" s="74"/>
      <c r="O160" s="97" t="s">
        <v>43</v>
      </c>
      <c r="P160" s="89" t="s">
        <v>64</v>
      </c>
      <c r="Q160" s="72"/>
      <c r="R160" s="72"/>
      <c r="S160" s="72"/>
      <c r="T160" s="72"/>
      <c r="U160" s="72"/>
      <c r="V160" s="72"/>
      <c r="W160" s="72">
        <f>1900+239+144+218+805+355+251.5+250+287</f>
        <v>4449.5</v>
      </c>
      <c r="X160" s="67"/>
    </row>
    <row r="161" spans="2:24" ht="30.75" thickBot="1" x14ac:dyDescent="0.3">
      <c r="B161" s="93" t="s">
        <v>43</v>
      </c>
      <c r="C161" s="43" t="s">
        <v>56</v>
      </c>
      <c r="D161" s="67"/>
      <c r="E161" s="67"/>
      <c r="F161" s="67"/>
      <c r="G161" s="67"/>
      <c r="H161" s="67">
        <f>51+68+68+140+84+90+68</f>
        <v>569</v>
      </c>
      <c r="I161" s="67"/>
      <c r="J161" s="67"/>
      <c r="K161" s="67"/>
      <c r="L161" s="11"/>
      <c r="M161" s="74"/>
      <c r="N161" s="74"/>
      <c r="O161" s="97" t="s">
        <v>43</v>
      </c>
      <c r="P161" s="87" t="s">
        <v>48</v>
      </c>
      <c r="Q161" s="72">
        <f>117+540+250</f>
        <v>907</v>
      </c>
      <c r="R161" s="72"/>
      <c r="S161" s="72"/>
      <c r="T161" s="72"/>
      <c r="U161" s="72"/>
      <c r="V161" s="72"/>
      <c r="W161" s="72"/>
      <c r="X161" s="67"/>
    </row>
    <row r="162" spans="2:24" ht="26.25" thickBot="1" x14ac:dyDescent="0.3">
      <c r="B162" s="93" t="s">
        <v>43</v>
      </c>
      <c r="C162" s="96" t="s">
        <v>45</v>
      </c>
      <c r="D162" s="67"/>
      <c r="E162" s="67">
        <v>369</v>
      </c>
      <c r="F162" s="67"/>
      <c r="G162" s="67"/>
      <c r="H162" s="67"/>
      <c r="I162" s="67">
        <f>403</f>
        <v>403</v>
      </c>
      <c r="J162" s="67"/>
      <c r="K162" s="67"/>
      <c r="L162" s="11"/>
      <c r="M162" s="74"/>
      <c r="N162" s="74"/>
      <c r="O162" s="97" t="s">
        <v>43</v>
      </c>
      <c r="P162" s="88" t="s">
        <v>12</v>
      </c>
      <c r="Q162" s="72"/>
      <c r="R162" s="72"/>
      <c r="S162" s="72"/>
      <c r="T162" s="72"/>
      <c r="U162" s="72">
        <v>403</v>
      </c>
      <c r="V162" s="72"/>
      <c r="W162" s="72"/>
      <c r="X162" s="67"/>
    </row>
    <row r="163" spans="2:24" ht="25.5" thickBot="1" x14ac:dyDescent="0.3">
      <c r="B163" s="93" t="s">
        <v>43</v>
      </c>
      <c r="C163" s="43" t="s">
        <v>27</v>
      </c>
      <c r="D163" s="67"/>
      <c r="E163" s="67"/>
      <c r="F163" s="67"/>
      <c r="G163" s="67"/>
      <c r="H163" s="67"/>
      <c r="I163" s="67"/>
      <c r="J163" s="67"/>
      <c r="K163" s="67"/>
      <c r="L163" s="11"/>
      <c r="M163" s="74"/>
      <c r="N163" s="74"/>
      <c r="O163" s="97" t="s">
        <v>43</v>
      </c>
      <c r="P163" s="89" t="s">
        <v>62</v>
      </c>
      <c r="Q163" s="72"/>
      <c r="R163" s="72">
        <f>38+42+9</f>
        <v>89</v>
      </c>
      <c r="S163" s="72"/>
      <c r="T163" s="72"/>
      <c r="U163" s="72"/>
      <c r="V163" s="72"/>
      <c r="W163" s="72"/>
      <c r="X163" s="67"/>
    </row>
    <row r="164" spans="2:24" ht="36.75" thickBot="1" x14ac:dyDescent="0.3">
      <c r="B164" s="93" t="s">
        <v>43</v>
      </c>
      <c r="C164" s="44" t="s">
        <v>31</v>
      </c>
      <c r="D164" s="67"/>
      <c r="E164" s="67"/>
      <c r="F164" s="67"/>
      <c r="G164" s="67"/>
      <c r="H164" s="67"/>
      <c r="I164" s="67"/>
      <c r="J164" s="67"/>
      <c r="K164" s="67"/>
      <c r="L164" s="11"/>
      <c r="M164" s="74"/>
      <c r="N164" s="74"/>
      <c r="O164" s="97" t="s">
        <v>43</v>
      </c>
      <c r="P164" s="89" t="s">
        <v>47</v>
      </c>
      <c r="Q164" s="72"/>
      <c r="R164" s="72"/>
      <c r="S164" s="72"/>
      <c r="T164" s="72">
        <v>58</v>
      </c>
      <c r="U164" s="72"/>
      <c r="V164" s="72"/>
      <c r="W164" s="72"/>
      <c r="X164" s="67"/>
    </row>
    <row r="165" spans="2:24" ht="49.5" thickBot="1" x14ac:dyDescent="0.3">
      <c r="B165" s="93" t="s">
        <v>43</v>
      </c>
      <c r="C165" s="44" t="s">
        <v>58</v>
      </c>
      <c r="D165" s="67"/>
      <c r="E165" s="67"/>
      <c r="F165" s="67"/>
      <c r="G165" s="67"/>
      <c r="H165" s="67"/>
      <c r="I165" s="67"/>
      <c r="J165" s="94">
        <f>1511+444+20+287+262.5</f>
        <v>2524.5</v>
      </c>
      <c r="K165" s="67"/>
      <c r="L165" s="11"/>
      <c r="M165" s="74"/>
      <c r="N165" s="74"/>
      <c r="O165" s="97" t="s">
        <v>43</v>
      </c>
      <c r="P165" s="89" t="s">
        <v>65</v>
      </c>
      <c r="Q165" s="72"/>
      <c r="R165" s="72"/>
      <c r="S165" s="72">
        <f>50+45+14+2300+35</f>
        <v>2444</v>
      </c>
      <c r="T165" s="72"/>
      <c r="U165" s="72"/>
      <c r="V165" s="72"/>
      <c r="W165" s="72"/>
      <c r="X165" s="67"/>
    </row>
    <row r="166" spans="2:24" ht="27" thickBot="1" x14ac:dyDescent="0.3">
      <c r="B166" s="93" t="s">
        <v>43</v>
      </c>
      <c r="C166" s="42" t="s">
        <v>44</v>
      </c>
      <c r="D166" s="67"/>
      <c r="E166" s="67"/>
      <c r="F166" s="67"/>
      <c r="G166" s="67"/>
      <c r="H166" s="67"/>
      <c r="I166" s="67"/>
      <c r="J166" s="67">
        <f>127</f>
        <v>127</v>
      </c>
      <c r="K166" s="67"/>
      <c r="L166" s="11"/>
      <c r="M166" s="74"/>
      <c r="N166" s="74"/>
      <c r="O166" s="97" t="s">
        <v>43</v>
      </c>
      <c r="P166" s="90" t="s">
        <v>15</v>
      </c>
      <c r="Q166" s="72"/>
      <c r="R166" s="72"/>
      <c r="S166" s="72"/>
      <c r="T166" s="72"/>
      <c r="U166" s="72"/>
      <c r="V166" s="72"/>
      <c r="W166" s="72"/>
      <c r="X166" s="67"/>
    </row>
    <row r="167" spans="2:24" ht="48.75" thickBot="1" x14ac:dyDescent="0.3">
      <c r="B167" s="93" t="s">
        <v>43</v>
      </c>
      <c r="C167" s="44" t="s">
        <v>57</v>
      </c>
      <c r="D167" s="67"/>
      <c r="E167" s="67"/>
      <c r="F167" s="67">
        <f>40+70+2070+30+54</f>
        <v>2264</v>
      </c>
      <c r="G167" s="67"/>
      <c r="H167" s="67"/>
      <c r="I167" s="67"/>
      <c r="J167" s="67"/>
      <c r="K167" s="67"/>
      <c r="L167" s="11"/>
      <c r="M167" s="74"/>
      <c r="N167" s="74"/>
      <c r="O167" s="97" t="s">
        <v>43</v>
      </c>
      <c r="P167" s="98" t="s">
        <v>49</v>
      </c>
      <c r="Q167" s="72"/>
      <c r="R167" s="72"/>
      <c r="S167" s="72"/>
      <c r="T167" s="72"/>
      <c r="U167" s="72"/>
      <c r="V167" s="72">
        <f>700+700+710+2258+140</f>
        <v>4508</v>
      </c>
      <c r="W167" s="72"/>
      <c r="X167" s="67"/>
    </row>
    <row r="168" spans="2:24" ht="24.75" thickBot="1" x14ac:dyDescent="0.3">
      <c r="B168" s="93" t="s">
        <v>43</v>
      </c>
      <c r="C168" s="42" t="s">
        <v>11</v>
      </c>
      <c r="D168" s="67"/>
      <c r="E168" s="67"/>
      <c r="F168" s="67"/>
      <c r="G168" s="67"/>
      <c r="H168" s="67">
        <f>380+380+470</f>
        <v>1230</v>
      </c>
      <c r="I168" s="67"/>
      <c r="J168" s="67"/>
      <c r="K168" s="67"/>
      <c r="L168" s="11"/>
      <c r="M168" s="74"/>
      <c r="N168" s="74"/>
      <c r="O168" s="97" t="s">
        <v>43</v>
      </c>
      <c r="P168" s="88" t="s">
        <v>34</v>
      </c>
      <c r="Q168" s="72"/>
      <c r="R168" s="72"/>
      <c r="S168" s="72"/>
      <c r="T168" s="72"/>
      <c r="U168" s="72"/>
      <c r="V168" s="72">
        <f>68+170+170+170+280+221</f>
        <v>1079</v>
      </c>
      <c r="W168" s="72"/>
      <c r="X168" s="67"/>
    </row>
    <row r="169" spans="2:24" ht="24" x14ac:dyDescent="0.25">
      <c r="B169" s="93" t="s">
        <v>43</v>
      </c>
      <c r="C169" s="95" t="s">
        <v>46</v>
      </c>
      <c r="D169" s="67"/>
      <c r="E169" s="67"/>
      <c r="F169" s="67"/>
      <c r="G169" s="67"/>
      <c r="H169" s="67"/>
      <c r="I169" s="67"/>
      <c r="J169" s="67"/>
      <c r="K169" s="67"/>
      <c r="L169" s="11">
        <f>765+243</f>
        <v>1008</v>
      </c>
      <c r="M169" s="74"/>
      <c r="N169" s="74"/>
      <c r="O169" s="97" t="s">
        <v>43</v>
      </c>
      <c r="P169" s="88"/>
      <c r="Q169" s="72"/>
      <c r="R169" s="72"/>
      <c r="S169" s="72"/>
      <c r="T169" s="72"/>
      <c r="U169" s="72"/>
      <c r="V169" s="72"/>
      <c r="W169" s="72"/>
      <c r="X169" s="67"/>
    </row>
    <row r="170" spans="2:24" x14ac:dyDescent="0.25">
      <c r="B170" s="9"/>
      <c r="C170" s="10"/>
      <c r="D170" s="67"/>
      <c r="E170" s="67"/>
      <c r="F170" s="67"/>
      <c r="G170" s="67"/>
      <c r="H170" s="67"/>
      <c r="I170" s="67"/>
      <c r="J170" s="67"/>
      <c r="K170" s="67"/>
      <c r="L170" s="11"/>
      <c r="M170" s="74"/>
      <c r="N170" s="74"/>
      <c r="O170" s="92"/>
      <c r="P170" s="91"/>
      <c r="Q170" s="67"/>
      <c r="R170" s="67"/>
      <c r="S170" s="67"/>
      <c r="T170" s="67"/>
      <c r="U170" s="67"/>
      <c r="V170" s="67"/>
      <c r="W170" s="67"/>
      <c r="X170" s="67"/>
    </row>
    <row r="171" spans="2:24" x14ac:dyDescent="0.25">
      <c r="B171" s="9"/>
      <c r="C171" s="10"/>
      <c r="D171" s="67">
        <v>0</v>
      </c>
      <c r="E171" s="67"/>
      <c r="F171" s="67"/>
      <c r="G171" s="67"/>
      <c r="H171" s="67"/>
      <c r="I171" s="67"/>
      <c r="J171" s="67"/>
      <c r="K171" s="67"/>
      <c r="L171" s="11"/>
      <c r="M171" s="74"/>
      <c r="N171" s="74"/>
      <c r="O171" s="92"/>
      <c r="P171" s="91"/>
      <c r="Q171" s="67"/>
      <c r="R171" s="67"/>
      <c r="S171" s="67"/>
      <c r="T171" s="67"/>
      <c r="U171" s="67"/>
      <c r="V171" s="67"/>
      <c r="W171" s="67"/>
      <c r="X171" s="67"/>
    </row>
    <row r="172" spans="2:24" ht="15.75" thickBot="1" x14ac:dyDescent="0.3">
      <c r="B172" s="9"/>
      <c r="C172" s="34"/>
      <c r="D172" s="73">
        <v>0</v>
      </c>
      <c r="E172" s="73"/>
      <c r="F172" s="73"/>
      <c r="G172" s="73"/>
      <c r="H172" s="73"/>
      <c r="I172" s="73"/>
      <c r="J172" s="73"/>
      <c r="K172" s="73"/>
      <c r="L172" s="20"/>
      <c r="M172" s="74"/>
      <c r="N172" s="74"/>
      <c r="O172" s="46"/>
      <c r="P172" s="51"/>
      <c r="Q172" s="73">
        <v>0</v>
      </c>
      <c r="R172" s="73"/>
      <c r="S172" s="73"/>
      <c r="T172" s="73"/>
      <c r="U172" s="73"/>
      <c r="V172" s="73"/>
      <c r="W172" s="73"/>
      <c r="X172" s="73"/>
    </row>
    <row r="173" spans="2:24" ht="24" thickBot="1" x14ac:dyDescent="0.3">
      <c r="C173" s="35" t="s">
        <v>18</v>
      </c>
      <c r="D173" s="30">
        <f t="shared" ref="D173:L173" si="24">SUM(D159:D172)</f>
        <v>170</v>
      </c>
      <c r="E173" s="31">
        <f t="shared" si="24"/>
        <v>369</v>
      </c>
      <c r="F173" s="31">
        <f t="shared" si="24"/>
        <v>2264</v>
      </c>
      <c r="G173" s="31">
        <f t="shared" si="24"/>
        <v>0</v>
      </c>
      <c r="H173" s="31">
        <f t="shared" si="24"/>
        <v>1799</v>
      </c>
      <c r="I173" s="31">
        <f t="shared" si="24"/>
        <v>403</v>
      </c>
      <c r="J173" s="22">
        <f t="shared" si="24"/>
        <v>2651.5</v>
      </c>
      <c r="K173" s="32">
        <f t="shared" si="24"/>
        <v>4783</v>
      </c>
      <c r="L173" s="100">
        <f t="shared" si="24"/>
        <v>1008</v>
      </c>
      <c r="M173" s="75"/>
      <c r="N173" s="74"/>
      <c r="P173" s="33" t="s">
        <v>18</v>
      </c>
      <c r="Q173" s="21">
        <f t="shared" ref="Q173:X173" si="25">SUM(Q159:Q172)</f>
        <v>907</v>
      </c>
      <c r="R173" s="22">
        <f t="shared" si="25"/>
        <v>89</v>
      </c>
      <c r="S173" s="22">
        <f t="shared" si="25"/>
        <v>2444</v>
      </c>
      <c r="T173" s="22">
        <f t="shared" si="25"/>
        <v>58</v>
      </c>
      <c r="U173" s="22">
        <f t="shared" si="25"/>
        <v>403</v>
      </c>
      <c r="V173" s="22">
        <f t="shared" si="25"/>
        <v>5587</v>
      </c>
      <c r="W173" s="22">
        <f t="shared" si="25"/>
        <v>4449.5</v>
      </c>
      <c r="X173" s="23">
        <f t="shared" si="25"/>
        <v>5143</v>
      </c>
    </row>
    <row r="174" spans="2:24" ht="15.75" thickBot="1" x14ac:dyDescent="0.3">
      <c r="D174" s="5"/>
      <c r="E174" s="5"/>
      <c r="F174" s="5"/>
      <c r="G174" s="5"/>
      <c r="H174" s="5"/>
      <c r="I174" s="5"/>
      <c r="J174" s="5"/>
      <c r="K174" s="5"/>
      <c r="L174" s="78"/>
      <c r="M174" s="76"/>
      <c r="N174" s="74"/>
      <c r="Q174" s="5"/>
      <c r="R174" s="5"/>
      <c r="S174" s="5"/>
      <c r="T174" s="5"/>
      <c r="U174" s="5"/>
      <c r="V174" s="5"/>
      <c r="W174" s="5"/>
      <c r="X174" s="5"/>
    </row>
    <row r="175" spans="2:24" ht="21.75" thickBot="1" x14ac:dyDescent="0.4">
      <c r="D175" s="5"/>
      <c r="E175" s="5"/>
      <c r="F175" s="192">
        <f>K173+J173+I173+H173+G173+F173+E173+D173+L173</f>
        <v>13447.5</v>
      </c>
      <c r="G175" s="193"/>
      <c r="H175" s="194"/>
      <c r="I175" s="5"/>
      <c r="J175" s="5">
        <v>13447.5</v>
      </c>
      <c r="K175" s="5"/>
      <c r="L175" s="78"/>
      <c r="M175" s="76"/>
      <c r="N175" s="74"/>
      <c r="Q175" s="5"/>
      <c r="R175" s="5"/>
      <c r="S175" s="197">
        <f>Q173+R173+S173+T173+U173+V173+W173+X173</f>
        <v>19080.5</v>
      </c>
      <c r="T175" s="198"/>
      <c r="U175" s="199"/>
      <c r="V175" s="5">
        <v>19080.5</v>
      </c>
      <c r="W175" s="5"/>
      <c r="X175" s="5"/>
    </row>
    <row r="176" spans="2:24" x14ac:dyDescent="0.25">
      <c r="D176" s="5"/>
      <c r="E176" s="5"/>
      <c r="F176" s="5"/>
      <c r="G176" s="5"/>
      <c r="H176" s="5"/>
      <c r="J176" s="5"/>
      <c r="K176" s="5"/>
      <c r="L176" s="78"/>
      <c r="M176" s="76"/>
      <c r="N176" s="74"/>
      <c r="Q176" s="5"/>
      <c r="R176" s="5"/>
      <c r="S176" s="5"/>
      <c r="T176" s="5"/>
      <c r="U176" s="5"/>
      <c r="V176" s="5"/>
      <c r="W176" s="5"/>
      <c r="X176" s="5"/>
    </row>
    <row r="177" spans="2:26" x14ac:dyDescent="0.25">
      <c r="D177" s="5"/>
      <c r="E177" s="5"/>
      <c r="F177" s="5"/>
      <c r="G177" s="5"/>
      <c r="H177" s="5"/>
      <c r="I177" s="5"/>
      <c r="J177" s="5"/>
      <c r="K177" s="5"/>
      <c r="L177" s="78"/>
      <c r="M177" s="76"/>
      <c r="N177" s="74"/>
      <c r="Q177" s="5"/>
      <c r="R177" s="5"/>
      <c r="S177" s="5"/>
      <c r="T177" s="5"/>
      <c r="U177" s="5"/>
      <c r="V177" s="5"/>
      <c r="W177" s="5"/>
      <c r="X177" s="5"/>
    </row>
    <row r="178" spans="2:26" ht="15.75" thickBot="1" x14ac:dyDescent="0.3">
      <c r="D178" s="5"/>
      <c r="E178" s="5"/>
      <c r="F178" s="5"/>
      <c r="G178" s="5"/>
      <c r="H178" s="5"/>
      <c r="I178" s="5"/>
      <c r="J178" s="5"/>
      <c r="K178" s="5"/>
      <c r="L178" s="78"/>
      <c r="M178" s="79"/>
      <c r="N178" s="74"/>
      <c r="Q178" s="5"/>
      <c r="R178" s="5"/>
      <c r="S178" s="5"/>
      <c r="T178" s="5"/>
      <c r="U178" s="5"/>
      <c r="V178" s="5"/>
      <c r="W178" s="5"/>
      <c r="X178" s="5"/>
    </row>
    <row r="179" spans="2:26" x14ac:dyDescent="0.25">
      <c r="L179" s="80"/>
      <c r="M179" s="80"/>
    </row>
    <row r="180" spans="2:26" x14ac:dyDescent="0.25">
      <c r="L180" s="80"/>
      <c r="M180" s="80"/>
    </row>
    <row r="181" spans="2:26" ht="15.75" thickBot="1" x14ac:dyDescent="0.3"/>
    <row r="182" spans="2:26" ht="22.5" thickTop="1" thickBot="1" x14ac:dyDescent="0.4">
      <c r="C182" s="187" t="s">
        <v>36</v>
      </c>
      <c r="D182" s="188"/>
      <c r="E182" s="188"/>
      <c r="F182" s="188"/>
      <c r="G182" s="188"/>
      <c r="H182" s="188"/>
      <c r="I182" s="188"/>
      <c r="J182" s="188"/>
      <c r="K182" s="188"/>
      <c r="L182" s="84" t="s">
        <v>41</v>
      </c>
      <c r="M182" s="83"/>
      <c r="N182" s="81"/>
      <c r="O182" s="195" t="s">
        <v>19</v>
      </c>
      <c r="P182" s="196"/>
      <c r="Q182" s="196"/>
      <c r="R182" s="196"/>
      <c r="S182" s="196"/>
      <c r="T182" s="196"/>
      <c r="U182" s="196"/>
      <c r="V182" s="196"/>
      <c r="W182" s="196"/>
      <c r="X182" s="85" t="s">
        <v>41</v>
      </c>
    </row>
    <row r="183" spans="2:26" ht="16.5" thickBot="1" x14ac:dyDescent="0.3">
      <c r="I183" s="189" t="s">
        <v>37</v>
      </c>
      <c r="J183" s="190"/>
      <c r="K183" s="191"/>
      <c r="L183" s="68"/>
      <c r="M183" s="59"/>
      <c r="N183" s="74"/>
      <c r="W183" s="190"/>
      <c r="X183" s="191"/>
    </row>
    <row r="184" spans="2:26" s="2" customFormat="1" ht="64.5" thickTop="1" thickBot="1" x14ac:dyDescent="0.3">
      <c r="B184" s="6" t="s">
        <v>0</v>
      </c>
      <c r="C184" s="24" t="s">
        <v>1</v>
      </c>
      <c r="D184" s="25" t="s">
        <v>2</v>
      </c>
      <c r="E184" s="26" t="s">
        <v>7</v>
      </c>
      <c r="F184" s="56" t="s">
        <v>38</v>
      </c>
      <c r="G184" s="25" t="s">
        <v>3</v>
      </c>
      <c r="H184" s="27" t="s">
        <v>22</v>
      </c>
      <c r="I184" s="60" t="s">
        <v>4</v>
      </c>
      <c r="J184" s="61" t="s">
        <v>8</v>
      </c>
      <c r="K184" s="62" t="s">
        <v>5</v>
      </c>
      <c r="L184" s="69"/>
      <c r="M184" s="38"/>
      <c r="N184" s="82"/>
      <c r="O184" s="36" t="s">
        <v>0</v>
      </c>
      <c r="P184" s="18" t="s">
        <v>1</v>
      </c>
      <c r="Q184" s="64" t="s">
        <v>2</v>
      </c>
      <c r="R184" s="19" t="s">
        <v>16</v>
      </c>
      <c r="S184" s="54" t="s">
        <v>38</v>
      </c>
      <c r="T184" s="14" t="s">
        <v>3</v>
      </c>
      <c r="U184" s="14" t="s">
        <v>4</v>
      </c>
      <c r="V184" s="55" t="s">
        <v>25</v>
      </c>
      <c r="W184" s="57" t="s">
        <v>8</v>
      </c>
      <c r="X184" s="58" t="s">
        <v>5</v>
      </c>
    </row>
    <row r="185" spans="2:26" ht="48.75" x14ac:dyDescent="0.25">
      <c r="B185" s="40" t="s">
        <v>20</v>
      </c>
      <c r="C185" s="41" t="s">
        <v>6</v>
      </c>
      <c r="D185" s="72">
        <v>160</v>
      </c>
      <c r="E185" s="72">
        <v>0</v>
      </c>
      <c r="F185" s="72">
        <v>0</v>
      </c>
      <c r="G185" s="72">
        <v>0</v>
      </c>
      <c r="H185" s="72">
        <v>0</v>
      </c>
      <c r="I185" s="72">
        <v>0</v>
      </c>
      <c r="J185" s="72"/>
      <c r="K185" s="72">
        <v>0</v>
      </c>
      <c r="L185" s="70"/>
      <c r="M185" s="74"/>
      <c r="N185" s="74"/>
      <c r="O185" s="52" t="s">
        <v>20</v>
      </c>
      <c r="P185" s="53" t="s">
        <v>35</v>
      </c>
      <c r="Q185" s="72">
        <v>0</v>
      </c>
      <c r="R185" s="72">
        <v>0</v>
      </c>
      <c r="S185" s="72">
        <v>0</v>
      </c>
      <c r="T185" s="72">
        <v>0</v>
      </c>
      <c r="U185" s="72">
        <v>0</v>
      </c>
      <c r="V185" s="72">
        <v>0</v>
      </c>
      <c r="W185" s="72">
        <v>0</v>
      </c>
      <c r="X185" s="72">
        <f>109+1973+1400+1641+70+756+830</f>
        <v>6779</v>
      </c>
      <c r="Y185" s="65"/>
      <c r="Z185" s="65"/>
    </row>
    <row r="186" spans="2:26" ht="45.75" customHeight="1" x14ac:dyDescent="0.25">
      <c r="B186" s="40" t="s">
        <v>20</v>
      </c>
      <c r="C186" s="44" t="s">
        <v>29</v>
      </c>
      <c r="D186" s="67">
        <v>0</v>
      </c>
      <c r="E186" s="67">
        <v>0</v>
      </c>
      <c r="F186" s="67">
        <v>0</v>
      </c>
      <c r="G186" s="67">
        <v>0</v>
      </c>
      <c r="H186" s="67">
        <v>0</v>
      </c>
      <c r="I186" s="67">
        <v>0</v>
      </c>
      <c r="J186" s="67"/>
      <c r="K186" s="67">
        <f>542+680+1493+1388+806+1177</f>
        <v>6086</v>
      </c>
      <c r="L186" s="71"/>
      <c r="M186" s="74"/>
      <c r="N186" s="74"/>
      <c r="O186" s="52" t="s">
        <v>20</v>
      </c>
      <c r="P186" s="47" t="s">
        <v>23</v>
      </c>
      <c r="Q186" s="72">
        <v>0</v>
      </c>
      <c r="R186" s="72">
        <v>0</v>
      </c>
      <c r="S186" s="72">
        <v>0</v>
      </c>
      <c r="T186" s="72">
        <v>0</v>
      </c>
      <c r="U186" s="72">
        <v>0</v>
      </c>
      <c r="V186" s="72">
        <v>0</v>
      </c>
      <c r="W186" s="72">
        <f>127+896+100</f>
        <v>1123</v>
      </c>
      <c r="X186" s="67">
        <v>0</v>
      </c>
    </row>
    <row r="187" spans="2:26" ht="38.25" customHeight="1" x14ac:dyDescent="0.25">
      <c r="B187" s="40" t="s">
        <v>20</v>
      </c>
      <c r="C187" s="43" t="s">
        <v>21</v>
      </c>
      <c r="D187" s="67">
        <v>0</v>
      </c>
      <c r="E187" s="67">
        <v>0</v>
      </c>
      <c r="F187" s="67">
        <v>0</v>
      </c>
      <c r="G187" s="67">
        <v>0</v>
      </c>
      <c r="H187" s="67">
        <f>78+66+102+68+102+51+51</f>
        <v>518</v>
      </c>
      <c r="I187" s="67">
        <v>0</v>
      </c>
      <c r="J187" s="67"/>
      <c r="K187" s="67">
        <v>0</v>
      </c>
      <c r="L187" s="70"/>
      <c r="M187" s="74"/>
      <c r="N187" s="74"/>
      <c r="O187" s="52" t="s">
        <v>20</v>
      </c>
      <c r="P187" s="50" t="s">
        <v>40</v>
      </c>
      <c r="Q187" s="72">
        <f>144+287+180</f>
        <v>611</v>
      </c>
      <c r="R187" s="72">
        <v>0</v>
      </c>
      <c r="S187" s="72">
        <v>0</v>
      </c>
      <c r="T187" s="72">
        <v>0</v>
      </c>
      <c r="U187" s="72">
        <v>0</v>
      </c>
      <c r="V187" s="72">
        <v>0</v>
      </c>
      <c r="W187" s="72">
        <v>0</v>
      </c>
      <c r="X187" s="67">
        <v>0</v>
      </c>
    </row>
    <row r="188" spans="2:26" ht="22.5" customHeight="1" x14ac:dyDescent="0.25">
      <c r="B188" s="40" t="s">
        <v>20</v>
      </c>
      <c r="C188" s="42" t="s">
        <v>10</v>
      </c>
      <c r="D188" s="67">
        <v>0</v>
      </c>
      <c r="E188" s="67">
        <v>123</v>
      </c>
      <c r="F188" s="67">
        <v>0</v>
      </c>
      <c r="G188" s="67">
        <v>0</v>
      </c>
      <c r="H188" s="67">
        <v>0</v>
      </c>
      <c r="I188" s="67">
        <f>391+81</f>
        <v>472</v>
      </c>
      <c r="J188" s="67"/>
      <c r="K188" s="67">
        <v>0</v>
      </c>
      <c r="L188" s="70"/>
      <c r="M188" s="74"/>
      <c r="N188" s="74"/>
      <c r="O188" s="52" t="s">
        <v>20</v>
      </c>
      <c r="P188" s="48" t="s">
        <v>12</v>
      </c>
      <c r="Q188" s="72">
        <v>0</v>
      </c>
      <c r="R188" s="72">
        <v>0</v>
      </c>
      <c r="S188" s="72">
        <v>0</v>
      </c>
      <c r="T188" s="72">
        <v>0</v>
      </c>
      <c r="U188" s="72">
        <v>779</v>
      </c>
      <c r="V188" s="72">
        <v>0</v>
      </c>
      <c r="W188" s="72">
        <v>0</v>
      </c>
      <c r="X188" s="67">
        <v>0</v>
      </c>
    </row>
    <row r="189" spans="2:26" ht="22.5" customHeight="1" x14ac:dyDescent="0.25">
      <c r="B189" s="40" t="s">
        <v>20</v>
      </c>
      <c r="C189" s="43" t="s">
        <v>27</v>
      </c>
      <c r="D189" s="67">
        <v>242</v>
      </c>
      <c r="E189" s="67">
        <v>0</v>
      </c>
      <c r="F189" s="67">
        <f>60</f>
        <v>60</v>
      </c>
      <c r="G189" s="67">
        <v>0</v>
      </c>
      <c r="H189" s="67">
        <v>0</v>
      </c>
      <c r="I189" s="67">
        <v>0</v>
      </c>
      <c r="J189" s="67"/>
      <c r="K189" s="67">
        <v>0</v>
      </c>
      <c r="L189" s="70"/>
      <c r="M189" s="74"/>
      <c r="N189" s="74"/>
      <c r="O189" s="52" t="s">
        <v>20</v>
      </c>
      <c r="P189" s="48" t="s">
        <v>13</v>
      </c>
      <c r="Q189" s="72">
        <v>0</v>
      </c>
      <c r="R189" s="72">
        <v>0</v>
      </c>
      <c r="S189" s="72">
        <v>0</v>
      </c>
      <c r="T189" s="72">
        <v>0</v>
      </c>
      <c r="U189" s="72">
        <v>0</v>
      </c>
      <c r="V189" s="72">
        <v>0</v>
      </c>
      <c r="W189" s="72">
        <f>327+60</f>
        <v>387</v>
      </c>
      <c r="X189" s="67">
        <v>0</v>
      </c>
    </row>
    <row r="190" spans="2:26" ht="36" x14ac:dyDescent="0.25">
      <c r="B190" s="40" t="s">
        <v>20</v>
      </c>
      <c r="C190" s="44" t="s">
        <v>31</v>
      </c>
      <c r="D190" s="67">
        <v>0</v>
      </c>
      <c r="E190" s="67">
        <v>0</v>
      </c>
      <c r="F190" s="67">
        <v>0</v>
      </c>
      <c r="G190" s="67">
        <f>40+45</f>
        <v>85</v>
      </c>
      <c r="H190" s="67">
        <v>0</v>
      </c>
      <c r="I190" s="67">
        <v>0</v>
      </c>
      <c r="J190" s="67"/>
      <c r="K190" s="67">
        <v>0</v>
      </c>
      <c r="L190" s="70"/>
      <c r="M190" s="74"/>
      <c r="N190" s="74"/>
      <c r="O190" s="52" t="s">
        <v>20</v>
      </c>
      <c r="P190" s="49" t="s">
        <v>33</v>
      </c>
      <c r="Q190" s="72">
        <v>0</v>
      </c>
      <c r="R190" s="72">
        <v>0</v>
      </c>
      <c r="S190" s="72">
        <v>0</v>
      </c>
      <c r="T190" s="72">
        <f>90+10+234</f>
        <v>334</v>
      </c>
      <c r="U190" s="72">
        <v>0</v>
      </c>
      <c r="V190" s="72">
        <v>0</v>
      </c>
      <c r="W190" s="72">
        <v>0</v>
      </c>
      <c r="X190" s="67">
        <v>0</v>
      </c>
    </row>
    <row r="191" spans="2:26" ht="36.75" x14ac:dyDescent="0.25">
      <c r="B191" s="40" t="s">
        <v>20</v>
      </c>
      <c r="C191" s="44" t="s">
        <v>28</v>
      </c>
      <c r="D191" s="67">
        <v>0</v>
      </c>
      <c r="E191" s="67">
        <v>0</v>
      </c>
      <c r="F191" s="67">
        <v>0</v>
      </c>
      <c r="G191" s="67">
        <v>0</v>
      </c>
      <c r="H191" s="67">
        <v>0</v>
      </c>
      <c r="I191" s="67">
        <v>0</v>
      </c>
      <c r="J191" s="67">
        <f>1013+1701</f>
        <v>2714</v>
      </c>
      <c r="K191" s="67">
        <v>0</v>
      </c>
      <c r="L191" s="70"/>
      <c r="M191" s="74"/>
      <c r="N191" s="74"/>
      <c r="O191" s="52" t="s">
        <v>20</v>
      </c>
      <c r="P191" s="49" t="s">
        <v>39</v>
      </c>
      <c r="Q191" s="72">
        <v>0</v>
      </c>
      <c r="R191" s="72">
        <v>0</v>
      </c>
      <c r="S191" s="72">
        <f>2200+118+30+82+36+338</f>
        <v>2804</v>
      </c>
      <c r="T191" s="72">
        <v>0</v>
      </c>
      <c r="U191" s="72">
        <v>0</v>
      </c>
      <c r="V191" s="72">
        <v>0</v>
      </c>
      <c r="W191" s="72">
        <v>0</v>
      </c>
      <c r="X191" s="67">
        <v>0</v>
      </c>
    </row>
    <row r="192" spans="2:26" ht="32.25" customHeight="1" x14ac:dyDescent="0.25">
      <c r="B192" s="40" t="s">
        <v>20</v>
      </c>
      <c r="C192" s="42" t="s">
        <v>9</v>
      </c>
      <c r="D192" s="67">
        <v>0</v>
      </c>
      <c r="E192" s="67">
        <v>180</v>
      </c>
      <c r="F192" s="67">
        <v>0</v>
      </c>
      <c r="G192" s="67">
        <v>0</v>
      </c>
      <c r="H192" s="67">
        <v>0</v>
      </c>
      <c r="I192" s="67">
        <v>0</v>
      </c>
      <c r="J192" s="67">
        <v>0</v>
      </c>
      <c r="K192" s="67">
        <v>0</v>
      </c>
      <c r="L192" s="70"/>
      <c r="M192" s="74"/>
      <c r="N192" s="74"/>
      <c r="O192" s="52" t="s">
        <v>20</v>
      </c>
      <c r="P192" s="66" t="s">
        <v>15</v>
      </c>
      <c r="Q192" s="72">
        <v>0</v>
      </c>
      <c r="R192" s="72">
        <v>1221</v>
      </c>
      <c r="S192" s="72" t="s">
        <v>26</v>
      </c>
      <c r="T192" s="72">
        <v>0</v>
      </c>
      <c r="U192" s="72">
        <v>0</v>
      </c>
      <c r="V192" s="72">
        <v>0</v>
      </c>
      <c r="W192" s="72">
        <v>0</v>
      </c>
      <c r="X192" s="67">
        <v>0</v>
      </c>
    </row>
    <row r="193" spans="2:24" ht="36" x14ac:dyDescent="0.25">
      <c r="B193" s="40" t="s">
        <v>20</v>
      </c>
      <c r="C193" s="44" t="s">
        <v>30</v>
      </c>
      <c r="D193" s="67">
        <v>0</v>
      </c>
      <c r="E193" s="67">
        <v>0</v>
      </c>
      <c r="F193" s="67">
        <f>1638+45+36</f>
        <v>1719</v>
      </c>
      <c r="G193" s="67">
        <v>0</v>
      </c>
      <c r="H193" s="67">
        <v>0</v>
      </c>
      <c r="I193" s="67">
        <v>0</v>
      </c>
      <c r="J193" s="67">
        <v>0</v>
      </c>
      <c r="K193" s="67">
        <v>0</v>
      </c>
      <c r="L193" s="70"/>
      <c r="M193" s="74"/>
      <c r="N193" s="74"/>
      <c r="O193" s="52" t="s">
        <v>20</v>
      </c>
      <c r="P193" s="63" t="s">
        <v>32</v>
      </c>
      <c r="Q193" s="72">
        <v>0</v>
      </c>
      <c r="R193" s="72">
        <v>0</v>
      </c>
      <c r="S193" s="72">
        <v>0</v>
      </c>
      <c r="T193" s="72">
        <v>0</v>
      </c>
      <c r="U193" s="72">
        <v>0</v>
      </c>
      <c r="V193" s="72">
        <f>700+700+3067+710</f>
        <v>5177</v>
      </c>
      <c r="W193" s="72">
        <v>0</v>
      </c>
      <c r="X193" s="67">
        <v>0</v>
      </c>
    </row>
    <row r="194" spans="2:24" ht="22.5" customHeight="1" x14ac:dyDescent="0.25">
      <c r="B194" s="40" t="s">
        <v>20</v>
      </c>
      <c r="C194" s="42" t="s">
        <v>11</v>
      </c>
      <c r="D194" s="67">
        <v>0</v>
      </c>
      <c r="E194" s="67">
        <v>0</v>
      </c>
      <c r="F194" s="67">
        <v>0</v>
      </c>
      <c r="G194" s="67">
        <v>0</v>
      </c>
      <c r="H194" s="67">
        <f>380+380+460</f>
        <v>1220</v>
      </c>
      <c r="I194" s="67">
        <v>0</v>
      </c>
      <c r="J194" s="67">
        <v>0</v>
      </c>
      <c r="K194" s="67">
        <v>0</v>
      </c>
      <c r="L194" s="70"/>
      <c r="M194" s="74"/>
      <c r="N194" s="74"/>
      <c r="O194" s="52" t="s">
        <v>20</v>
      </c>
      <c r="P194" s="48" t="s">
        <v>34</v>
      </c>
      <c r="Q194" s="72">
        <v>0</v>
      </c>
      <c r="R194" s="72">
        <v>0</v>
      </c>
      <c r="S194" s="72">
        <v>0</v>
      </c>
      <c r="T194" s="72">
        <v>0</v>
      </c>
      <c r="U194" s="72">
        <v>0</v>
      </c>
      <c r="V194" s="72">
        <f>170+238+170+153+170+336</f>
        <v>1237</v>
      </c>
      <c r="W194" s="72">
        <v>0</v>
      </c>
      <c r="X194" s="67">
        <v>0</v>
      </c>
    </row>
    <row r="195" spans="2:24" ht="22.5" customHeight="1" x14ac:dyDescent="0.25">
      <c r="B195" s="40" t="s">
        <v>20</v>
      </c>
      <c r="C195" s="45"/>
      <c r="D195" s="67">
        <v>0</v>
      </c>
      <c r="E195" s="67"/>
      <c r="F195" s="67"/>
      <c r="G195" s="67"/>
      <c r="H195" s="67"/>
      <c r="I195" s="67"/>
      <c r="J195" s="67"/>
      <c r="K195" s="67"/>
      <c r="L195" s="70"/>
      <c r="M195" s="74"/>
      <c r="N195" s="74"/>
      <c r="O195" s="52" t="s">
        <v>20</v>
      </c>
      <c r="P195" s="48"/>
      <c r="Q195" s="72">
        <v>0</v>
      </c>
      <c r="R195" s="72">
        <v>0</v>
      </c>
      <c r="S195" s="72">
        <v>0</v>
      </c>
      <c r="T195" s="72">
        <v>0</v>
      </c>
      <c r="U195" s="72">
        <v>0</v>
      </c>
      <c r="V195" s="72">
        <v>0</v>
      </c>
      <c r="W195" s="72">
        <v>0</v>
      </c>
      <c r="X195" s="67">
        <v>0</v>
      </c>
    </row>
    <row r="196" spans="2:24" ht="22.5" hidden="1" customHeight="1" x14ac:dyDescent="0.25">
      <c r="B196" s="9"/>
      <c r="C196" s="10"/>
      <c r="D196" s="67">
        <v>0</v>
      </c>
      <c r="E196" s="67"/>
      <c r="F196" s="67"/>
      <c r="G196" s="67"/>
      <c r="H196" s="67"/>
      <c r="I196" s="67"/>
      <c r="J196" s="67"/>
      <c r="K196" s="67"/>
      <c r="L196" s="70"/>
      <c r="M196" s="74"/>
      <c r="N196" s="74"/>
      <c r="O196" s="46"/>
      <c r="P196" s="51"/>
      <c r="Q196" s="67">
        <v>0</v>
      </c>
      <c r="R196" s="67"/>
      <c r="S196" s="67"/>
      <c r="T196" s="67"/>
      <c r="U196" s="67"/>
      <c r="V196" s="67"/>
      <c r="W196" s="67"/>
      <c r="X196" s="67"/>
    </row>
    <row r="197" spans="2:24" ht="22.5" hidden="1" customHeight="1" x14ac:dyDescent="0.25">
      <c r="B197" s="9"/>
      <c r="C197" s="10"/>
      <c r="D197" s="67">
        <v>0</v>
      </c>
      <c r="E197" s="67"/>
      <c r="F197" s="67"/>
      <c r="G197" s="67"/>
      <c r="H197" s="67"/>
      <c r="I197" s="67"/>
      <c r="J197" s="67"/>
      <c r="K197" s="67"/>
      <c r="L197" s="70"/>
      <c r="M197" s="74"/>
      <c r="N197" s="74"/>
      <c r="O197" s="46"/>
      <c r="P197" s="51"/>
      <c r="Q197" s="67">
        <v>0</v>
      </c>
      <c r="R197" s="67"/>
      <c r="S197" s="67"/>
      <c r="T197" s="67"/>
      <c r="U197" s="67"/>
      <c r="V197" s="67"/>
      <c r="W197" s="67"/>
      <c r="X197" s="67"/>
    </row>
    <row r="198" spans="2:24" ht="22.5" hidden="1" customHeight="1" x14ac:dyDescent="0.25">
      <c r="B198" s="9"/>
      <c r="C198" s="10"/>
      <c r="D198" s="67">
        <v>0</v>
      </c>
      <c r="E198" s="67"/>
      <c r="F198" s="67"/>
      <c r="G198" s="67"/>
      <c r="H198" s="67"/>
      <c r="I198" s="67"/>
      <c r="J198" s="67"/>
      <c r="K198" s="67"/>
      <c r="L198" s="70"/>
      <c r="M198" s="74"/>
      <c r="N198" s="74"/>
      <c r="O198" s="46"/>
      <c r="P198" s="51"/>
      <c r="Q198" s="67">
        <v>0</v>
      </c>
      <c r="R198" s="67"/>
      <c r="S198" s="67"/>
      <c r="T198" s="67"/>
      <c r="U198" s="67"/>
      <c r="V198" s="67"/>
      <c r="W198" s="67"/>
      <c r="X198" s="67"/>
    </row>
    <row r="199" spans="2:24" ht="22.5" hidden="1" customHeight="1" x14ac:dyDescent="0.25">
      <c r="B199" s="9"/>
      <c r="C199" s="10"/>
      <c r="D199" s="67">
        <v>0</v>
      </c>
      <c r="E199" s="67"/>
      <c r="F199" s="67"/>
      <c r="G199" s="67"/>
      <c r="H199" s="67"/>
      <c r="I199" s="67"/>
      <c r="J199" s="67"/>
      <c r="K199" s="67"/>
      <c r="L199" s="70"/>
      <c r="M199" s="74"/>
      <c r="N199" s="74"/>
      <c r="O199" s="46"/>
      <c r="P199" s="51"/>
      <c r="Q199" s="67">
        <v>0</v>
      </c>
      <c r="R199" s="67"/>
      <c r="S199" s="67"/>
      <c r="T199" s="67"/>
      <c r="U199" s="67"/>
      <c r="V199" s="67"/>
      <c r="W199" s="67"/>
      <c r="X199" s="67"/>
    </row>
    <row r="200" spans="2:24" ht="22.5" hidden="1" customHeight="1" x14ac:dyDescent="0.25">
      <c r="B200" s="9"/>
      <c r="C200" s="10"/>
      <c r="D200" s="67">
        <v>0</v>
      </c>
      <c r="E200" s="67"/>
      <c r="F200" s="67"/>
      <c r="G200" s="67"/>
      <c r="H200" s="67"/>
      <c r="I200" s="67"/>
      <c r="J200" s="67"/>
      <c r="K200" s="67"/>
      <c r="L200" s="70"/>
      <c r="M200" s="74"/>
      <c r="N200" s="74"/>
      <c r="O200" s="46"/>
      <c r="P200" s="51"/>
      <c r="Q200" s="67">
        <v>0</v>
      </c>
      <c r="R200" s="67"/>
      <c r="S200" s="67"/>
      <c r="T200" s="67"/>
      <c r="U200" s="67"/>
      <c r="V200" s="67"/>
      <c r="W200" s="67"/>
      <c r="X200" s="67"/>
    </row>
    <row r="201" spans="2:24" ht="22.5" hidden="1" customHeight="1" x14ac:dyDescent="0.25">
      <c r="B201" s="9"/>
      <c r="C201" s="10"/>
      <c r="D201" s="67">
        <v>0</v>
      </c>
      <c r="E201" s="67"/>
      <c r="F201" s="67"/>
      <c r="G201" s="67"/>
      <c r="H201" s="67"/>
      <c r="I201" s="67"/>
      <c r="J201" s="67"/>
      <c r="K201" s="67"/>
      <c r="L201" s="70"/>
      <c r="M201" s="74"/>
      <c r="N201" s="74"/>
      <c r="O201" s="46"/>
      <c r="P201" s="51"/>
      <c r="Q201" s="67">
        <v>0</v>
      </c>
      <c r="R201" s="67"/>
      <c r="S201" s="67"/>
      <c r="T201" s="67"/>
      <c r="U201" s="67"/>
      <c r="V201" s="67"/>
      <c r="W201" s="67"/>
      <c r="X201" s="67"/>
    </row>
    <row r="202" spans="2:24" ht="22.5" hidden="1" customHeight="1" x14ac:dyDescent="0.25">
      <c r="B202" s="9"/>
      <c r="C202" s="10"/>
      <c r="D202" s="67">
        <v>0</v>
      </c>
      <c r="E202" s="67"/>
      <c r="F202" s="67"/>
      <c r="G202" s="67"/>
      <c r="H202" s="67"/>
      <c r="I202" s="67"/>
      <c r="J202" s="67"/>
      <c r="K202" s="67"/>
      <c r="L202" s="70"/>
      <c r="M202" s="74"/>
      <c r="N202" s="74"/>
      <c r="O202" s="46"/>
      <c r="P202" s="51"/>
      <c r="Q202" s="67">
        <v>0</v>
      </c>
      <c r="R202" s="67"/>
      <c r="S202" s="67"/>
      <c r="T202" s="67"/>
      <c r="U202" s="67"/>
      <c r="V202" s="67"/>
      <c r="W202" s="67"/>
      <c r="X202" s="67"/>
    </row>
    <row r="203" spans="2:24" ht="22.5" hidden="1" customHeight="1" x14ac:dyDescent="0.25">
      <c r="B203" s="9"/>
      <c r="C203" s="10"/>
      <c r="D203" s="67">
        <v>0</v>
      </c>
      <c r="E203" s="67"/>
      <c r="F203" s="67"/>
      <c r="G203" s="67"/>
      <c r="H203" s="67"/>
      <c r="I203" s="67"/>
      <c r="J203" s="67"/>
      <c r="K203" s="67"/>
      <c r="L203" s="70"/>
      <c r="M203" s="74"/>
      <c r="N203" s="74"/>
      <c r="O203" s="46"/>
      <c r="P203" s="51"/>
      <c r="Q203" s="67">
        <v>0</v>
      </c>
      <c r="R203" s="67"/>
      <c r="S203" s="67"/>
      <c r="T203" s="67"/>
      <c r="U203" s="67"/>
      <c r="V203" s="67"/>
      <c r="W203" s="67"/>
      <c r="X203" s="67"/>
    </row>
    <row r="204" spans="2:24" ht="22.5" hidden="1" customHeight="1" x14ac:dyDescent="0.25">
      <c r="B204" s="9"/>
      <c r="C204" s="10"/>
      <c r="D204" s="67">
        <v>0</v>
      </c>
      <c r="E204" s="67"/>
      <c r="F204" s="67"/>
      <c r="G204" s="67"/>
      <c r="H204" s="67"/>
      <c r="I204" s="67"/>
      <c r="J204" s="67"/>
      <c r="K204" s="67"/>
      <c r="L204" s="70"/>
      <c r="M204" s="74"/>
      <c r="N204" s="74"/>
      <c r="O204" s="46"/>
      <c r="P204" s="51"/>
      <c r="Q204" s="67">
        <v>0</v>
      </c>
      <c r="R204" s="67"/>
      <c r="S204" s="67"/>
      <c r="T204" s="67"/>
      <c r="U204" s="67"/>
      <c r="V204" s="67"/>
      <c r="W204" s="67"/>
      <c r="X204" s="67"/>
    </row>
    <row r="205" spans="2:24" ht="22.5" hidden="1" customHeight="1" x14ac:dyDescent="0.25">
      <c r="B205" s="9"/>
      <c r="C205" s="10"/>
      <c r="D205" s="67">
        <v>0</v>
      </c>
      <c r="E205" s="67"/>
      <c r="F205" s="67"/>
      <c r="G205" s="67"/>
      <c r="H205" s="67"/>
      <c r="I205" s="67"/>
      <c r="J205" s="67"/>
      <c r="K205" s="67"/>
      <c r="L205" s="70"/>
      <c r="M205" s="74"/>
      <c r="N205" s="74"/>
      <c r="O205" s="46"/>
      <c r="P205" s="51"/>
      <c r="Q205" s="67">
        <v>0</v>
      </c>
      <c r="R205" s="67"/>
      <c r="S205" s="67"/>
      <c r="T205" s="67"/>
      <c r="U205" s="67"/>
      <c r="V205" s="67"/>
      <c r="W205" s="67"/>
      <c r="X205" s="67"/>
    </row>
    <row r="206" spans="2:24" ht="22.5" hidden="1" customHeight="1" x14ac:dyDescent="0.25">
      <c r="B206" s="9"/>
      <c r="C206" s="10"/>
      <c r="D206" s="67">
        <v>0</v>
      </c>
      <c r="E206" s="67"/>
      <c r="F206" s="67"/>
      <c r="G206" s="67"/>
      <c r="H206" s="67"/>
      <c r="I206" s="67"/>
      <c r="J206" s="67"/>
      <c r="K206" s="67"/>
      <c r="L206" s="70"/>
      <c r="M206" s="74"/>
      <c r="N206" s="74"/>
      <c r="O206" s="46"/>
      <c r="P206" s="51"/>
      <c r="Q206" s="67">
        <v>0</v>
      </c>
      <c r="R206" s="67"/>
      <c r="S206" s="67"/>
      <c r="T206" s="67"/>
      <c r="U206" s="67"/>
      <c r="V206" s="67"/>
      <c r="W206" s="67"/>
      <c r="X206" s="67"/>
    </row>
    <row r="207" spans="2:24" ht="22.5" customHeight="1" thickBot="1" x14ac:dyDescent="0.3">
      <c r="B207" s="9"/>
      <c r="C207" s="34"/>
      <c r="D207" s="73">
        <v>0</v>
      </c>
      <c r="E207" s="73"/>
      <c r="F207" s="73"/>
      <c r="G207" s="73"/>
      <c r="H207" s="73"/>
      <c r="I207" s="73"/>
      <c r="J207" s="73"/>
      <c r="K207" s="73"/>
      <c r="L207" s="70"/>
      <c r="M207" s="74"/>
      <c r="N207" s="74"/>
      <c r="O207" s="46"/>
      <c r="P207" s="51"/>
      <c r="Q207" s="73">
        <v>0</v>
      </c>
      <c r="R207" s="73"/>
      <c r="S207" s="73"/>
      <c r="T207" s="73"/>
      <c r="U207" s="73"/>
      <c r="V207" s="73"/>
      <c r="W207" s="73"/>
      <c r="X207" s="73"/>
    </row>
    <row r="208" spans="2:24" ht="31.5" customHeight="1" thickBot="1" x14ac:dyDescent="0.3">
      <c r="C208" s="35" t="s">
        <v>18</v>
      </c>
      <c r="D208" s="30">
        <f t="shared" ref="D208:K208" si="26">SUM(D185:D207)</f>
        <v>402</v>
      </c>
      <c r="E208" s="31">
        <f t="shared" si="26"/>
        <v>303</v>
      </c>
      <c r="F208" s="31">
        <f t="shared" si="26"/>
        <v>1779</v>
      </c>
      <c r="G208" s="31">
        <f t="shared" si="26"/>
        <v>85</v>
      </c>
      <c r="H208" s="31">
        <f t="shared" si="26"/>
        <v>1738</v>
      </c>
      <c r="I208" s="31">
        <f t="shared" si="26"/>
        <v>472</v>
      </c>
      <c r="J208" s="22">
        <f t="shared" si="26"/>
        <v>2714</v>
      </c>
      <c r="K208" s="32">
        <f t="shared" si="26"/>
        <v>6086</v>
      </c>
      <c r="L208" s="77"/>
      <c r="M208" s="75"/>
      <c r="N208" s="74"/>
      <c r="P208" s="33" t="s">
        <v>18</v>
      </c>
      <c r="Q208" s="21">
        <f>SUM(Q185:Q207)</f>
        <v>611</v>
      </c>
      <c r="R208" s="22">
        <f t="shared" ref="R208:X208" si="27">SUM(R185:R207)</f>
        <v>1221</v>
      </c>
      <c r="S208" s="22">
        <f t="shared" si="27"/>
        <v>2804</v>
      </c>
      <c r="T208" s="22">
        <f t="shared" si="27"/>
        <v>334</v>
      </c>
      <c r="U208" s="22">
        <f t="shared" si="27"/>
        <v>779</v>
      </c>
      <c r="V208" s="22">
        <f t="shared" si="27"/>
        <v>6414</v>
      </c>
      <c r="W208" s="22">
        <f t="shared" si="27"/>
        <v>1510</v>
      </c>
      <c r="X208" s="23">
        <f t="shared" si="27"/>
        <v>6779</v>
      </c>
    </row>
    <row r="209" spans="4:24" ht="22.5" customHeight="1" thickBot="1" x14ac:dyDescent="0.3">
      <c r="D209" s="5"/>
      <c r="E209" s="5"/>
      <c r="F209" s="5"/>
      <c r="G209" s="5"/>
      <c r="H209" s="5"/>
      <c r="I209" s="5"/>
      <c r="J209" s="5"/>
      <c r="K209" s="5"/>
      <c r="L209" s="78"/>
      <c r="M209" s="76"/>
      <c r="N209" s="74"/>
      <c r="Q209" s="5"/>
      <c r="R209" s="5"/>
      <c r="S209" s="5"/>
      <c r="T209" s="5"/>
      <c r="U209" s="5"/>
      <c r="V209" s="5"/>
      <c r="W209" s="5"/>
      <c r="X209" s="5"/>
    </row>
    <row r="210" spans="4:24" ht="22.5" customHeight="1" thickBot="1" x14ac:dyDescent="0.4">
      <c r="D210" s="5"/>
      <c r="E210" s="5"/>
      <c r="F210" s="200">
        <f>K208+J208+I208+H208+G208+F208+E208+D208</f>
        <v>13579</v>
      </c>
      <c r="G210" s="193"/>
      <c r="H210" s="194"/>
      <c r="I210" s="5"/>
      <c r="J210" s="5">
        <v>13579</v>
      </c>
      <c r="K210" s="5"/>
      <c r="L210" s="78"/>
      <c r="M210" s="76"/>
      <c r="N210" s="74"/>
      <c r="Q210" s="5"/>
      <c r="R210" s="5"/>
      <c r="S210" s="197">
        <f>Q208+R208+S208+T208+U208+V208+W208+X208</f>
        <v>20452</v>
      </c>
      <c r="T210" s="198"/>
      <c r="U210" s="199"/>
      <c r="V210" s="5">
        <v>20452</v>
      </c>
      <c r="W210" s="5"/>
      <c r="X210" s="5"/>
    </row>
    <row r="211" spans="4:24" ht="22.5" customHeight="1" x14ac:dyDescent="0.25">
      <c r="D211" s="5"/>
      <c r="E211" s="5"/>
      <c r="F211" s="5"/>
      <c r="G211" s="5"/>
      <c r="H211" s="5"/>
      <c r="J211" s="5"/>
      <c r="K211" s="5"/>
      <c r="L211" s="78"/>
      <c r="M211" s="76"/>
      <c r="N211" s="74"/>
      <c r="Q211" s="5"/>
      <c r="R211" s="5"/>
      <c r="S211" s="5"/>
      <c r="T211" s="5"/>
      <c r="U211" s="5"/>
      <c r="V211" s="5"/>
      <c r="W211" s="5"/>
      <c r="X211" s="5"/>
    </row>
    <row r="212" spans="4:24" x14ac:dyDescent="0.25">
      <c r="D212" s="5"/>
      <c r="E212" s="5"/>
      <c r="F212" s="5"/>
      <c r="G212" s="5"/>
      <c r="H212" s="5"/>
      <c r="I212" s="5"/>
      <c r="J212" s="5"/>
      <c r="K212" s="5"/>
      <c r="L212" s="78"/>
      <c r="M212" s="76"/>
      <c r="N212" s="74"/>
      <c r="Q212" s="5"/>
      <c r="R212" s="5"/>
      <c r="S212" s="5"/>
      <c r="T212" s="5"/>
      <c r="U212" s="5"/>
      <c r="V212" s="5"/>
      <c r="W212" s="5"/>
      <c r="X212" s="5"/>
    </row>
    <row r="213" spans="4:24" ht="15.75" thickBot="1" x14ac:dyDescent="0.3">
      <c r="D213" s="5"/>
      <c r="E213" s="5"/>
      <c r="F213" s="5"/>
      <c r="G213" s="5"/>
      <c r="H213" s="5"/>
      <c r="I213" s="5"/>
      <c r="J213" s="5"/>
      <c r="K213" s="5"/>
      <c r="L213" s="78"/>
      <c r="M213" s="79"/>
      <c r="N213" s="74"/>
      <c r="Q213" s="5"/>
      <c r="R213" s="5"/>
      <c r="S213" s="5"/>
      <c r="T213" s="5"/>
      <c r="U213" s="5"/>
      <c r="V213" s="5"/>
      <c r="W213" s="5"/>
      <c r="X213" s="5"/>
    </row>
    <row r="214" spans="4:24" x14ac:dyDescent="0.25">
      <c r="L214" s="80"/>
      <c r="M214" s="80"/>
    </row>
    <row r="215" spans="4:24" x14ac:dyDescent="0.25">
      <c r="L215" s="80"/>
      <c r="M215" s="80"/>
    </row>
    <row r="216" spans="4:24" x14ac:dyDescent="0.25">
      <c r="L216" s="80"/>
      <c r="M216" s="80"/>
    </row>
    <row r="217" spans="4:24" x14ac:dyDescent="0.25">
      <c r="L217" s="80"/>
      <c r="M217" s="80"/>
    </row>
  </sheetData>
  <mergeCells count="36">
    <mergeCell ref="C92:K92"/>
    <mergeCell ref="O92:W92"/>
    <mergeCell ref="I93:K93"/>
    <mergeCell ref="V93:X93"/>
    <mergeCell ref="F111:H111"/>
    <mergeCell ref="S111:U111"/>
    <mergeCell ref="C156:K156"/>
    <mergeCell ref="O156:W156"/>
    <mergeCell ref="I157:K157"/>
    <mergeCell ref="W157:X157"/>
    <mergeCell ref="F175:H175"/>
    <mergeCell ref="S175:U175"/>
    <mergeCell ref="F210:H210"/>
    <mergeCell ref="C182:K182"/>
    <mergeCell ref="S210:U210"/>
    <mergeCell ref="I183:K183"/>
    <mergeCell ref="W183:X183"/>
    <mergeCell ref="O182:W182"/>
    <mergeCell ref="C123:K123"/>
    <mergeCell ref="I124:K124"/>
    <mergeCell ref="F142:H142"/>
    <mergeCell ref="O123:W123"/>
    <mergeCell ref="S142:U142"/>
    <mergeCell ref="V124:X124"/>
    <mergeCell ref="C30:K30"/>
    <mergeCell ref="O30:W30"/>
    <mergeCell ref="I31:K31"/>
    <mergeCell ref="V31:X31"/>
    <mergeCell ref="F49:H49"/>
    <mergeCell ref="S49:U49"/>
    <mergeCell ref="C2:K2"/>
    <mergeCell ref="I3:K3"/>
    <mergeCell ref="F21:H21"/>
    <mergeCell ref="O2:W2"/>
    <mergeCell ref="V3:X3"/>
    <mergeCell ref="S21:U21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O26"/>
  <sheetViews>
    <sheetView topLeftCell="A13" workbookViewId="0">
      <selection activeCell="L30" sqref="L30"/>
    </sheetView>
  </sheetViews>
  <sheetFormatPr baseColWidth="10" defaultRowHeight="15" x14ac:dyDescent="0.25"/>
  <cols>
    <col min="1" max="1" width="5.140625" customWidth="1"/>
    <col min="3" max="3" width="12.28515625" customWidth="1"/>
    <col min="4" max="4" width="2.28515625" customWidth="1"/>
    <col min="14" max="14" width="15.42578125" style="80" customWidth="1"/>
  </cols>
  <sheetData>
    <row r="1" spans="2:15" ht="14.25" customHeight="1" thickBot="1" x14ac:dyDescent="0.3"/>
    <row r="2" spans="2:15" ht="22.5" thickTop="1" thickBot="1" x14ac:dyDescent="0.4">
      <c r="C2" s="7"/>
      <c r="D2" s="187" t="s">
        <v>36</v>
      </c>
      <c r="E2" s="188"/>
      <c r="F2" s="188"/>
      <c r="G2" s="188"/>
      <c r="H2" s="188"/>
      <c r="I2" s="188"/>
      <c r="J2" s="188"/>
      <c r="K2" s="188"/>
      <c r="L2" s="188"/>
      <c r="M2" s="84"/>
      <c r="N2" s="151"/>
    </row>
    <row r="3" spans="2:15" ht="16.5" thickBot="1" x14ac:dyDescent="0.3">
      <c r="C3" s="7"/>
      <c r="D3" s="1"/>
      <c r="J3" s="189" t="s">
        <v>37</v>
      </c>
      <c r="K3" s="190"/>
      <c r="L3" s="191"/>
      <c r="M3" s="68"/>
      <c r="N3" s="152"/>
    </row>
    <row r="4" spans="2:15" ht="58.5" customHeight="1" thickTop="1" thickBot="1" x14ac:dyDescent="0.3">
      <c r="C4" s="164" t="s">
        <v>0</v>
      </c>
      <c r="D4" s="24"/>
      <c r="E4" s="145" t="s">
        <v>2</v>
      </c>
      <c r="F4" s="146" t="s">
        <v>7</v>
      </c>
      <c r="G4" s="147" t="s">
        <v>38</v>
      </c>
      <c r="H4" s="145" t="s">
        <v>3</v>
      </c>
      <c r="I4" s="146" t="s">
        <v>22</v>
      </c>
      <c r="J4" s="148" t="s">
        <v>4</v>
      </c>
      <c r="K4" s="149" t="s">
        <v>8</v>
      </c>
      <c r="L4" s="150" t="s">
        <v>5</v>
      </c>
      <c r="M4" s="165" t="s">
        <v>147</v>
      </c>
      <c r="N4" s="161" t="s">
        <v>18</v>
      </c>
    </row>
    <row r="5" spans="2:15" ht="42.75" customHeight="1" thickTop="1" thickBot="1" x14ac:dyDescent="0.35">
      <c r="B5" s="162" t="s">
        <v>141</v>
      </c>
      <c r="C5" s="169" t="s">
        <v>20</v>
      </c>
      <c r="D5" s="163"/>
      <c r="E5" s="30">
        <v>402</v>
      </c>
      <c r="F5" s="31">
        <v>303</v>
      </c>
      <c r="G5" s="31">
        <v>1779</v>
      </c>
      <c r="H5" s="31">
        <v>85</v>
      </c>
      <c r="I5" s="31">
        <v>1738</v>
      </c>
      <c r="J5" s="31">
        <v>472</v>
      </c>
      <c r="K5" s="22">
        <v>2714</v>
      </c>
      <c r="L5" s="32">
        <v>6086</v>
      </c>
      <c r="M5" s="166">
        <v>0</v>
      </c>
      <c r="N5" s="167">
        <f>SUM(E5:M5)</f>
        <v>13579</v>
      </c>
    </row>
    <row r="6" spans="2:15" ht="42.75" customHeight="1" thickBot="1" x14ac:dyDescent="0.35">
      <c r="B6" s="162" t="s">
        <v>142</v>
      </c>
      <c r="C6" s="169" t="s">
        <v>146</v>
      </c>
      <c r="D6" s="153"/>
      <c r="E6" s="30">
        <v>170</v>
      </c>
      <c r="F6" s="31">
        <v>369</v>
      </c>
      <c r="G6" s="31">
        <v>2264</v>
      </c>
      <c r="H6" s="31">
        <v>0</v>
      </c>
      <c r="I6" s="31">
        <v>1799</v>
      </c>
      <c r="J6" s="31">
        <v>403</v>
      </c>
      <c r="K6" s="22">
        <v>2651.5</v>
      </c>
      <c r="L6" s="32">
        <v>4783</v>
      </c>
      <c r="M6" s="166">
        <v>1008</v>
      </c>
      <c r="N6" s="167">
        <f t="shared" ref="N6:N9" si="0">SUM(E6:M6)</f>
        <v>13447.5</v>
      </c>
    </row>
    <row r="7" spans="2:15" ht="42.75" customHeight="1" thickBot="1" x14ac:dyDescent="0.35">
      <c r="B7" s="162" t="s">
        <v>143</v>
      </c>
      <c r="C7" s="168" t="s">
        <v>148</v>
      </c>
      <c r="D7" s="153"/>
      <c r="E7" s="30">
        <v>469</v>
      </c>
      <c r="F7" s="31">
        <v>188</v>
      </c>
      <c r="G7" s="31">
        <v>2259</v>
      </c>
      <c r="H7" s="31">
        <v>0</v>
      </c>
      <c r="I7" s="31">
        <v>1881</v>
      </c>
      <c r="J7" s="31">
        <v>829</v>
      </c>
      <c r="K7" s="22">
        <v>1340.5</v>
      </c>
      <c r="L7" s="32">
        <v>6236</v>
      </c>
      <c r="M7" s="166">
        <v>500</v>
      </c>
      <c r="N7" s="167">
        <f t="shared" si="0"/>
        <v>13702.5</v>
      </c>
    </row>
    <row r="8" spans="2:15" ht="42.75" customHeight="1" thickBot="1" x14ac:dyDescent="0.35">
      <c r="B8" s="162" t="s">
        <v>144</v>
      </c>
      <c r="C8" s="169" t="s">
        <v>89</v>
      </c>
      <c r="D8" s="153"/>
      <c r="E8" s="30">
        <v>352</v>
      </c>
      <c r="F8" s="31">
        <v>180</v>
      </c>
      <c r="G8" s="31">
        <v>2776</v>
      </c>
      <c r="H8" s="31">
        <v>45</v>
      </c>
      <c r="I8" s="31">
        <v>1638</v>
      </c>
      <c r="J8" s="31">
        <v>381</v>
      </c>
      <c r="K8" s="22">
        <v>1223</v>
      </c>
      <c r="L8" s="32">
        <v>2689</v>
      </c>
      <c r="M8" s="166">
        <v>500</v>
      </c>
      <c r="N8" s="167">
        <f t="shared" si="0"/>
        <v>9784</v>
      </c>
    </row>
    <row r="9" spans="2:15" ht="42.75" customHeight="1" thickBot="1" x14ac:dyDescent="0.35">
      <c r="B9" s="162" t="s">
        <v>145</v>
      </c>
      <c r="C9" s="169" t="s">
        <v>123</v>
      </c>
      <c r="D9" s="153"/>
      <c r="E9" s="30">
        <v>665.5</v>
      </c>
      <c r="F9" s="31">
        <v>68</v>
      </c>
      <c r="G9" s="31">
        <v>2076</v>
      </c>
      <c r="H9" s="31">
        <v>140</v>
      </c>
      <c r="I9" s="31">
        <v>1706</v>
      </c>
      <c r="J9" s="31">
        <v>850</v>
      </c>
      <c r="K9" s="22">
        <v>781</v>
      </c>
      <c r="L9" s="32">
        <v>7786</v>
      </c>
      <c r="M9" s="166">
        <v>500</v>
      </c>
      <c r="N9" s="167">
        <f t="shared" si="0"/>
        <v>14572.5</v>
      </c>
    </row>
    <row r="10" spans="2:15" ht="19.5" thickBot="1" x14ac:dyDescent="0.35">
      <c r="B10" s="154"/>
      <c r="E10" s="30"/>
      <c r="F10" s="31"/>
      <c r="G10" s="31"/>
      <c r="H10" s="31"/>
      <c r="I10" s="31"/>
      <c r="J10" s="31"/>
      <c r="K10" s="22"/>
      <c r="L10" s="157"/>
      <c r="M10" s="77"/>
      <c r="N10" s="156">
        <v>0</v>
      </c>
    </row>
    <row r="11" spans="2:15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65085.5</v>
      </c>
    </row>
    <row r="12" spans="2:15" ht="21" x14ac:dyDescent="0.35">
      <c r="E12" s="5"/>
      <c r="F12" s="5"/>
      <c r="G12" s="155"/>
      <c r="H12" s="155"/>
      <c r="I12" s="155"/>
      <c r="J12" s="5"/>
      <c r="K12" s="5"/>
      <c r="L12" s="5"/>
      <c r="M12" s="71"/>
      <c r="N12" s="74"/>
      <c r="O12" s="130"/>
    </row>
    <row r="13" spans="2:15" ht="15.75" x14ac:dyDescent="0.25">
      <c r="C13" s="7"/>
      <c r="D13" s="1"/>
      <c r="E13" s="170"/>
      <c r="F13" s="5"/>
      <c r="G13" s="5"/>
      <c r="H13" s="5"/>
      <c r="I13" s="5"/>
      <c r="K13" s="5"/>
      <c r="L13" s="5"/>
      <c r="M13" s="71"/>
      <c r="N13" s="74"/>
      <c r="O13" s="130"/>
    </row>
    <row r="14" spans="2:15" x14ac:dyDescent="0.25">
      <c r="M14" s="130"/>
      <c r="N14" s="74"/>
      <c r="O14" s="130"/>
    </row>
    <row r="15" spans="2:15" ht="15.75" thickBot="1" x14ac:dyDescent="0.3"/>
    <row r="16" spans="2:15" ht="22.5" thickTop="1" thickBot="1" x14ac:dyDescent="0.4">
      <c r="C16" s="7"/>
      <c r="D16" s="195" t="s">
        <v>19</v>
      </c>
      <c r="E16" s="196"/>
      <c r="F16" s="196"/>
      <c r="G16" s="196"/>
      <c r="H16" s="196"/>
      <c r="I16" s="196"/>
      <c r="J16" s="196"/>
      <c r="K16" s="196"/>
      <c r="L16" s="196"/>
      <c r="M16" s="171"/>
      <c r="N16" s="151"/>
    </row>
    <row r="17" spans="2:15" ht="16.5" thickBot="1" x14ac:dyDescent="0.3">
      <c r="C17" s="7"/>
      <c r="D17" s="1"/>
      <c r="J17" s="189" t="s">
        <v>37</v>
      </c>
      <c r="K17" s="190"/>
      <c r="L17" s="201"/>
      <c r="M17" s="68"/>
      <c r="N17" s="152"/>
    </row>
    <row r="18" spans="2:15" ht="58.5" customHeight="1" thickTop="1" thickBot="1" x14ac:dyDescent="0.3">
      <c r="C18" s="164" t="s">
        <v>0</v>
      </c>
      <c r="D18" s="24"/>
      <c r="E18" s="176" t="s">
        <v>2</v>
      </c>
      <c r="F18" s="146" t="s">
        <v>7</v>
      </c>
      <c r="G18" s="146" t="s">
        <v>38</v>
      </c>
      <c r="H18" s="176" t="s">
        <v>3</v>
      </c>
      <c r="I18" s="177" t="s">
        <v>4</v>
      </c>
      <c r="J18" s="146" t="s">
        <v>22</v>
      </c>
      <c r="K18" s="149" t="s">
        <v>8</v>
      </c>
      <c r="L18" s="180" t="s">
        <v>5</v>
      </c>
      <c r="M18" s="181"/>
      <c r="N18" s="172" t="s">
        <v>18</v>
      </c>
    </row>
    <row r="19" spans="2:15" ht="42.75" customHeight="1" thickTop="1" thickBot="1" x14ac:dyDescent="0.35">
      <c r="B19" s="182" t="s">
        <v>141</v>
      </c>
      <c r="C19" s="169" t="s">
        <v>20</v>
      </c>
      <c r="D19" s="163"/>
      <c r="E19" s="30">
        <v>611</v>
      </c>
      <c r="F19" s="31">
        <v>1221</v>
      </c>
      <c r="G19" s="31">
        <v>2804</v>
      </c>
      <c r="H19" s="31">
        <v>334</v>
      </c>
      <c r="I19" s="31">
        <v>779</v>
      </c>
      <c r="J19" s="31">
        <v>6414</v>
      </c>
      <c r="K19" s="22">
        <v>1510</v>
      </c>
      <c r="L19" s="178">
        <v>6779</v>
      </c>
      <c r="M19" s="179">
        <v>0</v>
      </c>
      <c r="N19" s="167">
        <f>SUM(E19:M19)</f>
        <v>20452</v>
      </c>
    </row>
    <row r="20" spans="2:15" ht="42.75" customHeight="1" thickBot="1" x14ac:dyDescent="0.35">
      <c r="B20" s="182" t="s">
        <v>142</v>
      </c>
      <c r="C20" s="169" t="s">
        <v>146</v>
      </c>
      <c r="D20" s="153"/>
      <c r="E20" s="30">
        <v>907</v>
      </c>
      <c r="F20" s="31">
        <v>89</v>
      </c>
      <c r="G20" s="31">
        <v>2444</v>
      </c>
      <c r="H20" s="31">
        <v>58</v>
      </c>
      <c r="I20" s="31">
        <v>403</v>
      </c>
      <c r="J20" s="31">
        <v>5587</v>
      </c>
      <c r="K20" s="22">
        <v>4449.5</v>
      </c>
      <c r="L20" s="32">
        <v>5143</v>
      </c>
      <c r="M20" s="166">
        <v>0</v>
      </c>
      <c r="N20" s="167">
        <f t="shared" ref="N20:N23" si="1">SUM(E20:M20)</f>
        <v>19080.5</v>
      </c>
    </row>
    <row r="21" spans="2:15" ht="42.75" customHeight="1" thickBot="1" x14ac:dyDescent="0.35">
      <c r="B21" s="182" t="s">
        <v>143</v>
      </c>
      <c r="C21" s="168" t="s">
        <v>148</v>
      </c>
      <c r="D21" s="153"/>
      <c r="E21" s="30">
        <v>1055</v>
      </c>
      <c r="F21" s="31">
        <v>1176</v>
      </c>
      <c r="G21" s="31">
        <v>3027</v>
      </c>
      <c r="H21" s="31">
        <v>40</v>
      </c>
      <c r="I21" s="31">
        <v>400</v>
      </c>
      <c r="J21" s="31">
        <v>5602</v>
      </c>
      <c r="K21" s="22">
        <v>1880</v>
      </c>
      <c r="L21" s="32">
        <v>6403</v>
      </c>
      <c r="M21" s="166">
        <v>0</v>
      </c>
      <c r="N21" s="167">
        <f t="shared" si="1"/>
        <v>19583</v>
      </c>
    </row>
    <row r="22" spans="2:15" ht="42.75" customHeight="1" thickBot="1" x14ac:dyDescent="0.35">
      <c r="B22" s="182" t="s">
        <v>144</v>
      </c>
      <c r="C22" s="169" t="s">
        <v>89</v>
      </c>
      <c r="D22" s="153"/>
      <c r="E22" s="30">
        <v>770</v>
      </c>
      <c r="F22" s="31">
        <v>1462</v>
      </c>
      <c r="G22" s="31">
        <v>3659</v>
      </c>
      <c r="H22" s="31">
        <v>125</v>
      </c>
      <c r="I22" s="31">
        <v>728</v>
      </c>
      <c r="J22" s="31">
        <v>5451</v>
      </c>
      <c r="K22" s="22">
        <v>4130.5</v>
      </c>
      <c r="L22" s="32">
        <v>2659</v>
      </c>
      <c r="M22" s="166"/>
      <c r="N22" s="167">
        <f t="shared" si="1"/>
        <v>18984.5</v>
      </c>
    </row>
    <row r="23" spans="2:15" ht="42.75" customHeight="1" thickBot="1" x14ac:dyDescent="0.35">
      <c r="B23" s="182" t="s">
        <v>145</v>
      </c>
      <c r="C23" s="169" t="s">
        <v>123</v>
      </c>
      <c r="D23" s="153"/>
      <c r="E23" s="30">
        <v>863</v>
      </c>
      <c r="F23" s="31">
        <v>1081</v>
      </c>
      <c r="G23" s="31">
        <v>2839</v>
      </c>
      <c r="H23" s="31">
        <v>145</v>
      </c>
      <c r="I23" s="31">
        <v>729</v>
      </c>
      <c r="J23" s="31">
        <v>6157</v>
      </c>
      <c r="K23" s="22">
        <v>1245</v>
      </c>
      <c r="L23" s="32">
        <v>8215</v>
      </c>
      <c r="M23" s="166"/>
      <c r="N23" s="167">
        <f t="shared" si="1"/>
        <v>21274</v>
      </c>
    </row>
    <row r="24" spans="2:15" ht="19.5" thickBot="1" x14ac:dyDescent="0.35">
      <c r="B24" s="154"/>
      <c r="E24" s="30"/>
      <c r="F24" s="31"/>
      <c r="G24" s="31"/>
      <c r="H24" s="31"/>
      <c r="I24" s="31"/>
      <c r="J24" s="31"/>
      <c r="K24" s="22"/>
      <c r="L24" s="157"/>
      <c r="M24" s="77"/>
      <c r="N24" s="156">
        <v>0</v>
      </c>
    </row>
    <row r="25" spans="2:15" ht="24" thickBot="1" x14ac:dyDescent="0.35">
      <c r="C25" s="7"/>
      <c r="D25" s="1"/>
      <c r="E25" s="5"/>
      <c r="F25" s="5"/>
      <c r="G25" s="5"/>
      <c r="H25" s="5"/>
      <c r="I25" s="5"/>
      <c r="J25" s="5"/>
      <c r="K25" s="5"/>
      <c r="L25" s="173"/>
      <c r="M25" s="174" t="s">
        <v>18</v>
      </c>
      <c r="N25" s="175">
        <f>SUM(N19:N24)</f>
        <v>99374</v>
      </c>
    </row>
    <row r="26" spans="2:15" ht="21" x14ac:dyDescent="0.35">
      <c r="E26" s="5"/>
      <c r="F26" s="5"/>
      <c r="G26" s="155"/>
      <c r="H26" s="155"/>
      <c r="I26" s="155"/>
      <c r="J26" s="5"/>
      <c r="K26" s="5"/>
      <c r="L26" s="5"/>
      <c r="M26" s="71"/>
      <c r="N26" s="74"/>
      <c r="O26" s="130"/>
    </row>
  </sheetData>
  <mergeCells count="4">
    <mergeCell ref="D16:L16"/>
    <mergeCell ref="J17:L17"/>
    <mergeCell ref="D2:L2"/>
    <mergeCell ref="J3:L3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24"/>
  <sheetViews>
    <sheetView topLeftCell="A10" workbookViewId="0">
      <selection activeCell="D27" sqref="D27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14" style="80" customWidth="1"/>
    <col min="16" max="16" width="23.710937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13.5703125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7" ht="22.5" thickTop="1" thickBot="1" x14ac:dyDescent="0.4">
      <c r="C1" s="187" t="s">
        <v>36</v>
      </c>
      <c r="D1" s="188"/>
      <c r="E1" s="188"/>
      <c r="F1" s="188"/>
      <c r="G1" s="188"/>
      <c r="H1" s="188"/>
      <c r="I1" s="188"/>
      <c r="J1" s="188"/>
      <c r="K1" s="188"/>
      <c r="L1" s="127" t="s">
        <v>41</v>
      </c>
      <c r="M1" s="133"/>
      <c r="N1" s="81"/>
      <c r="O1" s="195" t="s">
        <v>19</v>
      </c>
      <c r="P1" s="196"/>
      <c r="Q1" s="196"/>
      <c r="R1" s="196"/>
      <c r="S1" s="196"/>
      <c r="T1" s="196"/>
      <c r="U1" s="196"/>
      <c r="V1" s="196"/>
      <c r="W1" s="196"/>
      <c r="X1" s="128" t="s">
        <v>41</v>
      </c>
    </row>
    <row r="2" spans="2:27" ht="16.5" thickBot="1" x14ac:dyDescent="0.3">
      <c r="I2" s="189" t="s">
        <v>129</v>
      </c>
      <c r="J2" s="190"/>
      <c r="K2" s="191"/>
      <c r="L2" s="68"/>
      <c r="M2" s="134"/>
      <c r="N2" s="74"/>
      <c r="O2" s="7"/>
      <c r="P2"/>
      <c r="V2" s="189" t="s">
        <v>107</v>
      </c>
      <c r="W2" s="190"/>
      <c r="X2" s="191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2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61.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6.75" customHeight="1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ht="48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 t="shared" ref="D18" si="0">SUM(D4:D17)</f>
        <v>665.5</v>
      </c>
      <c r="E18" s="31">
        <f t="shared" ref="E18:L18" si="1">SUM(E4:E17)</f>
        <v>68</v>
      </c>
      <c r="F18" s="31">
        <f t="shared" si="1"/>
        <v>2076</v>
      </c>
      <c r="G18" s="31">
        <f t="shared" si="1"/>
        <v>140</v>
      </c>
      <c r="H18" s="31">
        <f t="shared" si="1"/>
        <v>1706</v>
      </c>
      <c r="I18" s="31">
        <f t="shared" si="1"/>
        <v>850</v>
      </c>
      <c r="J18" s="22">
        <f t="shared" si="1"/>
        <v>781</v>
      </c>
      <c r="K18" s="32">
        <f t="shared" si="1"/>
        <v>7786</v>
      </c>
      <c r="L18" s="100">
        <f t="shared" si="1"/>
        <v>500</v>
      </c>
      <c r="M18" s="132"/>
      <c r="N18" s="74"/>
      <c r="O18" s="7"/>
      <c r="P18" s="33" t="s">
        <v>18</v>
      </c>
      <c r="Q18" s="21">
        <f t="shared" ref="Q18:X18" si="2">SUM(Q4:Q17)</f>
        <v>863</v>
      </c>
      <c r="R18" s="21">
        <f t="shared" si="2"/>
        <v>1081</v>
      </c>
      <c r="S18" s="21">
        <f t="shared" si="2"/>
        <v>2839</v>
      </c>
      <c r="T18" s="21">
        <f t="shared" si="2"/>
        <v>145</v>
      </c>
      <c r="U18" s="21">
        <f t="shared" si="2"/>
        <v>729</v>
      </c>
      <c r="V18" s="21">
        <f t="shared" si="2"/>
        <v>6157</v>
      </c>
      <c r="W18" s="21">
        <f t="shared" si="2"/>
        <v>1245</v>
      </c>
      <c r="X18" s="21">
        <f t="shared" si="2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P19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192">
        <f>K18+J18+I18+H18+G18+F18+E18+D18+L18</f>
        <v>14572.5</v>
      </c>
      <c r="G20" s="193"/>
      <c r="H20" s="194"/>
      <c r="I20" s="5"/>
      <c r="J20" s="5"/>
      <c r="K20" s="5"/>
      <c r="L20" s="71"/>
      <c r="M20" s="74"/>
      <c r="N20" s="74"/>
      <c r="O20" s="7"/>
      <c r="P20"/>
      <c r="Q20" s="5"/>
      <c r="R20" s="5"/>
      <c r="S20" s="197">
        <f>Q18+R18+S18+T18+U18+V18+W18+X18</f>
        <v>21274</v>
      </c>
      <c r="T20" s="198"/>
      <c r="U20" s="199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O21" s="7"/>
      <c r="P21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  <c r="O22" s="7"/>
      <c r="P22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  <c r="O23" s="7"/>
      <c r="P23"/>
    </row>
    <row r="24" spans="2:24" x14ac:dyDescent="0.25">
      <c r="L24" s="130"/>
      <c r="M24" s="130"/>
      <c r="N24" s="74"/>
      <c r="O24" s="7"/>
      <c r="P24"/>
    </row>
  </sheetData>
  <mergeCells count="6">
    <mergeCell ref="F20:H20"/>
    <mergeCell ref="S20:U20"/>
    <mergeCell ref="C1:K1"/>
    <mergeCell ref="O1:W1"/>
    <mergeCell ref="I2:K2"/>
    <mergeCell ref="V2:X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2"/>
  <sheetViews>
    <sheetView topLeftCell="E1" zoomScale="85" zoomScaleNormal="85" workbookViewId="0">
      <selection activeCell="E1" sqref="A1:XFD1048576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4.140625" style="80" customWidth="1"/>
    <col min="16" max="16" width="13.570312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8.7109375" bestFit="1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6" ht="11.25" customHeight="1" thickBot="1" x14ac:dyDescent="0.3"/>
    <row r="2" spans="2:26" s="126" customFormat="1" ht="30" customHeight="1" thickTop="1" thickBot="1" x14ac:dyDescent="0.3">
      <c r="B2" s="122"/>
      <c r="C2" s="202" t="s">
        <v>121</v>
      </c>
      <c r="D2" s="203"/>
      <c r="E2" s="203"/>
      <c r="F2" s="203"/>
      <c r="G2" s="203"/>
      <c r="H2" s="203"/>
      <c r="I2" s="203"/>
      <c r="J2" s="203"/>
      <c r="K2" s="203"/>
      <c r="L2" s="123"/>
      <c r="M2" s="124"/>
      <c r="N2" s="125"/>
      <c r="O2" s="125"/>
      <c r="P2" s="204" t="s">
        <v>122</v>
      </c>
      <c r="Q2" s="205"/>
      <c r="R2" s="205"/>
      <c r="S2" s="205"/>
      <c r="T2" s="205"/>
      <c r="U2" s="205"/>
      <c r="V2" s="205"/>
      <c r="W2" s="205"/>
      <c r="X2" s="205"/>
      <c r="Y2" s="205"/>
      <c r="Z2" s="206"/>
    </row>
    <row r="3" spans="2:26" ht="15.75" thickBot="1" x14ac:dyDescent="0.3">
      <c r="M3" s="37"/>
      <c r="N3" s="74"/>
      <c r="O3" s="74"/>
    </row>
    <row r="4" spans="2:26" s="2" customFormat="1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25" t="s">
        <v>4</v>
      </c>
      <c r="J4" s="28" t="s">
        <v>8</v>
      </c>
      <c r="K4" s="29" t="s">
        <v>5</v>
      </c>
      <c r="L4" s="103" t="s">
        <v>46</v>
      </c>
      <c r="M4" s="102"/>
      <c r="N4" s="82"/>
      <c r="O4" s="82"/>
      <c r="P4" s="36" t="s">
        <v>0</v>
      </c>
      <c r="Q4" s="18" t="s">
        <v>1</v>
      </c>
      <c r="R4" s="14" t="s">
        <v>2</v>
      </c>
      <c r="S4" s="19" t="s">
        <v>16</v>
      </c>
      <c r="T4" s="54" t="s">
        <v>24</v>
      </c>
      <c r="U4" s="14" t="s">
        <v>3</v>
      </c>
      <c r="V4" s="14" t="s">
        <v>4</v>
      </c>
      <c r="W4" s="55" t="s">
        <v>25</v>
      </c>
      <c r="X4" s="16" t="s">
        <v>4</v>
      </c>
      <c r="Y4" s="17" t="s">
        <v>8</v>
      </c>
      <c r="Z4" s="15" t="s">
        <v>5</v>
      </c>
    </row>
    <row r="5" spans="2:26" ht="81" thickTop="1" thickBot="1" x14ac:dyDescent="0.3">
      <c r="B5" s="93" t="s">
        <v>120</v>
      </c>
      <c r="C5" s="107" t="s">
        <v>110</v>
      </c>
      <c r="D5" s="72">
        <f>160+60+170+469+352+242+180</f>
        <v>1633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/>
      <c r="K5" s="72">
        <v>0</v>
      </c>
      <c r="L5" s="72"/>
      <c r="M5" s="12"/>
      <c r="N5" s="74"/>
      <c r="O5" s="74"/>
      <c r="P5" s="119" t="s">
        <v>120</v>
      </c>
      <c r="Q5" s="111" t="s">
        <v>113</v>
      </c>
      <c r="R5" s="115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116">
        <f>6779+5143+6403+2659</f>
        <v>20984</v>
      </c>
    </row>
    <row r="6" spans="2:26" ht="75" customHeight="1" thickTop="1" thickBot="1" x14ac:dyDescent="0.3">
      <c r="B6" s="93" t="s">
        <v>120</v>
      </c>
      <c r="C6" s="44" t="s">
        <v>108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/>
      <c r="K6" s="67">
        <f>6086+4783+6236+2689</f>
        <v>19794</v>
      </c>
      <c r="L6" s="67"/>
      <c r="M6" s="12"/>
      <c r="N6" s="74"/>
      <c r="O6" s="74"/>
      <c r="P6" s="120" t="s">
        <v>120</v>
      </c>
      <c r="Q6" s="111" t="s">
        <v>118</v>
      </c>
      <c r="R6" s="115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f>1123+4449.5+1880+2740.5+400</f>
        <v>10593</v>
      </c>
      <c r="Z6" s="117">
        <v>0</v>
      </c>
    </row>
    <row r="7" spans="2:26" ht="37.5" customHeight="1" thickTop="1" thickBot="1" x14ac:dyDescent="0.3">
      <c r="B7" s="93" t="s">
        <v>120</v>
      </c>
      <c r="C7" s="43" t="s">
        <v>21</v>
      </c>
      <c r="D7" s="67">
        <v>0</v>
      </c>
      <c r="E7" s="67">
        <v>0</v>
      </c>
      <c r="F7" s="67">
        <v>0</v>
      </c>
      <c r="G7" s="67">
        <v>0</v>
      </c>
      <c r="H7" s="67">
        <f>518+569+651+408</f>
        <v>2146</v>
      </c>
      <c r="I7" s="67">
        <v>0</v>
      </c>
      <c r="J7" s="67"/>
      <c r="K7" s="67">
        <v>0</v>
      </c>
      <c r="L7" s="67"/>
      <c r="M7" s="12"/>
      <c r="N7" s="74"/>
      <c r="O7" s="74"/>
      <c r="P7" s="120" t="s">
        <v>120</v>
      </c>
      <c r="Q7" s="111" t="s">
        <v>114</v>
      </c>
      <c r="R7" s="115">
        <f>611+907+1055+770</f>
        <v>3343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117">
        <v>0</v>
      </c>
    </row>
    <row r="8" spans="2:26" ht="32.25" customHeight="1" thickTop="1" thickBot="1" x14ac:dyDescent="0.3">
      <c r="B8" s="93" t="s">
        <v>120</v>
      </c>
      <c r="C8" s="42" t="s">
        <v>10</v>
      </c>
      <c r="D8" s="67">
        <v>0</v>
      </c>
      <c r="E8" s="67">
        <f>123+369+188+180</f>
        <v>860</v>
      </c>
      <c r="F8" s="67">
        <v>0</v>
      </c>
      <c r="G8" s="67">
        <v>0</v>
      </c>
      <c r="H8" s="67">
        <v>0</v>
      </c>
      <c r="I8" s="67">
        <f>472+403+829+381</f>
        <v>2085</v>
      </c>
      <c r="J8" s="67"/>
      <c r="K8" s="67">
        <v>0</v>
      </c>
      <c r="L8" s="67"/>
      <c r="M8" s="12"/>
      <c r="N8" s="74"/>
      <c r="O8" s="74"/>
      <c r="P8" s="120" t="s">
        <v>120</v>
      </c>
      <c r="Q8" s="112" t="s">
        <v>12</v>
      </c>
      <c r="R8" s="115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f>779+403+400+728</f>
        <v>2310</v>
      </c>
      <c r="Y8" s="72">
        <v>0</v>
      </c>
      <c r="Z8" s="117">
        <v>0</v>
      </c>
    </row>
    <row r="9" spans="2:26" ht="22.5" customHeight="1" thickTop="1" thickBot="1" x14ac:dyDescent="0.3">
      <c r="B9" s="93" t="s">
        <v>120</v>
      </c>
      <c r="C9" s="4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/>
      <c r="K9" s="67">
        <v>0</v>
      </c>
      <c r="L9" s="67"/>
      <c r="M9" s="12"/>
      <c r="N9" s="74"/>
      <c r="O9" s="74"/>
      <c r="P9" s="120" t="s">
        <v>120</v>
      </c>
      <c r="Q9" s="112" t="s">
        <v>13</v>
      </c>
      <c r="R9" s="115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f>387</f>
        <v>387</v>
      </c>
      <c r="Z9" s="117">
        <v>0</v>
      </c>
    </row>
    <row r="10" spans="2:26" ht="50.25" thickTop="1" thickBot="1" x14ac:dyDescent="0.3">
      <c r="B10" s="93" t="s">
        <v>120</v>
      </c>
      <c r="C10" s="45" t="s">
        <v>109</v>
      </c>
      <c r="D10" s="67">
        <v>0</v>
      </c>
      <c r="E10" s="67">
        <v>0</v>
      </c>
      <c r="F10" s="67">
        <v>0</v>
      </c>
      <c r="G10" s="67">
        <f>40+45+45</f>
        <v>130</v>
      </c>
      <c r="H10" s="67">
        <v>0</v>
      </c>
      <c r="I10" s="67">
        <v>0</v>
      </c>
      <c r="J10" s="67"/>
      <c r="K10" s="67">
        <v>0</v>
      </c>
      <c r="L10" s="67"/>
      <c r="M10" s="12"/>
      <c r="N10" s="74"/>
      <c r="O10" s="74"/>
      <c r="P10" s="120" t="s">
        <v>120</v>
      </c>
      <c r="Q10" s="113" t="s">
        <v>115</v>
      </c>
      <c r="R10" s="115">
        <v>0</v>
      </c>
      <c r="S10" s="72">
        <v>0</v>
      </c>
      <c r="T10" s="72">
        <v>0</v>
      </c>
      <c r="U10" s="72">
        <f>334+58+40+125</f>
        <v>557</v>
      </c>
      <c r="V10" s="72">
        <v>0</v>
      </c>
      <c r="W10" s="72">
        <v>0</v>
      </c>
      <c r="X10" s="72">
        <v>0</v>
      </c>
      <c r="Y10" s="72">
        <v>0</v>
      </c>
      <c r="Z10" s="117">
        <v>0</v>
      </c>
    </row>
    <row r="11" spans="2:26" ht="69.75" thickTop="1" thickBot="1" x14ac:dyDescent="0.3">
      <c r="B11" s="93" t="s">
        <v>120</v>
      </c>
      <c r="C11" s="44" t="s">
        <v>112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f>2714+2524.5+624+565+151.5+1223+127</f>
        <v>7929</v>
      </c>
      <c r="K11" s="67">
        <v>0</v>
      </c>
      <c r="L11" s="67"/>
      <c r="M11" s="12"/>
      <c r="N11" s="74"/>
      <c r="O11" s="74"/>
      <c r="P11" s="120" t="s">
        <v>120</v>
      </c>
      <c r="Q11" s="111" t="s">
        <v>116</v>
      </c>
      <c r="R11" s="115">
        <v>0</v>
      </c>
      <c r="S11" s="72">
        <v>0</v>
      </c>
      <c r="T11" s="72">
        <f>2804+2444+3027+3659</f>
        <v>11934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117">
        <v>0</v>
      </c>
    </row>
    <row r="12" spans="2:26" ht="57.75" thickTop="1" thickBot="1" x14ac:dyDescent="0.3">
      <c r="B12" s="93" t="s">
        <v>120</v>
      </c>
      <c r="C12" s="45" t="s">
        <v>111</v>
      </c>
      <c r="D12" s="67">
        <v>0</v>
      </c>
      <c r="E12" s="67">
        <v>0</v>
      </c>
      <c r="F12" s="67">
        <f>1719+2264+2259+2776</f>
        <v>9018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/>
      <c r="M12" s="12"/>
      <c r="N12" s="74"/>
      <c r="O12" s="74"/>
      <c r="P12" s="120" t="s">
        <v>120</v>
      </c>
      <c r="Q12" s="113" t="s">
        <v>117</v>
      </c>
      <c r="R12" s="115">
        <v>0</v>
      </c>
      <c r="S12" s="72">
        <f>1221+89+776+1462</f>
        <v>3548</v>
      </c>
      <c r="T12" s="72" t="s">
        <v>26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117">
        <v>0</v>
      </c>
    </row>
    <row r="13" spans="2:26" ht="25.5" thickTop="1" thickBot="1" x14ac:dyDescent="0.3">
      <c r="B13" s="93" t="s">
        <v>120</v>
      </c>
      <c r="C13" s="42" t="s">
        <v>11</v>
      </c>
      <c r="D13" s="67">
        <v>0</v>
      </c>
      <c r="E13" s="67">
        <v>0</v>
      </c>
      <c r="F13" s="67">
        <v>0</v>
      </c>
      <c r="G13" s="67">
        <v>0</v>
      </c>
      <c r="H13" s="67">
        <f>1220+1230+1230+1230</f>
        <v>4910</v>
      </c>
      <c r="I13" s="67">
        <v>0</v>
      </c>
      <c r="J13" s="67">
        <v>0</v>
      </c>
      <c r="K13" s="67">
        <v>0</v>
      </c>
      <c r="L13" s="67"/>
      <c r="M13" s="12"/>
      <c r="N13" s="74"/>
      <c r="O13" s="74"/>
      <c r="P13" s="120" t="s">
        <v>120</v>
      </c>
      <c r="Q13" s="114" t="s">
        <v>32</v>
      </c>
      <c r="R13" s="115">
        <v>0</v>
      </c>
      <c r="S13" s="72">
        <v>0</v>
      </c>
      <c r="T13" s="72">
        <v>0</v>
      </c>
      <c r="U13" s="72">
        <v>0</v>
      </c>
      <c r="V13" s="72">
        <v>0</v>
      </c>
      <c r="W13" s="72">
        <f>5177+4508+4324+4533</f>
        <v>18542</v>
      </c>
      <c r="X13" s="72">
        <v>0</v>
      </c>
      <c r="Y13" s="72">
        <v>0</v>
      </c>
      <c r="Z13" s="117">
        <v>0</v>
      </c>
    </row>
    <row r="14" spans="2:26" ht="28.5" customHeight="1" thickTop="1" thickBot="1" x14ac:dyDescent="0.3">
      <c r="B14" s="93" t="s">
        <v>120</v>
      </c>
      <c r="C14" s="95" t="s">
        <v>50</v>
      </c>
      <c r="D14" s="67">
        <v>0</v>
      </c>
      <c r="E14" s="67"/>
      <c r="F14" s="67"/>
      <c r="G14" s="67"/>
      <c r="H14" s="67"/>
      <c r="I14" s="67"/>
      <c r="J14" s="67"/>
      <c r="K14" s="67"/>
      <c r="L14" s="67">
        <f>1008+500+500</f>
        <v>2008</v>
      </c>
      <c r="M14" s="12"/>
      <c r="N14" s="74"/>
      <c r="O14" s="74"/>
      <c r="P14" s="120" t="s">
        <v>120</v>
      </c>
      <c r="Q14" s="112" t="s">
        <v>34</v>
      </c>
      <c r="R14" s="115">
        <v>0</v>
      </c>
      <c r="S14" s="72">
        <v>0</v>
      </c>
      <c r="T14" s="72">
        <v>0</v>
      </c>
      <c r="U14" s="72">
        <v>0</v>
      </c>
      <c r="V14" s="72">
        <v>0</v>
      </c>
      <c r="W14" s="72">
        <f>1237+1079+1278+918</f>
        <v>4512</v>
      </c>
      <c r="X14" s="72">
        <v>0</v>
      </c>
      <c r="Y14" s="72">
        <v>0</v>
      </c>
      <c r="Z14" s="117">
        <v>0</v>
      </c>
    </row>
    <row r="15" spans="2:26" ht="29.25" customHeight="1" thickTop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67"/>
      <c r="M15" s="12"/>
      <c r="N15" s="74"/>
      <c r="O15" s="74"/>
      <c r="P15" s="121" t="s">
        <v>120</v>
      </c>
      <c r="Q15" s="113" t="s">
        <v>119</v>
      </c>
      <c r="R15" s="115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1390</v>
      </c>
      <c r="Z15" s="117">
        <v>0</v>
      </c>
    </row>
    <row r="16" spans="2:26" ht="6" customHeight="1" thickTop="1" thickBot="1" x14ac:dyDescent="0.3">
      <c r="B16" s="9"/>
      <c r="C16" s="34"/>
      <c r="D16" s="20">
        <v>0</v>
      </c>
      <c r="E16" s="20"/>
      <c r="F16" s="20"/>
      <c r="G16" s="20"/>
      <c r="H16" s="20"/>
      <c r="I16" s="20"/>
      <c r="J16" s="20"/>
      <c r="K16" s="20"/>
      <c r="L16" s="20"/>
      <c r="M16" s="12"/>
      <c r="N16" s="74"/>
      <c r="O16" s="74"/>
      <c r="P16" s="118"/>
      <c r="Q16" s="51"/>
      <c r="R16" s="20">
        <v>0</v>
      </c>
      <c r="S16" s="20"/>
      <c r="T16" s="20"/>
      <c r="U16" s="20"/>
      <c r="V16" s="20"/>
      <c r="W16" s="20"/>
      <c r="X16" s="20"/>
      <c r="Y16" s="20"/>
      <c r="Z16" s="20"/>
    </row>
    <row r="17" spans="3:26" ht="31.5" customHeight="1" thickBot="1" x14ac:dyDescent="0.3">
      <c r="C17" s="35" t="s">
        <v>18</v>
      </c>
      <c r="D17" s="30">
        <f t="shared" ref="D17:L17" si="0">SUM(D5:D16)</f>
        <v>1633</v>
      </c>
      <c r="E17" s="31">
        <f t="shared" si="0"/>
        <v>860</v>
      </c>
      <c r="F17" s="31">
        <f t="shared" si="0"/>
        <v>9018</v>
      </c>
      <c r="G17" s="31">
        <f t="shared" si="0"/>
        <v>130</v>
      </c>
      <c r="H17" s="31">
        <f t="shared" si="0"/>
        <v>7056</v>
      </c>
      <c r="I17" s="31">
        <f t="shared" si="0"/>
        <v>2085</v>
      </c>
      <c r="J17" s="22">
        <f t="shared" si="0"/>
        <v>7929</v>
      </c>
      <c r="K17" s="32">
        <f t="shared" si="0"/>
        <v>19794</v>
      </c>
      <c r="L17" s="32">
        <f t="shared" si="0"/>
        <v>2008</v>
      </c>
      <c r="M17" s="8"/>
      <c r="N17" s="74"/>
      <c r="O17" s="74"/>
      <c r="Q17" s="33" t="s">
        <v>18</v>
      </c>
      <c r="R17" s="21">
        <f t="shared" ref="R17:Z17" si="1">SUM(R5:R16)</f>
        <v>3343</v>
      </c>
      <c r="S17" s="22">
        <f t="shared" si="1"/>
        <v>3548</v>
      </c>
      <c r="T17" s="22">
        <f t="shared" si="1"/>
        <v>11934</v>
      </c>
      <c r="U17" s="22">
        <f t="shared" si="1"/>
        <v>557</v>
      </c>
      <c r="V17" s="22">
        <f t="shared" si="1"/>
        <v>0</v>
      </c>
      <c r="W17" s="22">
        <f t="shared" si="1"/>
        <v>23054</v>
      </c>
      <c r="X17" s="22">
        <f t="shared" si="1"/>
        <v>2310</v>
      </c>
      <c r="Y17" s="22">
        <f t="shared" si="1"/>
        <v>12370</v>
      </c>
      <c r="Z17" s="23">
        <f t="shared" si="1"/>
        <v>20984</v>
      </c>
    </row>
    <row r="18" spans="3:26" ht="22.5" customHeight="1" thickBot="1" x14ac:dyDescent="0.3">
      <c r="D18" s="5"/>
      <c r="E18" s="5"/>
      <c r="F18" s="5"/>
      <c r="G18" s="5"/>
      <c r="H18" s="5"/>
      <c r="I18" s="5"/>
      <c r="J18" s="5"/>
      <c r="K18" s="5"/>
      <c r="L18" s="5"/>
      <c r="M18" s="3"/>
      <c r="N18" s="74"/>
      <c r="O18" s="74"/>
      <c r="R18" s="5"/>
      <c r="S18" s="5"/>
      <c r="T18" s="5"/>
      <c r="U18" s="5"/>
      <c r="V18" s="5"/>
      <c r="W18" s="5"/>
      <c r="X18" s="5"/>
      <c r="Y18" s="5"/>
      <c r="Z18" s="5"/>
    </row>
    <row r="19" spans="3:26" ht="22.5" customHeight="1" thickBot="1" x14ac:dyDescent="0.4">
      <c r="D19" s="5"/>
      <c r="E19" s="5"/>
      <c r="F19" s="192">
        <f>K17+J17+I17+H17+G17+F17+E17+D17+L17</f>
        <v>50513</v>
      </c>
      <c r="G19" s="193"/>
      <c r="H19" s="194"/>
      <c r="I19" s="5"/>
      <c r="J19" s="5"/>
      <c r="K19" s="5"/>
      <c r="L19" s="5"/>
      <c r="M19" s="74"/>
      <c r="N19" s="74"/>
      <c r="O19" s="74"/>
      <c r="R19" s="5"/>
      <c r="S19" s="5"/>
      <c r="T19" s="197">
        <f>R17+S17+T17+U17+W17+X17+Y17+Z17</f>
        <v>78100</v>
      </c>
      <c r="U19" s="198"/>
      <c r="V19" s="199"/>
      <c r="W19" s="5"/>
      <c r="X19" s="5"/>
      <c r="Y19" s="5"/>
      <c r="Z19" s="5"/>
    </row>
    <row r="20" spans="3:26" ht="22.5" customHeight="1" x14ac:dyDescent="0.25">
      <c r="D20" s="5"/>
      <c r="E20" s="5"/>
      <c r="F20" s="5"/>
      <c r="G20" s="5"/>
      <c r="H20" s="5"/>
      <c r="I20" s="5"/>
      <c r="J20" s="5"/>
      <c r="K20" s="5"/>
      <c r="L20" s="5"/>
      <c r="M20" s="74"/>
      <c r="N20" s="74"/>
      <c r="O20" s="74"/>
      <c r="R20" s="5"/>
      <c r="S20" s="5"/>
      <c r="T20" s="5"/>
      <c r="U20" s="5"/>
      <c r="V20" s="5"/>
      <c r="W20" s="5"/>
      <c r="X20" s="5"/>
      <c r="Y20" s="5"/>
      <c r="Z20" s="5"/>
    </row>
    <row r="21" spans="3:26" x14ac:dyDescent="0.25">
      <c r="D21" s="5"/>
      <c r="E21" s="5"/>
      <c r="F21" s="5"/>
      <c r="G21" s="5"/>
      <c r="H21" s="5"/>
      <c r="I21" s="5"/>
      <c r="J21" s="5"/>
      <c r="K21" s="5"/>
      <c r="L21" s="5"/>
      <c r="M21" s="74"/>
      <c r="N21" s="74"/>
      <c r="O21" s="74"/>
      <c r="R21" s="5"/>
      <c r="S21" s="5"/>
      <c r="T21" s="5"/>
      <c r="U21" s="5"/>
      <c r="V21" s="5"/>
      <c r="W21" s="5"/>
      <c r="X21" s="5"/>
      <c r="Y21" s="5"/>
      <c r="Z21" s="5"/>
    </row>
    <row r="22" spans="3:26" x14ac:dyDescent="0.25">
      <c r="D22" s="5"/>
      <c r="E22" s="5"/>
      <c r="F22" s="5"/>
      <c r="G22" s="5"/>
      <c r="H22" s="5"/>
      <c r="I22" s="5"/>
      <c r="J22" s="5"/>
      <c r="K22" s="5"/>
      <c r="L22" s="5"/>
      <c r="M22" s="74"/>
      <c r="N22" s="74"/>
      <c r="O22" s="74"/>
      <c r="R22" s="5"/>
      <c r="S22" s="5"/>
      <c r="T22" s="5"/>
      <c r="U22" s="5"/>
      <c r="V22" s="5"/>
      <c r="W22" s="5"/>
      <c r="X22" s="5"/>
      <c r="Y22" s="5"/>
      <c r="Z22" s="5"/>
    </row>
  </sheetData>
  <mergeCells count="4">
    <mergeCell ref="C2:K2"/>
    <mergeCell ref="P2:Z2"/>
    <mergeCell ref="F19:H19"/>
    <mergeCell ref="T19:V19"/>
  </mergeCells>
  <pageMargins left="0.23622047244094491" right="0.23622047244094491" top="0.35433070866141736" bottom="0.15748031496062992" header="0.31496062992125984" footer="0.16"/>
  <pageSetup scale="78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187" t="s">
        <v>17</v>
      </c>
      <c r="C2" s="188"/>
      <c r="D2" s="188"/>
      <c r="E2" s="188"/>
      <c r="F2" s="188"/>
      <c r="G2" s="188"/>
      <c r="H2" s="188"/>
      <c r="I2" s="188"/>
      <c r="J2" s="188"/>
      <c r="K2" s="101"/>
      <c r="L2" s="39"/>
      <c r="M2" s="195" t="s">
        <v>19</v>
      </c>
      <c r="N2" s="196"/>
      <c r="O2" s="196"/>
      <c r="P2" s="196"/>
      <c r="Q2" s="196"/>
      <c r="R2" s="196"/>
      <c r="S2" s="196"/>
      <c r="T2" s="196"/>
      <c r="U2" s="196"/>
      <c r="V2" s="196"/>
      <c r="W2" s="207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'!D159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'!X159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'!K160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'!W160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'!H161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'!Q161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'!E162</f>
        <v>492</v>
      </c>
      <c r="E8" s="11">
        <v>0</v>
      </c>
      <c r="F8" s="11">
        <v>0</v>
      </c>
      <c r="G8" s="11">
        <v>0</v>
      </c>
      <c r="H8" s="105">
        <f>391+81+'GASTOS POR SEMANA  '!I162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'!U162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'!T164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'!J165+'GASTOS POR SEMANA  '!J166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'!S165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'!R163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'!F167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'!V167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'!H168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'!V168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'!L169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192">
        <f>J28+I28+H28+G28+F28+E28+D28+C28+K28</f>
        <v>27026.5</v>
      </c>
      <c r="F30" s="193"/>
      <c r="G30" s="194"/>
      <c r="H30" s="5"/>
      <c r="I30" s="5"/>
      <c r="J30" s="5"/>
      <c r="K30" s="5"/>
      <c r="L30" s="3"/>
      <c r="O30" s="5"/>
      <c r="P30" s="5"/>
      <c r="Q30" s="197">
        <f>O28+P28+Q28+R28+T28+U28+V28+W28</f>
        <v>39532.5</v>
      </c>
      <c r="R30" s="198"/>
      <c r="S30" s="199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Hoja5</vt:lpstr>
      <vt:lpstr>GASTOS POR SEMANA  </vt:lpstr>
      <vt:lpstr>CONSENTRADO X SEMANAS   </vt:lpstr>
      <vt:lpstr>Hoja4</vt:lpstr>
      <vt:lpstr>Hoja7</vt:lpstr>
      <vt:lpstr>   GASTOS  POR MES        02   </vt:lpstr>
      <vt:lpstr>GASTOS POR MES          01    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2023-09-22T21:13:58Z</cp:lastPrinted>
  <dcterms:created xsi:type="dcterms:W3CDTF">2023-08-22T02:09:42Z</dcterms:created>
  <dcterms:modified xsi:type="dcterms:W3CDTF">2023-09-29T21:11:32Z</dcterms:modified>
</cp:coreProperties>
</file>