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drawings/drawing8.xml" ContentType="application/vnd.openxmlformats-officedocument.drawing+xml"/>
  <Override PartName="/xl/comments7.xml" ContentType="application/vnd.openxmlformats-officedocument.spreadsheetml.comments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omments8.xml" ContentType="application/vnd.openxmlformats-officedocument.spreadsheetml.comments+xml"/>
  <Override PartName="/xl/drawings/drawing11.xml" ContentType="application/vnd.openxmlformats-officedocument.drawing+xml"/>
  <Override PartName="/xl/comments9.xml" ContentType="application/vnd.openxmlformats-officedocument.spreadsheetml.comments+xml"/>
  <Override PartName="/xl/drawings/drawing12.xml" ContentType="application/vnd.openxmlformats-officedocument.drawing+xml"/>
  <Override PartName="/xl/comments10.xml" ContentType="application/vnd.openxmlformats-officedocument.spreadsheetml.comments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omments11.xml" ContentType="application/vnd.openxmlformats-officedocument.spreadsheetml.comments+xml"/>
  <Override PartName="/xl/drawings/drawing15.xml" ContentType="application/vnd.openxmlformats-officedocument.drawing+xml"/>
  <Override PartName="/xl/comments12.xml" ContentType="application/vnd.openxmlformats-officedocument.spreadsheetml.comments+xml"/>
  <Override PartName="/xl/drawings/drawing16.xml" ContentType="application/vnd.openxmlformats-officedocument.drawing+xml"/>
  <Override PartName="/xl/comments1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10  OCTUBRE 2022\"/>
    </mc:Choice>
  </mc:AlternateContent>
  <bookViews>
    <workbookView xWindow="3690" yWindow="0" windowWidth="16605" windowHeight="10920" firstSheet="23" activeTab="25"/>
  </bookViews>
  <sheets>
    <sheet name="OCTUBRE      2 0 2 1     " sheetId="1" r:id="rId1"/>
    <sheet name="REMISIONES    OCTUBRE    2021  " sheetId="2" r:id="rId2"/>
    <sheet name="     NOVIEMBRE   2 0 2 1     " sheetId="4" r:id="rId3"/>
    <sheet name="REMISIONES  NOVIEMBRE  2021  " sheetId="6" r:id="rId4"/>
    <sheet name="DICIEMBRE    2 0 2 1      " sheetId="7" r:id="rId5"/>
    <sheet name="REMISIONES  DICIEMBRE  2021   " sheetId="8" r:id="rId6"/>
    <sheet name="    E N E R O     2 0 2 2   " sheetId="10" r:id="rId7"/>
    <sheet name="COMPRAS  DE ENERO  2022" sheetId="11" r:id="rId8"/>
    <sheet name="FEBRERO       2 0 2 2      " sheetId="12" r:id="rId9"/>
    <sheet name="COMPRAS   FEBRERO    2 0  2 2  " sheetId="13" r:id="rId10"/>
    <sheet name="    M A R Z O     2 0 2 2      " sheetId="14" r:id="rId11"/>
    <sheet name="COMPRAS     MARZO     2022    " sheetId="15" r:id="rId12"/>
    <sheet name="     A B R I L     2 0 2 2     " sheetId="16" r:id="rId13"/>
    <sheet name="   COMPRAS    ABRIL    2 02 2 2" sheetId="9" r:id="rId14"/>
    <sheet name="DEPOSITOS A NLP" sheetId="17" r:id="rId15"/>
    <sheet name="    MAYO     2022    " sheetId="18" r:id="rId16"/>
    <sheet name="COMPRAS     MAYO   2022   " sheetId="21" r:id="rId17"/>
    <sheet name="      JUNIO      2 0 2 2       " sheetId="22" r:id="rId18"/>
    <sheet name="     COMPRAS  JUNIO   2022    " sheetId="19" r:id="rId19"/>
    <sheet name="        J U L I O     2 0 2 2  " sheetId="23" r:id="rId20"/>
    <sheet name="   COMPRAS    JULIO   2022   " sheetId="20" r:id="rId21"/>
    <sheet name="   A G O S T O   2 0 2 2    " sheetId="24" r:id="rId22"/>
    <sheet name="  COMPRAS  AGOSTO    2022     " sheetId="25" r:id="rId23"/>
    <sheet name=" S E P T I E M B R E     2022  " sheetId="26" r:id="rId24"/>
    <sheet name="COMPRAS  SEPTIEMBRE  2022    " sheetId="28" r:id="rId25"/>
    <sheet name="   O C T U B R E     2 0 2 2   " sheetId="30" r:id="rId26"/>
    <sheet name=" COMPRAS  OCTUBRE   2022    " sheetId="27" r:id="rId27"/>
    <sheet name="Hoja4" sheetId="29" r:id="rId2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8" i="30" l="1"/>
  <c r="M7" i="30"/>
  <c r="M6" i="30" l="1"/>
  <c r="M5" i="30" l="1"/>
  <c r="Q15" i="30"/>
  <c r="Q19" i="30"/>
  <c r="Q23" i="30"/>
  <c r="Q27" i="30"/>
  <c r="Q31" i="30"/>
  <c r="Q35" i="30"/>
  <c r="Q39" i="30"/>
  <c r="N67" i="27"/>
  <c r="M67" i="27"/>
  <c r="K67" i="27"/>
  <c r="F67" i="27"/>
  <c r="D67" i="27"/>
  <c r="G65" i="27"/>
  <c r="G64" i="27"/>
  <c r="G63" i="27"/>
  <c r="G62" i="27"/>
  <c r="G61" i="27"/>
  <c r="G60" i="27"/>
  <c r="G59" i="27"/>
  <c r="G58" i="27"/>
  <c r="G57" i="27"/>
  <c r="G56" i="27"/>
  <c r="G55" i="27"/>
  <c r="G54" i="27"/>
  <c r="G53" i="27"/>
  <c r="G52" i="27"/>
  <c r="G51" i="27"/>
  <c r="G50" i="27"/>
  <c r="G49" i="27"/>
  <c r="G48" i="27"/>
  <c r="G47" i="27"/>
  <c r="G46" i="27"/>
  <c r="G45" i="27"/>
  <c r="G44" i="27"/>
  <c r="G43" i="27"/>
  <c r="G42" i="27"/>
  <c r="G41" i="27"/>
  <c r="G40" i="27"/>
  <c r="G39" i="27"/>
  <c r="G38" i="27"/>
  <c r="G37" i="27"/>
  <c r="G36" i="27"/>
  <c r="G35" i="27"/>
  <c r="G34" i="27"/>
  <c r="G33" i="27"/>
  <c r="G32" i="27"/>
  <c r="G31" i="27"/>
  <c r="G30" i="27"/>
  <c r="G29" i="27"/>
  <c r="G28" i="27"/>
  <c r="G27" i="27"/>
  <c r="G26" i="27"/>
  <c r="G25" i="27"/>
  <c r="G24" i="27"/>
  <c r="G23" i="27"/>
  <c r="G22" i="27"/>
  <c r="G21" i="27"/>
  <c r="G20" i="27"/>
  <c r="G19" i="27"/>
  <c r="G18" i="27"/>
  <c r="G17" i="27"/>
  <c r="G16" i="27"/>
  <c r="G15" i="27"/>
  <c r="G14" i="27"/>
  <c r="G13" i="27"/>
  <c r="G12" i="27"/>
  <c r="G11" i="27"/>
  <c r="G10" i="27"/>
  <c r="G9" i="27"/>
  <c r="G8" i="27"/>
  <c r="G7" i="27"/>
  <c r="G6" i="27"/>
  <c r="G5" i="27"/>
  <c r="G4" i="27"/>
  <c r="N3" i="27"/>
  <c r="N4" i="27" s="1"/>
  <c r="N5" i="27" s="1"/>
  <c r="N6" i="27" s="1"/>
  <c r="N7" i="27" s="1"/>
  <c r="N8" i="27" s="1"/>
  <c r="N9" i="27" s="1"/>
  <c r="N10" i="27" s="1"/>
  <c r="N11" i="27" s="1"/>
  <c r="N12" i="27" s="1"/>
  <c r="N13" i="27" s="1"/>
  <c r="N14" i="27" s="1"/>
  <c r="N15" i="27" s="1"/>
  <c r="N16" i="27" s="1"/>
  <c r="N17" i="27" s="1"/>
  <c r="N18" i="27" s="1"/>
  <c r="N19" i="27" s="1"/>
  <c r="N20" i="27" s="1"/>
  <c r="N21" i="27" s="1"/>
  <c r="N22" i="27" s="1"/>
  <c r="N23" i="27" s="1"/>
  <c r="N24" i="27" s="1"/>
  <c r="N25" i="27" s="1"/>
  <c r="N26" i="27" s="1"/>
  <c r="N27" i="27" s="1"/>
  <c r="N28" i="27" s="1"/>
  <c r="N29" i="27" s="1"/>
  <c r="N30" i="27" s="1"/>
  <c r="N31" i="27" s="1"/>
  <c r="N32" i="27" s="1"/>
  <c r="N33" i="27" s="1"/>
  <c r="N34" i="27" s="1"/>
  <c r="N35" i="27" s="1"/>
  <c r="N36" i="27" s="1"/>
  <c r="N37" i="27" s="1"/>
  <c r="N38" i="27" s="1"/>
  <c r="N39" i="27" s="1"/>
  <c r="N40" i="27" s="1"/>
  <c r="N41" i="27" s="1"/>
  <c r="N42" i="27" s="1"/>
  <c r="N43" i="27" s="1"/>
  <c r="N44" i="27" s="1"/>
  <c r="N45" i="27" s="1"/>
  <c r="N46" i="27" s="1"/>
  <c r="N47" i="27" s="1"/>
  <c r="N48" i="27" s="1"/>
  <c r="N49" i="27" s="1"/>
  <c r="N50" i="27" s="1"/>
  <c r="N51" i="27" s="1"/>
  <c r="N52" i="27" s="1"/>
  <c r="N53" i="27" s="1"/>
  <c r="N54" i="27" s="1"/>
  <c r="N55" i="27" s="1"/>
  <c r="N56" i="27" s="1"/>
  <c r="N57" i="27" s="1"/>
  <c r="N58" i="27" s="1"/>
  <c r="N59" i="27" s="1"/>
  <c r="N60" i="27" s="1"/>
  <c r="N61" i="27" s="1"/>
  <c r="N62" i="27" s="1"/>
  <c r="N63" i="27" s="1"/>
  <c r="N64" i="27" s="1"/>
  <c r="N65" i="27" s="1"/>
  <c r="G3" i="27"/>
  <c r="K73" i="30"/>
  <c r="L67" i="30"/>
  <c r="I67" i="30"/>
  <c r="F67" i="30"/>
  <c r="C67" i="30"/>
  <c r="R42" i="30"/>
  <c r="N41" i="30"/>
  <c r="Q40" i="30"/>
  <c r="P39" i="30"/>
  <c r="P38" i="30"/>
  <c r="Q38" i="30" s="1"/>
  <c r="P37" i="30"/>
  <c r="Q37" i="30" s="1"/>
  <c r="P36" i="30"/>
  <c r="Q36" i="30" s="1"/>
  <c r="P35" i="30"/>
  <c r="P34" i="30"/>
  <c r="Q34" i="30" s="1"/>
  <c r="P33" i="30"/>
  <c r="Q33" i="30" s="1"/>
  <c r="P32" i="30"/>
  <c r="Q32" i="30" s="1"/>
  <c r="P31" i="30"/>
  <c r="P30" i="30"/>
  <c r="Q30" i="30" s="1"/>
  <c r="P29" i="30"/>
  <c r="Q29" i="30" s="1"/>
  <c r="P28" i="30"/>
  <c r="Q28" i="30" s="1"/>
  <c r="P27" i="30"/>
  <c r="P26" i="30"/>
  <c r="Q26" i="30" s="1"/>
  <c r="P25" i="30"/>
  <c r="Q25" i="30" s="1"/>
  <c r="P24" i="30"/>
  <c r="Q24" i="30" s="1"/>
  <c r="P23" i="30"/>
  <c r="P22" i="30"/>
  <c r="Q22" i="30" s="1"/>
  <c r="P21" i="30"/>
  <c r="Q21" i="30" s="1"/>
  <c r="P20" i="30"/>
  <c r="Q20" i="30" s="1"/>
  <c r="P19" i="30"/>
  <c r="P18" i="30"/>
  <c r="Q18" i="30" s="1"/>
  <c r="P17" i="30"/>
  <c r="Q17" i="30" s="1"/>
  <c r="P16" i="30"/>
  <c r="Q16" i="30" s="1"/>
  <c r="P15" i="30"/>
  <c r="P14" i="30"/>
  <c r="Q14" i="30" s="1"/>
  <c r="P13" i="30"/>
  <c r="Q13" i="30" s="1"/>
  <c r="P12" i="30"/>
  <c r="Q12" i="30" s="1"/>
  <c r="P11" i="30"/>
  <c r="Q11" i="30" s="1"/>
  <c r="P10" i="30"/>
  <c r="Q10" i="30" s="1"/>
  <c r="P9" i="30"/>
  <c r="Q9" i="30" s="1"/>
  <c r="P8" i="30"/>
  <c r="Q8" i="30" s="1"/>
  <c r="P7" i="30"/>
  <c r="P6" i="30"/>
  <c r="Q6" i="30" s="1"/>
  <c r="P5" i="30"/>
  <c r="K69" i="30" l="1"/>
  <c r="F70" i="30" s="1"/>
  <c r="F73" i="30" s="1"/>
  <c r="K71" i="30" s="1"/>
  <c r="K75" i="30" s="1"/>
  <c r="P41" i="30"/>
  <c r="G67" i="27"/>
  <c r="M41" i="30"/>
  <c r="M45" i="30" s="1"/>
  <c r="Q5" i="30"/>
  <c r="Q41" i="30" s="1"/>
  <c r="E25" i="25" l="1"/>
  <c r="E19" i="25" l="1"/>
  <c r="E14" i="25" l="1"/>
  <c r="F67" i="26" l="1"/>
  <c r="Q6" i="26"/>
  <c r="Q8" i="26"/>
  <c r="M45" i="26"/>
  <c r="P39" i="26"/>
  <c r="M36" i="26" l="1"/>
  <c r="M35" i="26"/>
  <c r="M34" i="26"/>
  <c r="M33" i="26" l="1"/>
  <c r="M32" i="26"/>
  <c r="P32" i="26" l="1"/>
  <c r="P33" i="26"/>
  <c r="P34" i="26"/>
  <c r="P35" i="26"/>
  <c r="Q35" i="26" s="1"/>
  <c r="P36" i="26"/>
  <c r="Q36" i="26" s="1"/>
  <c r="P37" i="26"/>
  <c r="P38" i="26"/>
  <c r="T23" i="26"/>
  <c r="T22" i="26"/>
  <c r="M29" i="26" l="1"/>
  <c r="M28" i="26" l="1"/>
  <c r="P28" i="26"/>
  <c r="P27" i="26"/>
  <c r="M24" i="26" l="1"/>
  <c r="M23" i="26"/>
  <c r="Q22" i="26" l="1"/>
  <c r="M22" i="26" l="1"/>
  <c r="M21" i="26" l="1"/>
  <c r="M20" i="26" l="1"/>
  <c r="M19" i="26" l="1"/>
  <c r="M18" i="26"/>
  <c r="P13" i="26" l="1"/>
  <c r="M13" i="26"/>
  <c r="M14" i="26"/>
  <c r="T16" i="26" l="1"/>
  <c r="M12" i="26"/>
  <c r="M10" i="26" l="1"/>
  <c r="M7" i="26"/>
  <c r="M6" i="26" l="1"/>
  <c r="N67" i="28" l="1"/>
  <c r="M67" i="28"/>
  <c r="K67" i="28"/>
  <c r="F67" i="28"/>
  <c r="D67" i="28"/>
  <c r="G65" i="28"/>
  <c r="G64" i="28"/>
  <c r="G63" i="28"/>
  <c r="G62" i="28"/>
  <c r="G61" i="28"/>
  <c r="G60" i="28"/>
  <c r="G59" i="28"/>
  <c r="G58" i="28"/>
  <c r="G57" i="28"/>
  <c r="G56" i="28"/>
  <c r="G55" i="28"/>
  <c r="G54" i="28"/>
  <c r="G53" i="28"/>
  <c r="G52" i="28"/>
  <c r="G51" i="28"/>
  <c r="G50" i="28"/>
  <c r="G49" i="28"/>
  <c r="G48" i="28"/>
  <c r="G47" i="28"/>
  <c r="G46" i="28"/>
  <c r="G45" i="28"/>
  <c r="G44" i="28"/>
  <c r="G43" i="28"/>
  <c r="G42" i="28"/>
  <c r="G41" i="28"/>
  <c r="G40" i="28"/>
  <c r="G39" i="28"/>
  <c r="G38" i="28"/>
  <c r="G37" i="28"/>
  <c r="G36" i="28"/>
  <c r="G35" i="28"/>
  <c r="G34" i="28"/>
  <c r="G33" i="28"/>
  <c r="G32" i="28"/>
  <c r="G31" i="28"/>
  <c r="G30" i="28"/>
  <c r="G29" i="28"/>
  <c r="G28" i="28"/>
  <c r="G27" i="28"/>
  <c r="G26" i="28"/>
  <c r="G25" i="28"/>
  <c r="G24" i="28"/>
  <c r="G23" i="28"/>
  <c r="G22" i="28"/>
  <c r="G21" i="28"/>
  <c r="G20" i="28"/>
  <c r="G19" i="28"/>
  <c r="G18" i="28"/>
  <c r="G17" i="28"/>
  <c r="G16" i="28"/>
  <c r="G15" i="28"/>
  <c r="G14" i="28"/>
  <c r="G13" i="28"/>
  <c r="G12" i="28"/>
  <c r="G11" i="28"/>
  <c r="G10" i="28"/>
  <c r="G9" i="28"/>
  <c r="G8" i="28"/>
  <c r="G7" i="28"/>
  <c r="G6" i="28"/>
  <c r="G5" i="28"/>
  <c r="G4" i="28"/>
  <c r="N3" i="28"/>
  <c r="N4" i="28" s="1"/>
  <c r="N5" i="28" s="1"/>
  <c r="N6" i="28" s="1"/>
  <c r="N7" i="28" s="1"/>
  <c r="N8" i="28" s="1"/>
  <c r="N9" i="28" s="1"/>
  <c r="N10" i="28" s="1"/>
  <c r="N11" i="28" s="1"/>
  <c r="N12" i="28" s="1"/>
  <c r="N13" i="28" s="1"/>
  <c r="N14" i="28" s="1"/>
  <c r="N15" i="28" s="1"/>
  <c r="N16" i="28" s="1"/>
  <c r="N17" i="28" s="1"/>
  <c r="N18" i="28" s="1"/>
  <c r="N19" i="28" s="1"/>
  <c r="N20" i="28" s="1"/>
  <c r="N21" i="28" s="1"/>
  <c r="N22" i="28" s="1"/>
  <c r="N23" i="28" s="1"/>
  <c r="N24" i="28" s="1"/>
  <c r="N25" i="28" s="1"/>
  <c r="N26" i="28" s="1"/>
  <c r="N27" i="28" s="1"/>
  <c r="N28" i="28" s="1"/>
  <c r="N29" i="28" s="1"/>
  <c r="N30" i="28" s="1"/>
  <c r="N31" i="28" s="1"/>
  <c r="N32" i="28" s="1"/>
  <c r="N33" i="28" s="1"/>
  <c r="N34" i="28" s="1"/>
  <c r="N35" i="28" s="1"/>
  <c r="N36" i="28" s="1"/>
  <c r="N37" i="28" s="1"/>
  <c r="N38" i="28" s="1"/>
  <c r="N39" i="28" s="1"/>
  <c r="N40" i="28" s="1"/>
  <c r="N41" i="28" s="1"/>
  <c r="N42" i="28" s="1"/>
  <c r="N43" i="28" s="1"/>
  <c r="N44" i="28" s="1"/>
  <c r="N45" i="28" s="1"/>
  <c r="N46" i="28" s="1"/>
  <c r="N47" i="28" s="1"/>
  <c r="N48" i="28" s="1"/>
  <c r="N49" i="28" s="1"/>
  <c r="N50" i="28" s="1"/>
  <c r="N51" i="28" s="1"/>
  <c r="N52" i="28" s="1"/>
  <c r="N53" i="28" s="1"/>
  <c r="N54" i="28" s="1"/>
  <c r="N55" i="28" s="1"/>
  <c r="N56" i="28" s="1"/>
  <c r="N57" i="28" s="1"/>
  <c r="N58" i="28" s="1"/>
  <c r="N59" i="28" s="1"/>
  <c r="N60" i="28" s="1"/>
  <c r="N61" i="28" s="1"/>
  <c r="N62" i="28" s="1"/>
  <c r="N63" i="28" s="1"/>
  <c r="N64" i="28" s="1"/>
  <c r="N65" i="28" s="1"/>
  <c r="G3" i="28"/>
  <c r="K73" i="26"/>
  <c r="I67" i="26"/>
  <c r="C67" i="26"/>
  <c r="L67" i="26"/>
  <c r="R42" i="26"/>
  <c r="R41" i="26"/>
  <c r="N41" i="26"/>
  <c r="Q40" i="26"/>
  <c r="Q39" i="26"/>
  <c r="Q38" i="26"/>
  <c r="Q34" i="26"/>
  <c r="P31" i="26"/>
  <c r="Q31" i="26" s="1"/>
  <c r="P30" i="26"/>
  <c r="Q30" i="26" s="1"/>
  <c r="P29" i="26"/>
  <c r="Q29" i="26" s="1"/>
  <c r="Q28" i="26"/>
  <c r="Q27" i="26"/>
  <c r="P26" i="26"/>
  <c r="Q26" i="26" s="1"/>
  <c r="P25" i="26"/>
  <c r="Q25" i="26" s="1"/>
  <c r="P24" i="26"/>
  <c r="Q24" i="26" s="1"/>
  <c r="P23" i="26"/>
  <c r="Q23" i="26" s="1"/>
  <c r="P22" i="26"/>
  <c r="P21" i="26"/>
  <c r="Q21" i="26" s="1"/>
  <c r="P20" i="26"/>
  <c r="P19" i="26"/>
  <c r="Q19" i="26" s="1"/>
  <c r="P18" i="26"/>
  <c r="Q18" i="26" s="1"/>
  <c r="P17" i="26"/>
  <c r="Q17" i="26" s="1"/>
  <c r="P16" i="26"/>
  <c r="Q16" i="26" s="1"/>
  <c r="P15" i="26"/>
  <c r="Q15" i="26" s="1"/>
  <c r="P14" i="26"/>
  <c r="Q14" i="26" s="1"/>
  <c r="Q13" i="26"/>
  <c r="P12" i="26"/>
  <c r="Q12" i="26" s="1"/>
  <c r="P11" i="26"/>
  <c r="Q11" i="26" s="1"/>
  <c r="P10" i="26"/>
  <c r="Q10" i="26" s="1"/>
  <c r="P9" i="26"/>
  <c r="Q9" i="26" s="1"/>
  <c r="M41" i="26"/>
  <c r="P8" i="26"/>
  <c r="P7" i="26"/>
  <c r="P6" i="26"/>
  <c r="P5" i="26"/>
  <c r="G67" i="28" l="1"/>
  <c r="P41" i="26"/>
  <c r="K69" i="26"/>
  <c r="F70" i="26" s="1"/>
  <c r="F73" i="26" s="1"/>
  <c r="K71" i="26" s="1"/>
  <c r="K75" i="26" s="1"/>
  <c r="Q5" i="26"/>
  <c r="Q41" i="26" s="1"/>
  <c r="R42" i="24" l="1"/>
  <c r="F67" i="24"/>
  <c r="R41" i="24"/>
  <c r="L50" i="24"/>
  <c r="L49" i="24"/>
  <c r="Q30" i="24" l="1"/>
  <c r="M28" i="24"/>
  <c r="M26" i="24" l="1"/>
  <c r="M20" i="24" l="1"/>
  <c r="M18" i="24"/>
  <c r="E34" i="19" l="1"/>
  <c r="M9" i="24" l="1"/>
  <c r="M67" i="25" l="1"/>
  <c r="L67" i="25"/>
  <c r="J67" i="25"/>
  <c r="E67" i="25"/>
  <c r="C67" i="25"/>
  <c r="F65" i="25"/>
  <c r="F64" i="25"/>
  <c r="F63" i="25"/>
  <c r="F62" i="25"/>
  <c r="F61" i="25"/>
  <c r="F60" i="25"/>
  <c r="F59" i="25"/>
  <c r="F58" i="25"/>
  <c r="F57" i="25"/>
  <c r="F56" i="25"/>
  <c r="F55" i="25"/>
  <c r="F54" i="25"/>
  <c r="F53" i="25"/>
  <c r="F52" i="25"/>
  <c r="F51" i="25"/>
  <c r="F50" i="25"/>
  <c r="F49" i="25"/>
  <c r="F48" i="25"/>
  <c r="F47" i="25"/>
  <c r="F46" i="25"/>
  <c r="F45" i="25"/>
  <c r="F44" i="25"/>
  <c r="F43" i="25"/>
  <c r="F42" i="25"/>
  <c r="F41" i="25"/>
  <c r="F40" i="25"/>
  <c r="F39" i="25"/>
  <c r="F38" i="25"/>
  <c r="F37" i="25"/>
  <c r="F36" i="25"/>
  <c r="F35" i="25"/>
  <c r="F34" i="25"/>
  <c r="F33" i="25"/>
  <c r="F32" i="25"/>
  <c r="F31" i="25"/>
  <c r="F30" i="25"/>
  <c r="F29" i="25"/>
  <c r="F28" i="25"/>
  <c r="F27" i="25"/>
  <c r="F26" i="25"/>
  <c r="F25" i="25"/>
  <c r="F24" i="25"/>
  <c r="F23" i="25"/>
  <c r="F22" i="25"/>
  <c r="F21" i="25"/>
  <c r="F20" i="25"/>
  <c r="F19" i="25"/>
  <c r="F18" i="25"/>
  <c r="F17" i="25"/>
  <c r="F16" i="25"/>
  <c r="F15" i="25"/>
  <c r="F14" i="25"/>
  <c r="F13" i="25"/>
  <c r="F12" i="25"/>
  <c r="F11" i="25"/>
  <c r="F10" i="25"/>
  <c r="F9" i="25"/>
  <c r="F8" i="25"/>
  <c r="F7" i="25"/>
  <c r="F6" i="25"/>
  <c r="F5" i="25"/>
  <c r="F4" i="25"/>
  <c r="M3" i="25"/>
  <c r="M4" i="25" s="1"/>
  <c r="M5" i="25" s="1"/>
  <c r="M6" i="25" s="1"/>
  <c r="M7" i="25" s="1"/>
  <c r="M8" i="25" s="1"/>
  <c r="M9" i="25" s="1"/>
  <c r="M10" i="25" s="1"/>
  <c r="M11" i="25" s="1"/>
  <c r="M12" i="25" s="1"/>
  <c r="M13" i="25" s="1"/>
  <c r="M14" i="25" s="1"/>
  <c r="M15" i="25" s="1"/>
  <c r="M16" i="25" s="1"/>
  <c r="M17" i="25" s="1"/>
  <c r="M18" i="25" s="1"/>
  <c r="M19" i="25" s="1"/>
  <c r="M20" i="25" s="1"/>
  <c r="M21" i="25" s="1"/>
  <c r="M22" i="25" s="1"/>
  <c r="M23" i="25" s="1"/>
  <c r="M24" i="25" s="1"/>
  <c r="M25" i="25" s="1"/>
  <c r="M26" i="25" s="1"/>
  <c r="M27" i="25" s="1"/>
  <c r="M28" i="25" s="1"/>
  <c r="M29" i="25" s="1"/>
  <c r="M30" i="25" s="1"/>
  <c r="M31" i="25" s="1"/>
  <c r="M32" i="25" s="1"/>
  <c r="M33" i="25" s="1"/>
  <c r="M34" i="25" s="1"/>
  <c r="M35" i="25" s="1"/>
  <c r="M36" i="25" s="1"/>
  <c r="M37" i="25" s="1"/>
  <c r="M38" i="25" s="1"/>
  <c r="M39" i="25" s="1"/>
  <c r="M40" i="25" s="1"/>
  <c r="M41" i="25" s="1"/>
  <c r="M42" i="25" s="1"/>
  <c r="M43" i="25" s="1"/>
  <c r="M44" i="25" s="1"/>
  <c r="M45" i="25" s="1"/>
  <c r="M46" i="25" s="1"/>
  <c r="M47" i="25" s="1"/>
  <c r="M48" i="25" s="1"/>
  <c r="M49" i="25" s="1"/>
  <c r="M50" i="25" s="1"/>
  <c r="M51" i="25" s="1"/>
  <c r="M52" i="25" s="1"/>
  <c r="M53" i="25" s="1"/>
  <c r="M54" i="25" s="1"/>
  <c r="M55" i="25" s="1"/>
  <c r="M56" i="25" s="1"/>
  <c r="M57" i="25" s="1"/>
  <c r="M58" i="25" s="1"/>
  <c r="M59" i="25" s="1"/>
  <c r="M60" i="25" s="1"/>
  <c r="M61" i="25" s="1"/>
  <c r="M62" i="25" s="1"/>
  <c r="M63" i="25" s="1"/>
  <c r="M64" i="25" s="1"/>
  <c r="M65" i="25" s="1"/>
  <c r="F3" i="25"/>
  <c r="K73" i="24"/>
  <c r="L67" i="24"/>
  <c r="I67" i="24"/>
  <c r="C67" i="24"/>
  <c r="N41" i="24"/>
  <c r="Q40" i="24"/>
  <c r="Q39" i="24"/>
  <c r="Q38" i="24"/>
  <c r="Q36" i="24"/>
  <c r="Q35" i="24"/>
  <c r="Q34" i="24"/>
  <c r="P32" i="24"/>
  <c r="Q32" i="24" s="1"/>
  <c r="P31" i="24"/>
  <c r="Q31" i="24" s="1"/>
  <c r="P30" i="24"/>
  <c r="P29" i="24"/>
  <c r="Q29" i="24" s="1"/>
  <c r="P28" i="24"/>
  <c r="Q28" i="24" s="1"/>
  <c r="P27" i="24"/>
  <c r="Q27" i="24" s="1"/>
  <c r="P26" i="24"/>
  <c r="Q26" i="24" s="1"/>
  <c r="P25" i="24"/>
  <c r="Q25" i="24" s="1"/>
  <c r="P24" i="24"/>
  <c r="P23" i="24"/>
  <c r="P22" i="24"/>
  <c r="Q22" i="24" s="1"/>
  <c r="P21" i="24"/>
  <c r="Q21" i="24" s="1"/>
  <c r="P20" i="24"/>
  <c r="P19" i="24"/>
  <c r="Q19" i="24" s="1"/>
  <c r="P18" i="24"/>
  <c r="Q18" i="24" s="1"/>
  <c r="P17" i="24"/>
  <c r="Q17" i="24" s="1"/>
  <c r="P16" i="24"/>
  <c r="Q16" i="24" s="1"/>
  <c r="P15" i="24"/>
  <c r="Q15" i="24" s="1"/>
  <c r="P14" i="24"/>
  <c r="Q14" i="24" s="1"/>
  <c r="P13" i="24"/>
  <c r="Q13" i="24" s="1"/>
  <c r="P12" i="24"/>
  <c r="Q12" i="24" s="1"/>
  <c r="P11" i="24"/>
  <c r="Q11" i="24" s="1"/>
  <c r="P10" i="24"/>
  <c r="Q10" i="24" s="1"/>
  <c r="M41" i="24"/>
  <c r="P9" i="24"/>
  <c r="Q9" i="24" s="1"/>
  <c r="P8" i="24"/>
  <c r="P7" i="24"/>
  <c r="P6" i="24"/>
  <c r="Q6" i="24" s="1"/>
  <c r="P5" i="24"/>
  <c r="F67" i="25" l="1"/>
  <c r="M45" i="24"/>
  <c r="K69" i="24"/>
  <c r="F70" i="24" s="1"/>
  <c r="F73" i="24" s="1"/>
  <c r="K71" i="24" s="1"/>
  <c r="K75" i="24" s="1"/>
  <c r="P41" i="24"/>
  <c r="Q5" i="24"/>
  <c r="Q41" i="24" s="1"/>
  <c r="L67" i="20"/>
  <c r="M13" i="21" l="1"/>
  <c r="L67" i="23" l="1"/>
  <c r="M26" i="23"/>
  <c r="P26" i="23" l="1"/>
  <c r="P27" i="23"/>
  <c r="P28" i="23"/>
  <c r="P29" i="23"/>
  <c r="P30" i="23"/>
  <c r="M21" i="23" l="1"/>
  <c r="Q34" i="23"/>
  <c r="Q35" i="23"/>
  <c r="M17" i="23" l="1"/>
  <c r="M16" i="23"/>
  <c r="M13" i="23"/>
  <c r="M12" i="23"/>
  <c r="M10" i="23" l="1"/>
  <c r="Q5" i="23" l="1"/>
  <c r="M67" i="20" l="1"/>
  <c r="J67" i="20"/>
  <c r="E67" i="20"/>
  <c r="C67" i="20"/>
  <c r="F65" i="20"/>
  <c r="F64" i="20"/>
  <c r="F63" i="20"/>
  <c r="F62" i="20"/>
  <c r="F61" i="20"/>
  <c r="F60" i="20"/>
  <c r="F59" i="20"/>
  <c r="F58" i="20"/>
  <c r="F57" i="20"/>
  <c r="F56" i="20"/>
  <c r="F55" i="20"/>
  <c r="F54" i="20"/>
  <c r="F53" i="20"/>
  <c r="F52" i="20"/>
  <c r="F51" i="20"/>
  <c r="F50" i="20"/>
  <c r="F49" i="20"/>
  <c r="F48" i="20"/>
  <c r="F47" i="20"/>
  <c r="F46" i="20"/>
  <c r="F45" i="20"/>
  <c r="F44" i="20"/>
  <c r="F43" i="20"/>
  <c r="F42" i="20"/>
  <c r="F41" i="20"/>
  <c r="F40" i="20"/>
  <c r="F39" i="20"/>
  <c r="F38" i="20"/>
  <c r="F37" i="20"/>
  <c r="F36" i="20"/>
  <c r="F35" i="20"/>
  <c r="F34" i="20"/>
  <c r="F33" i="20"/>
  <c r="F32" i="20"/>
  <c r="F31" i="20"/>
  <c r="F30" i="20"/>
  <c r="F29" i="20"/>
  <c r="F28" i="20"/>
  <c r="F27" i="20"/>
  <c r="F26" i="20"/>
  <c r="F25" i="20"/>
  <c r="F24" i="20"/>
  <c r="F23" i="20"/>
  <c r="F22" i="20"/>
  <c r="F21" i="20"/>
  <c r="F20" i="20"/>
  <c r="F19" i="20"/>
  <c r="F18" i="20"/>
  <c r="F17" i="20"/>
  <c r="F16" i="20"/>
  <c r="F15" i="20"/>
  <c r="F14" i="20"/>
  <c r="F13" i="20"/>
  <c r="F12" i="20"/>
  <c r="F11" i="20"/>
  <c r="F10" i="20"/>
  <c r="F9" i="20"/>
  <c r="F8" i="20"/>
  <c r="F7" i="20"/>
  <c r="F6" i="20"/>
  <c r="F5" i="20"/>
  <c r="F4" i="20"/>
  <c r="M3" i="20"/>
  <c r="M4" i="20" s="1"/>
  <c r="M5" i="20" s="1"/>
  <c r="M6" i="20" s="1"/>
  <c r="M7" i="20" s="1"/>
  <c r="M8" i="20" s="1"/>
  <c r="M9" i="20" s="1"/>
  <c r="M10" i="20" s="1"/>
  <c r="M11" i="20" s="1"/>
  <c r="M12" i="20" s="1"/>
  <c r="M13" i="20" s="1"/>
  <c r="M14" i="20" s="1"/>
  <c r="M15" i="20" s="1"/>
  <c r="M16" i="20" s="1"/>
  <c r="M17" i="20" s="1"/>
  <c r="M18" i="20" s="1"/>
  <c r="M19" i="20" s="1"/>
  <c r="M20" i="20" s="1"/>
  <c r="M21" i="20" s="1"/>
  <c r="M22" i="20" s="1"/>
  <c r="M23" i="20" s="1"/>
  <c r="M24" i="20" s="1"/>
  <c r="M25" i="20" s="1"/>
  <c r="M26" i="20" s="1"/>
  <c r="M27" i="20" s="1"/>
  <c r="M28" i="20" s="1"/>
  <c r="M29" i="20" s="1"/>
  <c r="M30" i="20" s="1"/>
  <c r="M31" i="20" s="1"/>
  <c r="M32" i="20" s="1"/>
  <c r="M33" i="20" s="1"/>
  <c r="M34" i="20" s="1"/>
  <c r="M35" i="20" s="1"/>
  <c r="M36" i="20" s="1"/>
  <c r="M37" i="20" s="1"/>
  <c r="M38" i="20" s="1"/>
  <c r="M39" i="20" s="1"/>
  <c r="M40" i="20" s="1"/>
  <c r="M41" i="20" s="1"/>
  <c r="M42" i="20" s="1"/>
  <c r="M43" i="20" s="1"/>
  <c r="M44" i="20" s="1"/>
  <c r="M45" i="20" s="1"/>
  <c r="M46" i="20" s="1"/>
  <c r="M47" i="20" s="1"/>
  <c r="M48" i="20" s="1"/>
  <c r="M49" i="20" s="1"/>
  <c r="M50" i="20" s="1"/>
  <c r="M51" i="20" s="1"/>
  <c r="M52" i="20" s="1"/>
  <c r="M53" i="20" s="1"/>
  <c r="M54" i="20" s="1"/>
  <c r="M55" i="20" s="1"/>
  <c r="M56" i="20" s="1"/>
  <c r="M57" i="20" s="1"/>
  <c r="M58" i="20" s="1"/>
  <c r="M59" i="20" s="1"/>
  <c r="M60" i="20" s="1"/>
  <c r="M61" i="20" s="1"/>
  <c r="M62" i="20" s="1"/>
  <c r="M63" i="20" s="1"/>
  <c r="M64" i="20" s="1"/>
  <c r="M65" i="20" s="1"/>
  <c r="F3" i="20"/>
  <c r="K73" i="23"/>
  <c r="I67" i="23"/>
  <c r="F67" i="23"/>
  <c r="C67" i="23"/>
  <c r="N41" i="23"/>
  <c r="Q40" i="23"/>
  <c r="Q39" i="23"/>
  <c r="Q38" i="23"/>
  <c r="Q36" i="23"/>
  <c r="P33" i="23"/>
  <c r="Q33" i="23" s="1"/>
  <c r="P32" i="23"/>
  <c r="Q32" i="23" s="1"/>
  <c r="P31" i="23"/>
  <c r="Q31" i="23" s="1"/>
  <c r="Q29" i="23"/>
  <c r="Q28" i="23"/>
  <c r="Q27" i="23"/>
  <c r="P25" i="23"/>
  <c r="Q25" i="23" s="1"/>
  <c r="P24" i="23"/>
  <c r="Q24" i="23" s="1"/>
  <c r="P23" i="23"/>
  <c r="Q23" i="23" s="1"/>
  <c r="P22" i="23"/>
  <c r="Q22" i="23" s="1"/>
  <c r="P21" i="23"/>
  <c r="Q21" i="23" s="1"/>
  <c r="P20" i="23"/>
  <c r="Q20" i="23" s="1"/>
  <c r="P19" i="23"/>
  <c r="Q19" i="23" s="1"/>
  <c r="P18" i="23"/>
  <c r="Q18" i="23" s="1"/>
  <c r="P17" i="23"/>
  <c r="Q17" i="23" s="1"/>
  <c r="P16" i="23"/>
  <c r="Q16" i="23" s="1"/>
  <c r="P15" i="23"/>
  <c r="Q15" i="23" s="1"/>
  <c r="P14" i="23"/>
  <c r="Q14" i="23" s="1"/>
  <c r="P13" i="23"/>
  <c r="Q13" i="23" s="1"/>
  <c r="P12" i="23"/>
  <c r="Q12" i="23" s="1"/>
  <c r="P11" i="23"/>
  <c r="Q11" i="23" s="1"/>
  <c r="P10" i="23"/>
  <c r="Q10" i="23" s="1"/>
  <c r="P9" i="23"/>
  <c r="P8" i="23"/>
  <c r="P7" i="23"/>
  <c r="P6" i="23"/>
  <c r="Q6" i="23" s="1"/>
  <c r="P5" i="23"/>
  <c r="F67" i="20" l="1"/>
  <c r="P41" i="23"/>
  <c r="K69" i="23"/>
  <c r="F70" i="23" s="1"/>
  <c r="F73" i="23" s="1"/>
  <c r="K71" i="23" s="1"/>
  <c r="K75" i="23" s="1"/>
  <c r="M41" i="23"/>
  <c r="M45" i="23" s="1"/>
  <c r="Q41" i="23"/>
  <c r="L67" i="22"/>
  <c r="J67" i="19" l="1"/>
  <c r="L50" i="22" l="1"/>
  <c r="M33" i="22" l="1"/>
  <c r="M31" i="22" l="1"/>
  <c r="M28" i="22" l="1"/>
  <c r="F99" i="21" l="1"/>
  <c r="M14" i="22" l="1"/>
  <c r="M9" i="22" l="1"/>
  <c r="M6" i="22" l="1"/>
  <c r="E41" i="9" l="1"/>
  <c r="M67" i="19" l="1"/>
  <c r="L67" i="19"/>
  <c r="E67" i="19"/>
  <c r="C67" i="19"/>
  <c r="F65" i="19"/>
  <c r="F64" i="19"/>
  <c r="F63" i="19"/>
  <c r="F62" i="19"/>
  <c r="F61" i="19"/>
  <c r="F60" i="19"/>
  <c r="F59" i="19"/>
  <c r="F58" i="19"/>
  <c r="F57" i="19"/>
  <c r="F56" i="19"/>
  <c r="F55" i="19"/>
  <c r="F54" i="19"/>
  <c r="F53" i="19"/>
  <c r="F52" i="19"/>
  <c r="F51" i="19"/>
  <c r="F50" i="19"/>
  <c r="F49" i="19"/>
  <c r="F48" i="19"/>
  <c r="F47" i="19"/>
  <c r="F46" i="19"/>
  <c r="F45" i="19"/>
  <c r="F44" i="19"/>
  <c r="F43" i="19"/>
  <c r="F42" i="19"/>
  <c r="F41" i="19"/>
  <c r="F40" i="19"/>
  <c r="F39" i="19"/>
  <c r="F38" i="19"/>
  <c r="F37" i="19"/>
  <c r="F36" i="19"/>
  <c r="F35" i="19"/>
  <c r="F34" i="19"/>
  <c r="F33" i="19"/>
  <c r="F32" i="19"/>
  <c r="F31" i="19"/>
  <c r="F30" i="19"/>
  <c r="F29" i="19"/>
  <c r="F28" i="19"/>
  <c r="F27" i="19"/>
  <c r="F26" i="19"/>
  <c r="F25" i="19"/>
  <c r="F24" i="19"/>
  <c r="F23" i="19"/>
  <c r="F22" i="19"/>
  <c r="F21" i="19"/>
  <c r="F20" i="19"/>
  <c r="F19" i="19"/>
  <c r="F18" i="19"/>
  <c r="F17" i="19"/>
  <c r="F16" i="19"/>
  <c r="F15" i="19"/>
  <c r="F14" i="19"/>
  <c r="F13" i="19"/>
  <c r="F12" i="19"/>
  <c r="F11" i="19"/>
  <c r="F10" i="19"/>
  <c r="F9" i="19"/>
  <c r="F8" i="19"/>
  <c r="F7" i="19"/>
  <c r="F6" i="19"/>
  <c r="F5" i="19"/>
  <c r="F4" i="19"/>
  <c r="M3" i="19"/>
  <c r="M4" i="19" s="1"/>
  <c r="M5" i="19" s="1"/>
  <c r="M6" i="19" s="1"/>
  <c r="M7" i="19" s="1"/>
  <c r="M8" i="19" s="1"/>
  <c r="M9" i="19" s="1"/>
  <c r="M10" i="19" s="1"/>
  <c r="M11" i="19" s="1"/>
  <c r="M12" i="19" s="1"/>
  <c r="M13" i="19" s="1"/>
  <c r="M14" i="19" s="1"/>
  <c r="M15" i="19" s="1"/>
  <c r="M16" i="19" s="1"/>
  <c r="M17" i="19" s="1"/>
  <c r="M18" i="19" s="1"/>
  <c r="M19" i="19" s="1"/>
  <c r="M20" i="19" s="1"/>
  <c r="M21" i="19" s="1"/>
  <c r="M22" i="19" s="1"/>
  <c r="M23" i="19" s="1"/>
  <c r="M24" i="19" s="1"/>
  <c r="M25" i="19" s="1"/>
  <c r="M26" i="19" s="1"/>
  <c r="M27" i="19" s="1"/>
  <c r="M28" i="19" s="1"/>
  <c r="M29" i="19" s="1"/>
  <c r="M30" i="19" s="1"/>
  <c r="M31" i="19" s="1"/>
  <c r="M32" i="19" s="1"/>
  <c r="M33" i="19" s="1"/>
  <c r="M34" i="19" s="1"/>
  <c r="M35" i="19" s="1"/>
  <c r="M36" i="19" s="1"/>
  <c r="M37" i="19" s="1"/>
  <c r="F3" i="19"/>
  <c r="K73" i="22"/>
  <c r="I67" i="22"/>
  <c r="F67" i="22"/>
  <c r="C67" i="22"/>
  <c r="N41" i="22"/>
  <c r="P40" i="22"/>
  <c r="Q40" i="22" s="1"/>
  <c r="P39" i="22"/>
  <c r="Q39" i="22" s="1"/>
  <c r="P38" i="22"/>
  <c r="Q38" i="22" s="1"/>
  <c r="P37" i="22"/>
  <c r="Q37" i="22" s="1"/>
  <c r="P36" i="22"/>
  <c r="Q36" i="22" s="1"/>
  <c r="P35" i="22"/>
  <c r="Q35" i="22" s="1"/>
  <c r="P34" i="22"/>
  <c r="Q34" i="22" s="1"/>
  <c r="P33" i="22"/>
  <c r="Q33" i="22" s="1"/>
  <c r="P32" i="22"/>
  <c r="Q32" i="22" s="1"/>
  <c r="P31" i="22"/>
  <c r="Q31" i="22" s="1"/>
  <c r="P30" i="22"/>
  <c r="Q30" i="22" s="1"/>
  <c r="P29" i="22"/>
  <c r="Q29" i="22" s="1"/>
  <c r="P28" i="22"/>
  <c r="Q28" i="22" s="1"/>
  <c r="P27" i="22"/>
  <c r="Q27" i="22" s="1"/>
  <c r="P26" i="22"/>
  <c r="Q26" i="22" s="1"/>
  <c r="P25" i="22"/>
  <c r="Q25" i="22" s="1"/>
  <c r="P24" i="22"/>
  <c r="Q24" i="22" s="1"/>
  <c r="P23" i="22"/>
  <c r="Q23" i="22" s="1"/>
  <c r="P22" i="22"/>
  <c r="Q22" i="22" s="1"/>
  <c r="P21" i="22"/>
  <c r="Q21" i="22" s="1"/>
  <c r="P20" i="22"/>
  <c r="Q20" i="22" s="1"/>
  <c r="P19" i="22"/>
  <c r="Q19" i="22" s="1"/>
  <c r="P18" i="22"/>
  <c r="Q18" i="22" s="1"/>
  <c r="P17" i="22"/>
  <c r="Q17" i="22" s="1"/>
  <c r="P16" i="22"/>
  <c r="Q16" i="22" s="1"/>
  <c r="P15" i="22"/>
  <c r="Q15" i="22" s="1"/>
  <c r="P14" i="22"/>
  <c r="Q14" i="22" s="1"/>
  <c r="P13" i="22"/>
  <c r="Q13" i="22" s="1"/>
  <c r="P12" i="22"/>
  <c r="Q12" i="22" s="1"/>
  <c r="P11" i="22"/>
  <c r="Q11" i="22" s="1"/>
  <c r="P10" i="22"/>
  <c r="Q10" i="22" s="1"/>
  <c r="P9" i="22"/>
  <c r="Q9" i="22" s="1"/>
  <c r="P8" i="22"/>
  <c r="P7" i="22"/>
  <c r="P6" i="22"/>
  <c r="Q6" i="22" s="1"/>
  <c r="M41" i="22"/>
  <c r="C97" i="21"/>
  <c r="M38" i="19" l="1"/>
  <c r="M39" i="19" s="1"/>
  <c r="M40" i="19" s="1"/>
  <c r="M41" i="19" s="1"/>
  <c r="M42" i="19" s="1"/>
  <c r="M43" i="19" s="1"/>
  <c r="M44" i="19" s="1"/>
  <c r="M45" i="19" s="1"/>
  <c r="M46" i="19" s="1"/>
  <c r="M47" i="19" s="1"/>
  <c r="M48" i="19" s="1"/>
  <c r="M49" i="19" s="1"/>
  <c r="M50" i="19" s="1"/>
  <c r="M51" i="19" s="1"/>
  <c r="M52" i="19" s="1"/>
  <c r="M53" i="19" s="1"/>
  <c r="M54" i="19" s="1"/>
  <c r="M55" i="19" s="1"/>
  <c r="M56" i="19" s="1"/>
  <c r="M57" i="19" s="1"/>
  <c r="M58" i="19" s="1"/>
  <c r="M59" i="19" s="1"/>
  <c r="M60" i="19" s="1"/>
  <c r="M61" i="19" s="1"/>
  <c r="M62" i="19" s="1"/>
  <c r="M63" i="19" s="1"/>
  <c r="M64" i="19" s="1"/>
  <c r="M65" i="19" s="1"/>
  <c r="M45" i="22"/>
  <c r="K69" i="22"/>
  <c r="F70" i="22" s="1"/>
  <c r="F73" i="22" s="1"/>
  <c r="F67" i="19"/>
  <c r="P5" i="22"/>
  <c r="K71" i="22" l="1"/>
  <c r="K75" i="22" s="1"/>
  <c r="P41" i="22"/>
  <c r="Q5" i="22"/>
  <c r="Q41" i="22" s="1"/>
  <c r="P60" i="18"/>
  <c r="L66" i="14" l="1"/>
  <c r="M32" i="18" l="1"/>
  <c r="M31" i="18"/>
  <c r="M30" i="18" l="1"/>
  <c r="M24" i="18" l="1"/>
  <c r="M23" i="18"/>
  <c r="M22" i="18" l="1"/>
  <c r="C130" i="9" l="1"/>
  <c r="M21" i="18" l="1"/>
  <c r="M36" i="16" l="1"/>
  <c r="Q33" i="18" l="1"/>
  <c r="Q5" i="18"/>
  <c r="M5" i="18"/>
  <c r="M41" i="18" s="1"/>
  <c r="N70" i="21"/>
  <c r="M70" i="21"/>
  <c r="K70" i="21"/>
  <c r="E70" i="21"/>
  <c r="C70" i="21"/>
  <c r="F68" i="21"/>
  <c r="F67" i="21"/>
  <c r="F66" i="21"/>
  <c r="F65" i="21"/>
  <c r="F64" i="21"/>
  <c r="F63" i="21"/>
  <c r="F62" i="21"/>
  <c r="F61" i="21"/>
  <c r="F60" i="21"/>
  <c r="F59" i="21"/>
  <c r="F58" i="21"/>
  <c r="F57" i="21"/>
  <c r="F56" i="21"/>
  <c r="F55" i="21"/>
  <c r="F54" i="21"/>
  <c r="F53" i="21"/>
  <c r="F52" i="21"/>
  <c r="F51" i="21"/>
  <c r="F50" i="21"/>
  <c r="F49" i="21"/>
  <c r="F48" i="21"/>
  <c r="F47" i="21"/>
  <c r="F46" i="21"/>
  <c r="F45" i="21"/>
  <c r="F44" i="21"/>
  <c r="F43" i="21"/>
  <c r="N42" i="21"/>
  <c r="N43" i="21" s="1"/>
  <c r="N44" i="21" s="1"/>
  <c r="N45" i="21" s="1"/>
  <c r="N46" i="21" s="1"/>
  <c r="N47" i="21" s="1"/>
  <c r="N48" i="21" s="1"/>
  <c r="N49" i="21" s="1"/>
  <c r="N50" i="21" s="1"/>
  <c r="N51" i="21" s="1"/>
  <c r="N52" i="21" s="1"/>
  <c r="N53" i="21" s="1"/>
  <c r="N54" i="21" s="1"/>
  <c r="N55" i="21" s="1"/>
  <c r="N56" i="21" s="1"/>
  <c r="N57" i="21" s="1"/>
  <c r="N58" i="21" s="1"/>
  <c r="N59" i="21" s="1"/>
  <c r="N60" i="21" s="1"/>
  <c r="N61" i="21" s="1"/>
  <c r="N62" i="21" s="1"/>
  <c r="N63" i="21" s="1"/>
  <c r="N64" i="21" s="1"/>
  <c r="N65" i="21" s="1"/>
  <c r="N66" i="21" s="1"/>
  <c r="N67" i="21" s="1"/>
  <c r="N68" i="21" s="1"/>
  <c r="F42" i="21"/>
  <c r="F41" i="21"/>
  <c r="F40" i="21"/>
  <c r="F39" i="21"/>
  <c r="F38" i="21"/>
  <c r="F37" i="21"/>
  <c r="F36" i="21"/>
  <c r="F35" i="21"/>
  <c r="F34" i="21"/>
  <c r="F33" i="21"/>
  <c r="F32" i="21"/>
  <c r="F31" i="21"/>
  <c r="F30" i="21"/>
  <c r="F29" i="21"/>
  <c r="F28" i="21"/>
  <c r="F27" i="21"/>
  <c r="F26" i="21"/>
  <c r="F25" i="21"/>
  <c r="F24" i="21"/>
  <c r="F23" i="21"/>
  <c r="F22" i="21"/>
  <c r="F21" i="21"/>
  <c r="F20" i="21"/>
  <c r="F19" i="21"/>
  <c r="F18" i="21"/>
  <c r="F17" i="21"/>
  <c r="F16" i="21"/>
  <c r="F15" i="21"/>
  <c r="F14" i="21"/>
  <c r="F13" i="21"/>
  <c r="F12" i="21"/>
  <c r="F11" i="21"/>
  <c r="F10" i="21"/>
  <c r="F9" i="21"/>
  <c r="F8" i="21"/>
  <c r="F7" i="21"/>
  <c r="F6" i="21"/>
  <c r="F5" i="21"/>
  <c r="F4" i="21"/>
  <c r="N3" i="21"/>
  <c r="N4" i="21" s="1"/>
  <c r="N5" i="21" s="1"/>
  <c r="N6" i="21" s="1"/>
  <c r="N7" i="21" s="1"/>
  <c r="N8" i="21" s="1"/>
  <c r="N9" i="21" s="1"/>
  <c r="N10" i="21" s="1"/>
  <c r="N11" i="21" s="1"/>
  <c r="N12" i="21" s="1"/>
  <c r="N13" i="21" s="1"/>
  <c r="N14" i="21" s="1"/>
  <c r="N15" i="21" s="1"/>
  <c r="N16" i="21" s="1"/>
  <c r="N17" i="21" s="1"/>
  <c r="N18" i="21" s="1"/>
  <c r="N19" i="21" s="1"/>
  <c r="N20" i="21" s="1"/>
  <c r="N21" i="21" s="1"/>
  <c r="N22" i="21" s="1"/>
  <c r="N23" i="21" s="1"/>
  <c r="N24" i="21" s="1"/>
  <c r="N25" i="21" s="1"/>
  <c r="N26" i="21" s="1"/>
  <c r="N27" i="21" s="1"/>
  <c r="N28" i="21" s="1"/>
  <c r="N29" i="21" s="1"/>
  <c r="N30" i="21" s="1"/>
  <c r="N31" i="21" s="1"/>
  <c r="N32" i="21" s="1"/>
  <c r="N33" i="21" s="1"/>
  <c r="N34" i="21" s="1"/>
  <c r="F3" i="21"/>
  <c r="K67" i="18"/>
  <c r="I61" i="18"/>
  <c r="F61" i="18"/>
  <c r="C61" i="18"/>
  <c r="N41" i="18"/>
  <c r="Q40" i="18"/>
  <c r="Q39" i="18"/>
  <c r="Q38" i="18"/>
  <c r="Q37" i="18"/>
  <c r="Q36" i="18"/>
  <c r="Q35" i="18"/>
  <c r="Q34" i="18"/>
  <c r="P33" i="18"/>
  <c r="P32" i="18"/>
  <c r="Q32" i="18" s="1"/>
  <c r="P31" i="18"/>
  <c r="Q31" i="18" s="1"/>
  <c r="P30" i="18"/>
  <c r="Q30" i="18" s="1"/>
  <c r="P29" i="18"/>
  <c r="Q29" i="18" s="1"/>
  <c r="P28" i="18"/>
  <c r="Q28" i="18" s="1"/>
  <c r="P27" i="18"/>
  <c r="Q27" i="18" s="1"/>
  <c r="P25" i="18"/>
  <c r="Q25" i="18" s="1"/>
  <c r="P24" i="18"/>
  <c r="Q24" i="18" s="1"/>
  <c r="P23" i="18"/>
  <c r="Q23" i="18" s="1"/>
  <c r="P22" i="18"/>
  <c r="Q22" i="18" s="1"/>
  <c r="P21" i="18"/>
  <c r="Q21" i="18" s="1"/>
  <c r="P20" i="18"/>
  <c r="Q20" i="18" s="1"/>
  <c r="P19" i="18"/>
  <c r="P18" i="18"/>
  <c r="Q18" i="18" s="1"/>
  <c r="P17" i="18"/>
  <c r="Q17" i="18" s="1"/>
  <c r="P16" i="18"/>
  <c r="Q16" i="18" s="1"/>
  <c r="P15" i="18"/>
  <c r="Q15" i="18" s="1"/>
  <c r="P14" i="18"/>
  <c r="P13" i="18"/>
  <c r="Q13" i="18" s="1"/>
  <c r="P12" i="18"/>
  <c r="Q12" i="18" s="1"/>
  <c r="P11" i="18"/>
  <c r="Q11" i="18" s="1"/>
  <c r="P10" i="18"/>
  <c r="Q10" i="18" s="1"/>
  <c r="P9" i="18"/>
  <c r="Q9" i="18" s="1"/>
  <c r="P8" i="18"/>
  <c r="Q8" i="18" s="1"/>
  <c r="P7" i="18"/>
  <c r="P6" i="18"/>
  <c r="Q6" i="18" s="1"/>
  <c r="N35" i="21" l="1"/>
  <c r="N36" i="21" s="1"/>
  <c r="N37" i="21" s="1"/>
  <c r="N38" i="21" s="1"/>
  <c r="N39" i="21" s="1"/>
  <c r="N40" i="21" s="1"/>
  <c r="N41" i="21" s="1"/>
  <c r="F70" i="21"/>
  <c r="P5" i="18"/>
  <c r="M45" i="18"/>
  <c r="P26" i="18"/>
  <c r="L61" i="18"/>
  <c r="K63" i="18" s="1"/>
  <c r="F64" i="18" s="1"/>
  <c r="F67" i="18" s="1"/>
  <c r="K65" i="18" s="1"/>
  <c r="K69" i="18" s="1"/>
  <c r="M30" i="16"/>
  <c r="M26" i="16"/>
  <c r="G11" i="17"/>
  <c r="P41" i="18" l="1"/>
  <c r="Q26" i="18"/>
  <c r="Q41" i="18" s="1"/>
  <c r="D15" i="17"/>
  <c r="D11" i="17" l="1"/>
  <c r="E15" i="15" l="1"/>
  <c r="F48" i="13" l="1"/>
  <c r="F49" i="13"/>
  <c r="F50" i="13"/>
  <c r="F51" i="13"/>
  <c r="F52" i="13"/>
  <c r="F53" i="13"/>
  <c r="F54" i="13"/>
  <c r="F55" i="13"/>
  <c r="F56" i="13"/>
  <c r="F57" i="13"/>
  <c r="F58" i="13"/>
  <c r="F59" i="13"/>
  <c r="F60" i="13"/>
  <c r="F61" i="13"/>
  <c r="F62" i="13"/>
  <c r="F63" i="13"/>
  <c r="F64" i="13"/>
  <c r="F65" i="13"/>
  <c r="F66" i="13"/>
  <c r="F67" i="13"/>
  <c r="F68" i="13"/>
  <c r="F69" i="13"/>
  <c r="F70" i="13"/>
  <c r="F71" i="13"/>
  <c r="F72" i="13"/>
  <c r="F73" i="13"/>
  <c r="F74" i="13"/>
  <c r="F75" i="13"/>
  <c r="F76" i="13"/>
  <c r="F77" i="13"/>
  <c r="F46" i="13"/>
  <c r="F52" i="9" l="1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E89" i="9"/>
  <c r="C89" i="9"/>
  <c r="F44" i="9"/>
  <c r="F45" i="9"/>
  <c r="F46" i="9"/>
  <c r="F47" i="9"/>
  <c r="F48" i="9"/>
  <c r="F49" i="9"/>
  <c r="F50" i="9"/>
  <c r="F51" i="9"/>
  <c r="P38" i="16" l="1"/>
  <c r="M34" i="16" l="1"/>
  <c r="P33" i="16" l="1"/>
  <c r="P34" i="16"/>
  <c r="P35" i="16"/>
  <c r="P36" i="16"/>
  <c r="P37" i="16"/>
  <c r="P39" i="16"/>
  <c r="P40" i="16"/>
  <c r="M33" i="16"/>
  <c r="Q36" i="16" l="1"/>
  <c r="Q37" i="16"/>
  <c r="Q38" i="16"/>
  <c r="Q39" i="16"/>
  <c r="Q40" i="16"/>
  <c r="N41" i="16"/>
  <c r="M41" i="16"/>
  <c r="M45" i="16" l="1"/>
  <c r="L44" i="16" l="1"/>
  <c r="L31" i="16"/>
  <c r="Q6" i="16" l="1"/>
  <c r="Q8" i="16"/>
  <c r="Q9" i="16"/>
  <c r="Q10" i="16"/>
  <c r="Q5" i="16"/>
  <c r="P7" i="16"/>
  <c r="M89" i="9"/>
  <c r="K89" i="9"/>
  <c r="F43" i="9"/>
  <c r="F42" i="9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N3" i="9"/>
  <c r="N4" i="9" s="1"/>
  <c r="N5" i="9" s="1"/>
  <c r="N6" i="9" s="1"/>
  <c r="N7" i="9" s="1"/>
  <c r="N8" i="9" s="1"/>
  <c r="N9" i="9" s="1"/>
  <c r="N10" i="9" s="1"/>
  <c r="N11" i="9" s="1"/>
  <c r="N12" i="9" s="1"/>
  <c r="N13" i="9" s="1"/>
  <c r="N14" i="9" s="1"/>
  <c r="N15" i="9" s="1"/>
  <c r="N16" i="9" s="1"/>
  <c r="N17" i="9" s="1"/>
  <c r="N18" i="9" s="1"/>
  <c r="N19" i="9" s="1"/>
  <c r="N20" i="9" s="1"/>
  <c r="N21" i="9" s="1"/>
  <c r="N22" i="9" s="1"/>
  <c r="N23" i="9" s="1"/>
  <c r="N24" i="9" s="1"/>
  <c r="N25" i="9" s="1"/>
  <c r="N26" i="9" s="1"/>
  <c r="N27" i="9" s="1"/>
  <c r="N28" i="9" s="1"/>
  <c r="N29" i="9" s="1"/>
  <c r="N30" i="9" s="1"/>
  <c r="N31" i="9" s="1"/>
  <c r="N32" i="9" s="1"/>
  <c r="N33" i="9" s="1"/>
  <c r="N34" i="9" s="1"/>
  <c r="N35" i="9" s="1"/>
  <c r="N36" i="9" s="1"/>
  <c r="N37" i="9" s="1"/>
  <c r="N38" i="9" s="1"/>
  <c r="N39" i="9" s="1"/>
  <c r="N40" i="9" s="1"/>
  <c r="N41" i="9" s="1"/>
  <c r="N42" i="9" s="1"/>
  <c r="N43" i="9" s="1"/>
  <c r="N61" i="9" s="1"/>
  <c r="N62" i="9" s="1"/>
  <c r="N63" i="9" s="1"/>
  <c r="N64" i="9" s="1"/>
  <c r="N65" i="9" s="1"/>
  <c r="N66" i="9" s="1"/>
  <c r="N67" i="9" s="1"/>
  <c r="N68" i="9" s="1"/>
  <c r="N69" i="9" s="1"/>
  <c r="N70" i="9" s="1"/>
  <c r="N71" i="9" s="1"/>
  <c r="N72" i="9" s="1"/>
  <c r="N73" i="9" s="1"/>
  <c r="N74" i="9" s="1"/>
  <c r="N75" i="9" s="1"/>
  <c r="N76" i="9" s="1"/>
  <c r="N77" i="9" s="1"/>
  <c r="N78" i="9" s="1"/>
  <c r="N79" i="9" s="1"/>
  <c r="N80" i="9" s="1"/>
  <c r="N81" i="9" s="1"/>
  <c r="N82" i="9" s="1"/>
  <c r="N83" i="9" s="1"/>
  <c r="N84" i="9" s="1"/>
  <c r="N85" i="9" s="1"/>
  <c r="N86" i="9" s="1"/>
  <c r="N87" i="9" s="1"/>
  <c r="N89" i="9" s="1"/>
  <c r="F3" i="9"/>
  <c r="K74" i="16"/>
  <c r="L68" i="16"/>
  <c r="I68" i="16"/>
  <c r="F68" i="16"/>
  <c r="C68" i="16"/>
  <c r="Q35" i="16"/>
  <c r="T33" i="16"/>
  <c r="Q33" i="16"/>
  <c r="P32" i="16"/>
  <c r="P31" i="16"/>
  <c r="Q31" i="16" s="1"/>
  <c r="P30" i="16"/>
  <c r="Q30" i="16" s="1"/>
  <c r="P29" i="16"/>
  <c r="Q29" i="16" s="1"/>
  <c r="P28" i="16"/>
  <c r="Q28" i="16" s="1"/>
  <c r="P27" i="16"/>
  <c r="Q27" i="16" s="1"/>
  <c r="P26" i="16"/>
  <c r="P25" i="16"/>
  <c r="Q25" i="16" s="1"/>
  <c r="P24" i="16"/>
  <c r="Q24" i="16" s="1"/>
  <c r="P23" i="16"/>
  <c r="Q23" i="16" s="1"/>
  <c r="P22" i="16"/>
  <c r="Q22" i="16" s="1"/>
  <c r="P21" i="16"/>
  <c r="Q21" i="16" s="1"/>
  <c r="P20" i="16"/>
  <c r="Q20" i="16" s="1"/>
  <c r="W19" i="16"/>
  <c r="P19" i="16"/>
  <c r="Q19" i="16" s="1"/>
  <c r="P18" i="16"/>
  <c r="Q18" i="16" s="1"/>
  <c r="P17" i="16"/>
  <c r="Q17" i="16" s="1"/>
  <c r="P16" i="16"/>
  <c r="Q16" i="16" s="1"/>
  <c r="P15" i="16"/>
  <c r="Q15" i="16" s="1"/>
  <c r="P14" i="16"/>
  <c r="P13" i="16"/>
  <c r="Q13" i="16" s="1"/>
  <c r="U12" i="16"/>
  <c r="P12" i="16"/>
  <c r="Q12" i="16" s="1"/>
  <c r="P11" i="16"/>
  <c r="P10" i="16"/>
  <c r="P9" i="16"/>
  <c r="P8" i="16"/>
  <c r="P6" i="16"/>
  <c r="P5" i="16"/>
  <c r="F89" i="9" l="1"/>
  <c r="Q32" i="16"/>
  <c r="Q41" i="16" s="1"/>
  <c r="P41" i="16"/>
  <c r="K70" i="16"/>
  <c r="F71" i="16" s="1"/>
  <c r="F74" i="16" s="1"/>
  <c r="K72" i="16" s="1"/>
  <c r="K76" i="16" s="1"/>
  <c r="M29" i="14" l="1"/>
  <c r="M28" i="14" l="1"/>
  <c r="Q35" i="14" l="1"/>
  <c r="M22" i="14"/>
  <c r="M19" i="14" l="1"/>
  <c r="F4" i="13" l="1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7" i="13"/>
  <c r="F3" i="13"/>
  <c r="F41" i="11"/>
  <c r="M14" i="14" l="1"/>
  <c r="M8" i="14" l="1"/>
  <c r="Q6" i="14"/>
  <c r="M79" i="15" l="1"/>
  <c r="K79" i="15"/>
  <c r="E79" i="15"/>
  <c r="C79" i="15"/>
  <c r="F47" i="15"/>
  <c r="F48" i="15" s="1"/>
  <c r="F49" i="15" s="1"/>
  <c r="F50" i="15" s="1"/>
  <c r="F51" i="15" s="1"/>
  <c r="F52" i="15" s="1"/>
  <c r="F53" i="15" s="1"/>
  <c r="F54" i="15" s="1"/>
  <c r="F55" i="15" s="1"/>
  <c r="F56" i="15" s="1"/>
  <c r="F57" i="15" s="1"/>
  <c r="F58" i="15" s="1"/>
  <c r="F59" i="15" s="1"/>
  <c r="F60" i="15" s="1"/>
  <c r="F61" i="15" s="1"/>
  <c r="F62" i="15" s="1"/>
  <c r="F63" i="15" s="1"/>
  <c r="F64" i="15" s="1"/>
  <c r="F65" i="15" s="1"/>
  <c r="F66" i="15" s="1"/>
  <c r="F67" i="15" s="1"/>
  <c r="F68" i="15" s="1"/>
  <c r="F69" i="15" s="1"/>
  <c r="F70" i="15" s="1"/>
  <c r="F71" i="15" s="1"/>
  <c r="F72" i="15" s="1"/>
  <c r="F73" i="15" s="1"/>
  <c r="F74" i="15" s="1"/>
  <c r="F75" i="15" s="1"/>
  <c r="F76" i="15" s="1"/>
  <c r="F77" i="15" s="1"/>
  <c r="F78" i="15" s="1"/>
  <c r="F46" i="15"/>
  <c r="F45" i="15"/>
  <c r="F44" i="15"/>
  <c r="F43" i="15"/>
  <c r="F42" i="15"/>
  <c r="F41" i="15"/>
  <c r="F40" i="15"/>
  <c r="F39" i="15"/>
  <c r="F38" i="15"/>
  <c r="F37" i="15"/>
  <c r="F36" i="15"/>
  <c r="F35" i="15"/>
  <c r="F34" i="15"/>
  <c r="F33" i="15"/>
  <c r="F32" i="15"/>
  <c r="F31" i="15"/>
  <c r="F30" i="15"/>
  <c r="F29" i="15"/>
  <c r="F28" i="15"/>
  <c r="F27" i="15"/>
  <c r="F26" i="15"/>
  <c r="F25" i="15"/>
  <c r="F24" i="15"/>
  <c r="F23" i="15"/>
  <c r="F22" i="15"/>
  <c r="F21" i="15"/>
  <c r="F20" i="15"/>
  <c r="F19" i="15"/>
  <c r="F18" i="15"/>
  <c r="F17" i="15"/>
  <c r="F16" i="15"/>
  <c r="F15" i="15"/>
  <c r="F14" i="15"/>
  <c r="F13" i="15"/>
  <c r="F12" i="15"/>
  <c r="F11" i="15"/>
  <c r="F10" i="15"/>
  <c r="F9" i="15"/>
  <c r="F8" i="15"/>
  <c r="F7" i="15"/>
  <c r="F6" i="15"/>
  <c r="F5" i="15"/>
  <c r="F4" i="15"/>
  <c r="N3" i="15"/>
  <c r="N4" i="15" s="1"/>
  <c r="N5" i="15" s="1"/>
  <c r="N6" i="15" s="1"/>
  <c r="N7" i="15" s="1"/>
  <c r="N8" i="15" s="1"/>
  <c r="N9" i="15" s="1"/>
  <c r="N10" i="15" s="1"/>
  <c r="N11" i="15" s="1"/>
  <c r="N12" i="15" s="1"/>
  <c r="N13" i="15" s="1"/>
  <c r="N14" i="15" s="1"/>
  <c r="N15" i="15" s="1"/>
  <c r="N16" i="15" s="1"/>
  <c r="N17" i="15" s="1"/>
  <c r="N18" i="15" s="1"/>
  <c r="N19" i="15" s="1"/>
  <c r="N20" i="15" s="1"/>
  <c r="N21" i="15" s="1"/>
  <c r="N22" i="15" s="1"/>
  <c r="N23" i="15" s="1"/>
  <c r="N24" i="15" s="1"/>
  <c r="N25" i="15" s="1"/>
  <c r="N26" i="15" s="1"/>
  <c r="N27" i="15" s="1"/>
  <c r="N28" i="15" s="1"/>
  <c r="N29" i="15" s="1"/>
  <c r="N30" i="15" s="1"/>
  <c r="N31" i="15" s="1"/>
  <c r="N32" i="15" s="1"/>
  <c r="N33" i="15" s="1"/>
  <c r="N34" i="15" s="1"/>
  <c r="N35" i="15" s="1"/>
  <c r="N36" i="15" s="1"/>
  <c r="N37" i="15" s="1"/>
  <c r="N38" i="15" s="1"/>
  <c r="N39" i="15" s="1"/>
  <c r="N40" i="15" s="1"/>
  <c r="N41" i="15" s="1"/>
  <c r="N42" i="15" s="1"/>
  <c r="N43" i="15" s="1"/>
  <c r="N44" i="15" s="1"/>
  <c r="N45" i="15" s="1"/>
  <c r="N46" i="15" s="1"/>
  <c r="N47" i="15" s="1"/>
  <c r="N48" i="15" s="1"/>
  <c r="N49" i="15" s="1"/>
  <c r="N50" i="15" s="1"/>
  <c r="N51" i="15" s="1"/>
  <c r="N52" i="15" s="1"/>
  <c r="N53" i="15" s="1"/>
  <c r="N54" i="15" s="1"/>
  <c r="N55" i="15" s="1"/>
  <c r="N56" i="15" s="1"/>
  <c r="N57" i="15" s="1"/>
  <c r="N58" i="15" s="1"/>
  <c r="N59" i="15" s="1"/>
  <c r="N60" i="15" s="1"/>
  <c r="N61" i="15" s="1"/>
  <c r="N62" i="15" s="1"/>
  <c r="N63" i="15" s="1"/>
  <c r="N64" i="15" s="1"/>
  <c r="N65" i="15" s="1"/>
  <c r="N66" i="15" s="1"/>
  <c r="N67" i="15" s="1"/>
  <c r="N68" i="15" s="1"/>
  <c r="N69" i="15" s="1"/>
  <c r="N70" i="15" s="1"/>
  <c r="N71" i="15" s="1"/>
  <c r="N72" i="15" s="1"/>
  <c r="N73" i="15" s="1"/>
  <c r="N74" i="15" s="1"/>
  <c r="N75" i="15" s="1"/>
  <c r="N76" i="15" s="1"/>
  <c r="N77" i="15" s="1"/>
  <c r="N78" i="15" s="1"/>
  <c r="N79" i="15" s="1"/>
  <c r="F3" i="15"/>
  <c r="K72" i="14"/>
  <c r="I66" i="14"/>
  <c r="F66" i="14"/>
  <c r="C66" i="14"/>
  <c r="Q34" i="14"/>
  <c r="T33" i="14"/>
  <c r="Q33" i="14"/>
  <c r="P32" i="14"/>
  <c r="Q32" i="14" s="1"/>
  <c r="P31" i="14"/>
  <c r="Q31" i="14" s="1"/>
  <c r="P30" i="14"/>
  <c r="Q30" i="14" s="1"/>
  <c r="N36" i="14"/>
  <c r="P28" i="14"/>
  <c r="P27" i="14"/>
  <c r="P26" i="14"/>
  <c r="Q26" i="14" s="1"/>
  <c r="P25" i="14"/>
  <c r="Q25" i="14" s="1"/>
  <c r="P24" i="14"/>
  <c r="Q24" i="14" s="1"/>
  <c r="P23" i="14"/>
  <c r="Q23" i="14" s="1"/>
  <c r="P22" i="14"/>
  <c r="Q22" i="14" s="1"/>
  <c r="P21" i="14"/>
  <c r="Q21" i="14" s="1"/>
  <c r="P20" i="14"/>
  <c r="Q20" i="14" s="1"/>
  <c r="W19" i="14"/>
  <c r="P19" i="14"/>
  <c r="Q19" i="14" s="1"/>
  <c r="P18" i="14"/>
  <c r="Q18" i="14" s="1"/>
  <c r="P17" i="14"/>
  <c r="Q17" i="14" s="1"/>
  <c r="P16" i="14"/>
  <c r="Q16" i="14" s="1"/>
  <c r="P15" i="14"/>
  <c r="Q15" i="14" s="1"/>
  <c r="P14" i="14"/>
  <c r="Q14" i="14" s="1"/>
  <c r="P13" i="14"/>
  <c r="Q13" i="14" s="1"/>
  <c r="U12" i="14"/>
  <c r="P12" i="14"/>
  <c r="Q12" i="14" s="1"/>
  <c r="P11" i="14"/>
  <c r="Q11" i="14" s="1"/>
  <c r="P10" i="14"/>
  <c r="Q10" i="14" s="1"/>
  <c r="P9" i="14"/>
  <c r="P8" i="14"/>
  <c r="Q8" i="14" s="1"/>
  <c r="P7" i="14"/>
  <c r="P6" i="14"/>
  <c r="P5" i="14"/>
  <c r="F79" i="15" l="1"/>
  <c r="K68" i="14"/>
  <c r="F69" i="14" s="1"/>
  <c r="F72" i="14" s="1"/>
  <c r="K70" i="14" s="1"/>
  <c r="K74" i="14" s="1"/>
  <c r="Q5" i="14"/>
  <c r="M36" i="14"/>
  <c r="M39" i="14" s="1"/>
  <c r="P29" i="14"/>
  <c r="Q29" i="14" s="1"/>
  <c r="M39" i="12"/>
  <c r="M32" i="12"/>
  <c r="T33" i="12"/>
  <c r="N31" i="12"/>
  <c r="M31" i="12"/>
  <c r="N29" i="12"/>
  <c r="M30" i="12"/>
  <c r="M29" i="12"/>
  <c r="Q36" i="14" l="1"/>
  <c r="P39" i="14"/>
  <c r="M28" i="12"/>
  <c r="P24" i="12" l="1"/>
  <c r="M21" i="12"/>
  <c r="M16" i="12" l="1"/>
  <c r="M15" i="12"/>
  <c r="M12" i="12"/>
  <c r="Q10" i="12" l="1"/>
  <c r="P10" i="12"/>
  <c r="P5" i="12" l="1"/>
  <c r="Q5" i="12"/>
  <c r="M79" i="13" l="1"/>
  <c r="K79" i="13"/>
  <c r="E79" i="13"/>
  <c r="C79" i="13"/>
  <c r="F79" i="13" s="1"/>
  <c r="N3" i="13"/>
  <c r="N4" i="13" s="1"/>
  <c r="N5" i="13" s="1"/>
  <c r="N6" i="13" s="1"/>
  <c r="N7" i="13" s="1"/>
  <c r="N8" i="13" s="1"/>
  <c r="N9" i="13" s="1"/>
  <c r="N10" i="13" s="1"/>
  <c r="N11" i="13" s="1"/>
  <c r="N12" i="13" s="1"/>
  <c r="N13" i="13" s="1"/>
  <c r="N14" i="13" s="1"/>
  <c r="N15" i="13" s="1"/>
  <c r="N16" i="13" s="1"/>
  <c r="N17" i="13" s="1"/>
  <c r="N18" i="13" s="1"/>
  <c r="N19" i="13" s="1"/>
  <c r="N20" i="13" s="1"/>
  <c r="N21" i="13" s="1"/>
  <c r="N22" i="13" s="1"/>
  <c r="N23" i="13" s="1"/>
  <c r="N24" i="13" s="1"/>
  <c r="N25" i="13" s="1"/>
  <c r="N26" i="13" s="1"/>
  <c r="N27" i="13" s="1"/>
  <c r="N28" i="13" s="1"/>
  <c r="N29" i="13" s="1"/>
  <c r="N30" i="13" s="1"/>
  <c r="N31" i="13" s="1"/>
  <c r="N32" i="13" s="1"/>
  <c r="N33" i="13" s="1"/>
  <c r="N34" i="13" s="1"/>
  <c r="N35" i="13" s="1"/>
  <c r="N36" i="13" s="1"/>
  <c r="N37" i="13" s="1"/>
  <c r="N38" i="13" s="1"/>
  <c r="N39" i="13" s="1"/>
  <c r="N40" i="13" s="1"/>
  <c r="N41" i="13" s="1"/>
  <c r="N42" i="13" s="1"/>
  <c r="N43" i="13" s="1"/>
  <c r="N44" i="13" s="1"/>
  <c r="N45" i="13" s="1"/>
  <c r="N46" i="13" s="1"/>
  <c r="N47" i="13" s="1"/>
  <c r="N48" i="13" s="1"/>
  <c r="N49" i="13" s="1"/>
  <c r="N50" i="13" s="1"/>
  <c r="N51" i="13" s="1"/>
  <c r="N52" i="13" s="1"/>
  <c r="N53" i="13" s="1"/>
  <c r="N54" i="13" s="1"/>
  <c r="N55" i="13" s="1"/>
  <c r="N56" i="13" s="1"/>
  <c r="N57" i="13" s="1"/>
  <c r="N58" i="13" s="1"/>
  <c r="N59" i="13" s="1"/>
  <c r="N60" i="13" s="1"/>
  <c r="N61" i="13" s="1"/>
  <c r="N62" i="13" s="1"/>
  <c r="N63" i="13" s="1"/>
  <c r="N64" i="13" s="1"/>
  <c r="N65" i="13" s="1"/>
  <c r="N66" i="13" s="1"/>
  <c r="N67" i="13" s="1"/>
  <c r="N68" i="13" s="1"/>
  <c r="N69" i="13" s="1"/>
  <c r="N70" i="13" s="1"/>
  <c r="N71" i="13" s="1"/>
  <c r="N72" i="13" s="1"/>
  <c r="N73" i="13" s="1"/>
  <c r="N74" i="13" s="1"/>
  <c r="N75" i="13" s="1"/>
  <c r="N76" i="13" s="1"/>
  <c r="N77" i="13" s="1"/>
  <c r="N78" i="13" s="1"/>
  <c r="N79" i="13" s="1"/>
  <c r="F78" i="13"/>
  <c r="K56" i="12"/>
  <c r="I50" i="12"/>
  <c r="F50" i="12"/>
  <c r="C50" i="12"/>
  <c r="N36" i="12"/>
  <c r="Q35" i="12"/>
  <c r="Q34" i="12"/>
  <c r="Q33" i="12"/>
  <c r="P32" i="12"/>
  <c r="Q32" i="12" s="1"/>
  <c r="P31" i="12"/>
  <c r="Q31" i="12" s="1"/>
  <c r="P30" i="12"/>
  <c r="P29" i="12"/>
  <c r="Q29" i="12" s="1"/>
  <c r="P28" i="12"/>
  <c r="Q28" i="12" s="1"/>
  <c r="P27" i="12"/>
  <c r="Q27" i="12" s="1"/>
  <c r="P26" i="12"/>
  <c r="Q26" i="12" s="1"/>
  <c r="P25" i="12"/>
  <c r="Q25" i="12" s="1"/>
  <c r="Q24" i="12"/>
  <c r="P23" i="12"/>
  <c r="Q23" i="12" s="1"/>
  <c r="P22" i="12"/>
  <c r="Q22" i="12" s="1"/>
  <c r="P21" i="12"/>
  <c r="P20" i="12"/>
  <c r="Q20" i="12" s="1"/>
  <c r="W19" i="12"/>
  <c r="P19" i="12"/>
  <c r="Q19" i="12" s="1"/>
  <c r="P18" i="12"/>
  <c r="Q18" i="12" s="1"/>
  <c r="P17" i="12"/>
  <c r="Q17" i="12" s="1"/>
  <c r="L50" i="12"/>
  <c r="P16" i="12"/>
  <c r="Q16" i="12" s="1"/>
  <c r="P15" i="12"/>
  <c r="Q15" i="12" s="1"/>
  <c r="P14" i="12"/>
  <c r="P13" i="12"/>
  <c r="Q13" i="12" s="1"/>
  <c r="U12" i="12"/>
  <c r="P12" i="12"/>
  <c r="Q12" i="12" s="1"/>
  <c r="P11" i="12"/>
  <c r="Q11" i="12" s="1"/>
  <c r="P9" i="12"/>
  <c r="Q9" i="12" s="1"/>
  <c r="P8" i="12"/>
  <c r="Q8" i="12" s="1"/>
  <c r="M36" i="12"/>
  <c r="P7" i="12"/>
  <c r="Q7" i="12" s="1"/>
  <c r="P6" i="12"/>
  <c r="P39" i="12" l="1"/>
  <c r="K52" i="12"/>
  <c r="F53" i="12" s="1"/>
  <c r="F56" i="12" s="1"/>
  <c r="K54" i="12" s="1"/>
  <c r="K58" i="12" s="1"/>
  <c r="Q36" i="12"/>
  <c r="N74" i="8"/>
  <c r="M74" i="8"/>
  <c r="E79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2" i="11"/>
  <c r="F43" i="11"/>
  <c r="F44" i="11"/>
  <c r="F45" i="11"/>
  <c r="F46" i="11"/>
  <c r="F3" i="11"/>
  <c r="K79" i="11" l="1"/>
  <c r="M79" i="11"/>
  <c r="M32" i="10" l="1"/>
  <c r="M29" i="10"/>
  <c r="M28" i="10" l="1"/>
  <c r="M23" i="10" l="1"/>
  <c r="M21" i="10" l="1"/>
  <c r="M20" i="10"/>
  <c r="M15" i="10" l="1"/>
  <c r="M18" i="10"/>
  <c r="L17" i="10"/>
  <c r="M17" i="10"/>
  <c r="M10" i="10" l="1"/>
  <c r="M8" i="10" l="1"/>
  <c r="U12" i="10"/>
  <c r="M32" i="7"/>
  <c r="C79" i="11" l="1"/>
  <c r="F47" i="11"/>
  <c r="N3" i="11"/>
  <c r="N4" i="11" s="1"/>
  <c r="N5" i="11" s="1"/>
  <c r="N6" i="11" s="1"/>
  <c r="N7" i="11" s="1"/>
  <c r="N8" i="11" s="1"/>
  <c r="N9" i="11" s="1"/>
  <c r="N10" i="11" s="1"/>
  <c r="N11" i="11" s="1"/>
  <c r="N12" i="11" s="1"/>
  <c r="N13" i="11" s="1"/>
  <c r="N14" i="11" s="1"/>
  <c r="N15" i="11" s="1"/>
  <c r="N16" i="11" s="1"/>
  <c r="N17" i="11" s="1"/>
  <c r="N18" i="11" s="1"/>
  <c r="N19" i="11" s="1"/>
  <c r="N20" i="11" s="1"/>
  <c r="N21" i="11" s="1"/>
  <c r="N22" i="11" s="1"/>
  <c r="N23" i="11" s="1"/>
  <c r="N24" i="11" s="1"/>
  <c r="N25" i="11" s="1"/>
  <c r="N26" i="11" s="1"/>
  <c r="N27" i="11" s="1"/>
  <c r="N28" i="11" s="1"/>
  <c r="N29" i="11" s="1"/>
  <c r="N30" i="11" s="1"/>
  <c r="N31" i="11" s="1"/>
  <c r="N32" i="11" s="1"/>
  <c r="N33" i="11" s="1"/>
  <c r="N34" i="11" s="1"/>
  <c r="N35" i="11" s="1"/>
  <c r="N36" i="11" s="1"/>
  <c r="N37" i="11" s="1"/>
  <c r="N38" i="11" s="1"/>
  <c r="N39" i="11" s="1"/>
  <c r="N40" i="11" s="1"/>
  <c r="N41" i="11" s="1"/>
  <c r="N42" i="11" s="1"/>
  <c r="N43" i="11" s="1"/>
  <c r="N44" i="11" s="1"/>
  <c r="N45" i="11" s="1"/>
  <c r="N46" i="11" s="1"/>
  <c r="N47" i="11" s="1"/>
  <c r="N48" i="11" s="1"/>
  <c r="N49" i="11" s="1"/>
  <c r="N50" i="11" s="1"/>
  <c r="N51" i="11" s="1"/>
  <c r="N52" i="11" s="1"/>
  <c r="N53" i="11" s="1"/>
  <c r="N54" i="11" s="1"/>
  <c r="N55" i="11" s="1"/>
  <c r="N56" i="11" s="1"/>
  <c r="N57" i="11" s="1"/>
  <c r="N58" i="11" s="1"/>
  <c r="N59" i="11" s="1"/>
  <c r="N60" i="11" s="1"/>
  <c r="N61" i="11" s="1"/>
  <c r="N62" i="11" s="1"/>
  <c r="N63" i="11" s="1"/>
  <c r="N64" i="11" s="1"/>
  <c r="N65" i="11" s="1"/>
  <c r="N66" i="11" s="1"/>
  <c r="N67" i="11" s="1"/>
  <c r="N68" i="11" s="1"/>
  <c r="N69" i="11" s="1"/>
  <c r="N70" i="11" s="1"/>
  <c r="N71" i="11" s="1"/>
  <c r="N72" i="11" s="1"/>
  <c r="N73" i="11" s="1"/>
  <c r="N74" i="11" s="1"/>
  <c r="N75" i="11" s="1"/>
  <c r="N76" i="11" s="1"/>
  <c r="N77" i="11" s="1"/>
  <c r="N78" i="11" s="1"/>
  <c r="N79" i="11" s="1"/>
  <c r="K56" i="10"/>
  <c r="L50" i="10"/>
  <c r="I50" i="10"/>
  <c r="F50" i="10"/>
  <c r="C50" i="10"/>
  <c r="N36" i="10"/>
  <c r="M36" i="10"/>
  <c r="Q35" i="10"/>
  <c r="Q34" i="10"/>
  <c r="Q33" i="10"/>
  <c r="P32" i="10"/>
  <c r="Q32" i="10" s="1"/>
  <c r="P31" i="10"/>
  <c r="Q31" i="10" s="1"/>
  <c r="U30" i="10"/>
  <c r="P30" i="10"/>
  <c r="Q30" i="10" s="1"/>
  <c r="P29" i="10"/>
  <c r="P28" i="10"/>
  <c r="Q28" i="10" s="1"/>
  <c r="P27" i="10"/>
  <c r="Q27" i="10" s="1"/>
  <c r="P26" i="10"/>
  <c r="Q26" i="10" s="1"/>
  <c r="P25" i="10"/>
  <c r="P24" i="10"/>
  <c r="Q24" i="10" s="1"/>
  <c r="P23" i="10"/>
  <c r="Q23" i="10" s="1"/>
  <c r="P22" i="10"/>
  <c r="Q22" i="10" s="1"/>
  <c r="P21" i="10"/>
  <c r="P20" i="10"/>
  <c r="Q20" i="10" s="1"/>
  <c r="W19" i="10"/>
  <c r="P19" i="10"/>
  <c r="Q19" i="10" s="1"/>
  <c r="P18" i="10"/>
  <c r="Q18" i="10" s="1"/>
  <c r="P17" i="10"/>
  <c r="P16" i="10"/>
  <c r="Q16" i="10" s="1"/>
  <c r="P15" i="10"/>
  <c r="Q15" i="10" s="1"/>
  <c r="P14" i="10"/>
  <c r="Q14" i="10" s="1"/>
  <c r="P13" i="10"/>
  <c r="Q13" i="10" s="1"/>
  <c r="P12" i="10"/>
  <c r="Q12" i="10" s="1"/>
  <c r="P11" i="10"/>
  <c r="Q11" i="10" s="1"/>
  <c r="P10" i="10"/>
  <c r="P9" i="10"/>
  <c r="Q9" i="10" s="1"/>
  <c r="P8" i="10"/>
  <c r="Q8" i="10" s="1"/>
  <c r="P7" i="10"/>
  <c r="Q7" i="10" s="1"/>
  <c r="P6" i="10"/>
  <c r="Q6" i="10" s="1"/>
  <c r="P5" i="10"/>
  <c r="Q5" i="10" s="1"/>
  <c r="F48" i="11" l="1"/>
  <c r="F49" i="11" s="1"/>
  <c r="F50" i="11" s="1"/>
  <c r="F51" i="11" s="1"/>
  <c r="F52" i="11" s="1"/>
  <c r="F53" i="11" s="1"/>
  <c r="F54" i="11" s="1"/>
  <c r="F55" i="11" s="1"/>
  <c r="F56" i="11" s="1"/>
  <c r="F57" i="11" s="1"/>
  <c r="F58" i="11" s="1"/>
  <c r="F59" i="11" s="1"/>
  <c r="F60" i="11" s="1"/>
  <c r="F61" i="11" s="1"/>
  <c r="F62" i="11" s="1"/>
  <c r="F63" i="11" s="1"/>
  <c r="F64" i="11" s="1"/>
  <c r="F65" i="11" s="1"/>
  <c r="F66" i="11" s="1"/>
  <c r="F67" i="11" s="1"/>
  <c r="F68" i="11" s="1"/>
  <c r="F69" i="11" s="1"/>
  <c r="F70" i="11" s="1"/>
  <c r="F71" i="11" s="1"/>
  <c r="F72" i="11" s="1"/>
  <c r="F73" i="11" s="1"/>
  <c r="F74" i="11" s="1"/>
  <c r="F75" i="11" s="1"/>
  <c r="F76" i="11" s="1"/>
  <c r="F77" i="11" s="1"/>
  <c r="F78" i="11" s="1"/>
  <c r="K52" i="10"/>
  <c r="Q36" i="10"/>
  <c r="P39" i="10"/>
  <c r="F53" i="10" l="1"/>
  <c r="F56" i="10" s="1"/>
  <c r="K54" i="10" s="1"/>
  <c r="K58" i="10" s="1"/>
  <c r="F79" i="11"/>
  <c r="C86" i="6" l="1"/>
  <c r="F38" i="6"/>
  <c r="F39" i="6" s="1"/>
  <c r="F40" i="6" s="1"/>
  <c r="F41" i="6" s="1"/>
  <c r="F42" i="6" s="1"/>
  <c r="F43" i="6" s="1"/>
  <c r="F44" i="6" s="1"/>
  <c r="F45" i="6" s="1"/>
  <c r="F46" i="6" s="1"/>
  <c r="F47" i="6" s="1"/>
  <c r="F48" i="6" s="1"/>
  <c r="F49" i="6" s="1"/>
  <c r="N3" i="8" l="1"/>
  <c r="M30" i="7" l="1"/>
  <c r="M28" i="7"/>
  <c r="M29" i="7" l="1"/>
  <c r="U30" i="7" l="1"/>
  <c r="M23" i="7" l="1"/>
  <c r="M22" i="7" l="1"/>
  <c r="M18" i="7" l="1"/>
  <c r="Q16" i="7"/>
  <c r="P17" i="7"/>
  <c r="M17" i="7"/>
  <c r="M16" i="7" l="1"/>
  <c r="M15" i="7"/>
  <c r="M14" i="7"/>
  <c r="M13" i="7"/>
  <c r="M12" i="7"/>
  <c r="U12" i="7"/>
  <c r="M10" i="7" l="1"/>
  <c r="L5" i="7" l="1"/>
  <c r="P5" i="7" s="1"/>
  <c r="Q5" i="7" s="1"/>
  <c r="I5" i="7"/>
  <c r="K74" i="8"/>
  <c r="C74" i="8"/>
  <c r="N4" i="8"/>
  <c r="N5" i="8" s="1"/>
  <c r="N6" i="8" s="1"/>
  <c r="N7" i="8" s="1"/>
  <c r="N8" i="8" s="1"/>
  <c r="N9" i="8" s="1"/>
  <c r="N10" i="8" s="1"/>
  <c r="N11" i="8" s="1"/>
  <c r="N12" i="8" s="1"/>
  <c r="N13" i="8" s="1"/>
  <c r="N14" i="8" s="1"/>
  <c r="N15" i="8" s="1"/>
  <c r="N16" i="8" s="1"/>
  <c r="N17" i="8" s="1"/>
  <c r="N18" i="8" s="1"/>
  <c r="N19" i="8" s="1"/>
  <c r="N20" i="8" s="1"/>
  <c r="N21" i="8" s="1"/>
  <c r="N22" i="8" s="1"/>
  <c r="N23" i="8" s="1"/>
  <c r="N24" i="8" s="1"/>
  <c r="N25" i="8" s="1"/>
  <c r="N26" i="8" s="1"/>
  <c r="N27" i="8" s="1"/>
  <c r="N28" i="8" s="1"/>
  <c r="N29" i="8" s="1"/>
  <c r="N30" i="8" s="1"/>
  <c r="N31" i="8" s="1"/>
  <c r="N32" i="8" s="1"/>
  <c r="N33" i="8" s="1"/>
  <c r="N34" i="8" s="1"/>
  <c r="N35" i="8" s="1"/>
  <c r="N36" i="8" s="1"/>
  <c r="N37" i="8" s="1"/>
  <c r="N38" i="8" s="1"/>
  <c r="F3" i="8"/>
  <c r="F4" i="8" s="1"/>
  <c r="F5" i="8" s="1"/>
  <c r="F6" i="8" s="1"/>
  <c r="F7" i="8" s="1"/>
  <c r="F8" i="8" s="1"/>
  <c r="F9" i="8" s="1"/>
  <c r="F10" i="8" s="1"/>
  <c r="F11" i="8" s="1"/>
  <c r="F12" i="8" s="1"/>
  <c r="F13" i="8" s="1"/>
  <c r="F14" i="8" s="1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K56" i="7"/>
  <c r="I50" i="7"/>
  <c r="N36" i="7"/>
  <c r="Q35" i="7"/>
  <c r="Q34" i="7"/>
  <c r="Q33" i="7"/>
  <c r="P32" i="7"/>
  <c r="Q32" i="7" s="1"/>
  <c r="P31" i="7"/>
  <c r="Q31" i="7" s="1"/>
  <c r="P30" i="7"/>
  <c r="Q30" i="7" s="1"/>
  <c r="P29" i="7"/>
  <c r="Q29" i="7" s="1"/>
  <c r="M36" i="7"/>
  <c r="F50" i="7"/>
  <c r="P28" i="7"/>
  <c r="Q28" i="7" s="1"/>
  <c r="P27" i="7"/>
  <c r="Q27" i="7" s="1"/>
  <c r="P26" i="7"/>
  <c r="Q26" i="7" s="1"/>
  <c r="P25" i="7"/>
  <c r="Q25" i="7" s="1"/>
  <c r="P24" i="7"/>
  <c r="Q24" i="7" s="1"/>
  <c r="P23" i="7"/>
  <c r="Q23" i="7" s="1"/>
  <c r="C50" i="7"/>
  <c r="F53" i="7" s="1"/>
  <c r="P21" i="7"/>
  <c r="Q21" i="7" s="1"/>
  <c r="P20" i="7"/>
  <c r="Q20" i="7" s="1"/>
  <c r="W19" i="7"/>
  <c r="P19" i="7"/>
  <c r="Q19" i="7" s="1"/>
  <c r="P18" i="7"/>
  <c r="Q18" i="7" s="1"/>
  <c r="Q17" i="7"/>
  <c r="P16" i="7"/>
  <c r="P15" i="7"/>
  <c r="Q15" i="7" s="1"/>
  <c r="P14" i="7"/>
  <c r="Q14" i="7" s="1"/>
  <c r="P13" i="7"/>
  <c r="Q13" i="7" s="1"/>
  <c r="P12" i="7"/>
  <c r="Q12" i="7" s="1"/>
  <c r="P11" i="7"/>
  <c r="Q11" i="7" s="1"/>
  <c r="P10" i="7"/>
  <c r="Q10" i="7" s="1"/>
  <c r="P9" i="7"/>
  <c r="Q9" i="7" s="1"/>
  <c r="P8" i="7"/>
  <c r="Q8" i="7" s="1"/>
  <c r="P7" i="7"/>
  <c r="Q7" i="7" s="1"/>
  <c r="P6" i="7"/>
  <c r="Q6" i="7" s="1"/>
  <c r="N39" i="8" l="1"/>
  <c r="N40" i="8" s="1"/>
  <c r="N41" i="8" s="1"/>
  <c r="N42" i="8" s="1"/>
  <c r="N43" i="8" s="1"/>
  <c r="N44" i="8" s="1"/>
  <c r="N45" i="8" s="1"/>
  <c r="N46" i="8" s="1"/>
  <c r="N47" i="8" s="1"/>
  <c r="N48" i="8" s="1"/>
  <c r="N49" i="8" s="1"/>
  <c r="N50" i="8" s="1"/>
  <c r="N51" i="8" s="1"/>
  <c r="N52" i="8" s="1"/>
  <c r="N53" i="8" s="1"/>
  <c r="N54" i="8" s="1"/>
  <c r="N55" i="8" s="1"/>
  <c r="N56" i="8" s="1"/>
  <c r="N57" i="8" s="1"/>
  <c r="N58" i="8" s="1"/>
  <c r="N59" i="8" s="1"/>
  <c r="N60" i="8" s="1"/>
  <c r="N61" i="8" s="1"/>
  <c r="N62" i="8" s="1"/>
  <c r="N63" i="8" s="1"/>
  <c r="N64" i="8" s="1"/>
  <c r="N65" i="8" s="1"/>
  <c r="N66" i="8" s="1"/>
  <c r="N67" i="8" s="1"/>
  <c r="N68" i="8" s="1"/>
  <c r="N69" i="8" s="1"/>
  <c r="N70" i="8" s="1"/>
  <c r="N71" i="8" s="1"/>
  <c r="N72" i="8" s="1"/>
  <c r="N73" i="8" s="1"/>
  <c r="F37" i="8"/>
  <c r="F38" i="8" s="1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F52" i="8" s="1"/>
  <c r="F53" i="8" s="1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F68" i="8" s="1"/>
  <c r="F69" i="8" s="1"/>
  <c r="F70" i="8" s="1"/>
  <c r="F71" i="8" s="1"/>
  <c r="F72" i="8" s="1"/>
  <c r="F73" i="8" s="1"/>
  <c r="F74" i="8" s="1"/>
  <c r="L50" i="7"/>
  <c r="K52" i="7" s="1"/>
  <c r="F56" i="7" s="1"/>
  <c r="K54" i="7" s="1"/>
  <c r="K58" i="7" s="1"/>
  <c r="P22" i="7"/>
  <c r="Q22" i="7" s="1"/>
  <c r="Q36" i="7" s="1"/>
  <c r="P39" i="7" l="1"/>
  <c r="N36" i="4" l="1"/>
  <c r="P5" i="4"/>
  <c r="W19" i="4" l="1"/>
  <c r="M31" i="4" l="1"/>
  <c r="M30" i="4" l="1"/>
  <c r="M29" i="4"/>
  <c r="L17" i="4"/>
  <c r="M36" i="4" l="1"/>
  <c r="F29" i="4"/>
  <c r="F50" i="4" s="1"/>
  <c r="C23" i="4" l="1"/>
  <c r="C22" i="4"/>
  <c r="R17" i="4" l="1"/>
  <c r="R13" i="4" l="1"/>
  <c r="R12" i="4"/>
  <c r="R11" i="4"/>
  <c r="R10" i="4"/>
  <c r="R9" i="4"/>
  <c r="R8" i="4"/>
  <c r="R7" i="4"/>
  <c r="R6" i="4"/>
  <c r="R5" i="4"/>
  <c r="Q33" i="4" l="1"/>
  <c r="Q34" i="4"/>
  <c r="Q35" i="4"/>
  <c r="P6" i="4" l="1"/>
  <c r="Q6" i="4" s="1"/>
  <c r="K86" i="6" l="1"/>
  <c r="N3" i="6"/>
  <c r="N4" i="6" s="1"/>
  <c r="N5" i="6" s="1"/>
  <c r="N6" i="6" s="1"/>
  <c r="N7" i="6" s="1"/>
  <c r="N8" i="6" s="1"/>
  <c r="N9" i="6" s="1"/>
  <c r="N10" i="6" s="1"/>
  <c r="N11" i="6" s="1"/>
  <c r="N12" i="6" s="1"/>
  <c r="N13" i="6" s="1"/>
  <c r="N14" i="6" s="1"/>
  <c r="N15" i="6" s="1"/>
  <c r="N16" i="6" s="1"/>
  <c r="N17" i="6" s="1"/>
  <c r="N18" i="6" s="1"/>
  <c r="N19" i="6" s="1"/>
  <c r="N20" i="6" s="1"/>
  <c r="N21" i="6" s="1"/>
  <c r="N22" i="6" s="1"/>
  <c r="N23" i="6" s="1"/>
  <c r="N24" i="6" s="1"/>
  <c r="N25" i="6" s="1"/>
  <c r="N26" i="6" s="1"/>
  <c r="N27" i="6" s="1"/>
  <c r="N28" i="6" s="1"/>
  <c r="N29" i="6" s="1"/>
  <c r="N30" i="6" s="1"/>
  <c r="N31" i="6" s="1"/>
  <c r="N32" i="6" s="1"/>
  <c r="N33" i="6" s="1"/>
  <c r="N34" i="6" s="1"/>
  <c r="N35" i="6" s="1"/>
  <c r="N36" i="6" s="1"/>
  <c r="N37" i="6" s="1"/>
  <c r="N38" i="6" s="1"/>
  <c r="N39" i="6" s="1"/>
  <c r="N40" i="6" s="1"/>
  <c r="N41" i="6" s="1"/>
  <c r="N42" i="6" s="1"/>
  <c r="N43" i="6" s="1"/>
  <c r="N44" i="6" s="1"/>
  <c r="N45" i="6" s="1"/>
  <c r="N46" i="6" s="1"/>
  <c r="N47" i="6" s="1"/>
  <c r="N48" i="6" s="1"/>
  <c r="N49" i="6" s="1"/>
  <c r="F3" i="6"/>
  <c r="F4" i="6" s="1"/>
  <c r="K56" i="4"/>
  <c r="L50" i="4"/>
  <c r="I50" i="4"/>
  <c r="P32" i="4"/>
  <c r="Q32" i="4" s="1"/>
  <c r="P31" i="4"/>
  <c r="Q31" i="4" s="1"/>
  <c r="P30" i="4"/>
  <c r="Q30" i="4" s="1"/>
  <c r="P29" i="4"/>
  <c r="Q29" i="4" s="1"/>
  <c r="P28" i="4"/>
  <c r="Q28" i="4" s="1"/>
  <c r="P27" i="4"/>
  <c r="Q27" i="4" s="1"/>
  <c r="P26" i="4"/>
  <c r="Q26" i="4" s="1"/>
  <c r="P25" i="4"/>
  <c r="Q25" i="4" s="1"/>
  <c r="P24" i="4"/>
  <c r="Q24" i="4" s="1"/>
  <c r="P23" i="4"/>
  <c r="Q23" i="4" s="1"/>
  <c r="P22" i="4"/>
  <c r="Q22" i="4" s="1"/>
  <c r="P21" i="4"/>
  <c r="Q21" i="4" s="1"/>
  <c r="P20" i="4"/>
  <c r="Q20" i="4" s="1"/>
  <c r="P19" i="4"/>
  <c r="Q19" i="4" s="1"/>
  <c r="P18" i="4"/>
  <c r="Q18" i="4" s="1"/>
  <c r="P17" i="4"/>
  <c r="Q17" i="4" s="1"/>
  <c r="P16" i="4"/>
  <c r="Q16" i="4" s="1"/>
  <c r="P15" i="4"/>
  <c r="Q15" i="4" s="1"/>
  <c r="P14" i="4"/>
  <c r="Q14" i="4" s="1"/>
  <c r="P13" i="4"/>
  <c r="Q13" i="4" s="1"/>
  <c r="P12" i="4"/>
  <c r="Q12" i="4" s="1"/>
  <c r="C50" i="4"/>
  <c r="P10" i="4"/>
  <c r="Q10" i="4" s="1"/>
  <c r="P8" i="4"/>
  <c r="Q8" i="4" s="1"/>
  <c r="P7" i="4"/>
  <c r="Q7" i="4" s="1"/>
  <c r="Q5" i="4"/>
  <c r="N50" i="6" l="1"/>
  <c r="N51" i="6" s="1"/>
  <c r="N52" i="6" s="1"/>
  <c r="N53" i="6" s="1"/>
  <c r="N54" i="6" s="1"/>
  <c r="N55" i="6" s="1"/>
  <c r="N56" i="6" s="1"/>
  <c r="N57" i="6" s="1"/>
  <c r="N58" i="6" s="1"/>
  <c r="N59" i="6" s="1"/>
  <c r="N60" i="6" s="1"/>
  <c r="N61" i="6" s="1"/>
  <c r="N62" i="6" s="1"/>
  <c r="N63" i="6" s="1"/>
  <c r="N64" i="6" s="1"/>
  <c r="N65" i="6" s="1"/>
  <c r="N66" i="6" s="1"/>
  <c r="N67" i="6" s="1"/>
  <c r="N68" i="6" s="1"/>
  <c r="N69" i="6" s="1"/>
  <c r="N70" i="6" s="1"/>
  <c r="N71" i="6" s="1"/>
  <c r="N72" i="6" s="1"/>
  <c r="N73" i="6" s="1"/>
  <c r="N74" i="6" s="1"/>
  <c r="N75" i="6" s="1"/>
  <c r="N76" i="6" s="1"/>
  <c r="N77" i="6" s="1"/>
  <c r="N78" i="6" s="1"/>
  <c r="N79" i="6" s="1"/>
  <c r="N80" i="6" s="1"/>
  <c r="N81" i="6" s="1"/>
  <c r="N82" i="6" s="1"/>
  <c r="N83" i="6" s="1"/>
  <c r="N84" i="6" s="1"/>
  <c r="N85" i="6" s="1"/>
  <c r="N86" i="6" s="1"/>
  <c r="F5" i="6"/>
  <c r="F6" i="6" s="1"/>
  <c r="F7" i="6" s="1"/>
  <c r="F8" i="6" s="1"/>
  <c r="F9" i="6" s="1"/>
  <c r="F10" i="6" s="1"/>
  <c r="F11" i="6" s="1"/>
  <c r="F12" i="6" s="1"/>
  <c r="F13" i="6" s="1"/>
  <c r="F14" i="6" s="1"/>
  <c r="F15" i="6" s="1"/>
  <c r="F16" i="6" s="1"/>
  <c r="F17" i="6" s="1"/>
  <c r="F18" i="6" s="1"/>
  <c r="F19" i="6" s="1"/>
  <c r="F20" i="6" s="1"/>
  <c r="F21" i="6" s="1"/>
  <c r="F22" i="6" s="1"/>
  <c r="F23" i="6" s="1"/>
  <c r="F24" i="6" s="1"/>
  <c r="F25" i="6" s="1"/>
  <c r="F26" i="6" s="1"/>
  <c r="F27" i="6" s="1"/>
  <c r="F28" i="6" s="1"/>
  <c r="F29" i="6" s="1"/>
  <c r="F30" i="6" s="1"/>
  <c r="F31" i="6" s="1"/>
  <c r="F32" i="6" s="1"/>
  <c r="F33" i="6" s="1"/>
  <c r="F34" i="6" s="1"/>
  <c r="F35" i="6" s="1"/>
  <c r="F36" i="6" s="1"/>
  <c r="F37" i="6" s="1"/>
  <c r="K52" i="4"/>
  <c r="F53" i="4" s="1"/>
  <c r="F56" i="4" s="1"/>
  <c r="K54" i="4" s="1"/>
  <c r="K58" i="4" s="1"/>
  <c r="P9" i="4"/>
  <c r="Q9" i="4" s="1"/>
  <c r="P11" i="4"/>
  <c r="F50" i="6" l="1"/>
  <c r="F51" i="6" s="1"/>
  <c r="F52" i="6" s="1"/>
  <c r="F53" i="6" s="1"/>
  <c r="F54" i="6" s="1"/>
  <c r="F55" i="6" s="1"/>
  <c r="F56" i="6" s="1"/>
  <c r="F57" i="6" s="1"/>
  <c r="F58" i="6" s="1"/>
  <c r="F59" i="6" s="1"/>
  <c r="F60" i="6" s="1"/>
  <c r="F61" i="6" s="1"/>
  <c r="F62" i="6" s="1"/>
  <c r="F63" i="6" s="1"/>
  <c r="F64" i="6" s="1"/>
  <c r="F65" i="6" s="1"/>
  <c r="F66" i="6" s="1"/>
  <c r="F67" i="6" s="1"/>
  <c r="F68" i="6" s="1"/>
  <c r="F69" i="6" s="1"/>
  <c r="F70" i="6" s="1"/>
  <c r="F71" i="6" s="1"/>
  <c r="F72" i="6" s="1"/>
  <c r="F73" i="6" s="1"/>
  <c r="F74" i="6" s="1"/>
  <c r="F75" i="6" s="1"/>
  <c r="F76" i="6" s="1"/>
  <c r="F77" i="6" s="1"/>
  <c r="F78" i="6" s="1"/>
  <c r="F79" i="6" s="1"/>
  <c r="F80" i="6" s="1"/>
  <c r="F81" i="6" s="1"/>
  <c r="F82" i="6" s="1"/>
  <c r="F83" i="6" s="1"/>
  <c r="F84" i="6" s="1"/>
  <c r="F85" i="6" s="1"/>
  <c r="F86" i="6" s="1"/>
  <c r="Q11" i="4"/>
  <c r="Q36" i="4" s="1"/>
  <c r="P39" i="4"/>
  <c r="I50" i="1" l="1"/>
  <c r="F50" i="1"/>
  <c r="K98" i="2"/>
  <c r="M98" i="2" l="1"/>
  <c r="N3" i="2"/>
  <c r="N4" i="2" s="1"/>
  <c r="N5" i="2" s="1"/>
  <c r="N6" i="2" s="1"/>
  <c r="N7" i="2" s="1"/>
  <c r="N8" i="2" s="1"/>
  <c r="N9" i="2" s="1"/>
  <c r="N10" i="2" s="1"/>
  <c r="N11" i="2" s="1"/>
  <c r="N12" i="2" s="1"/>
  <c r="N13" i="2" s="1"/>
  <c r="N14" i="2" s="1"/>
  <c r="N15" i="2" s="1"/>
  <c r="N16" i="2" s="1"/>
  <c r="N17" i="2" s="1"/>
  <c r="N18" i="2" s="1"/>
  <c r="N19" i="2" s="1"/>
  <c r="N20" i="2" s="1"/>
  <c r="N21" i="2" s="1"/>
  <c r="N22" i="2" s="1"/>
  <c r="N23" i="2" s="1"/>
  <c r="N24" i="2" s="1"/>
  <c r="N25" i="2" s="1"/>
  <c r="N26" i="2" s="1"/>
  <c r="N27" i="2" s="1"/>
  <c r="N28" i="2" s="1"/>
  <c r="N29" i="2" s="1"/>
  <c r="N30" i="2" s="1"/>
  <c r="N31" i="2" s="1"/>
  <c r="N32" i="2" s="1"/>
  <c r="N33" i="2" s="1"/>
  <c r="N34" i="2" s="1"/>
  <c r="N35" i="2" s="1"/>
  <c r="N36" i="2" s="1"/>
  <c r="N37" i="2" s="1"/>
  <c r="N38" i="2" s="1"/>
  <c r="N39" i="2" s="1"/>
  <c r="N40" i="2" s="1"/>
  <c r="N41" i="2" s="1"/>
  <c r="N42" i="2" s="1"/>
  <c r="N43" i="2" s="1"/>
  <c r="N44" i="2" s="1"/>
  <c r="N45" i="2" s="1"/>
  <c r="N46" i="2" s="1"/>
  <c r="N47" i="2" s="1"/>
  <c r="N48" i="2" s="1"/>
  <c r="N49" i="2" s="1"/>
  <c r="N50" i="2" s="1"/>
  <c r="N51" i="2" s="1"/>
  <c r="N52" i="2" s="1"/>
  <c r="N53" i="2" s="1"/>
  <c r="N54" i="2" s="1"/>
  <c r="N55" i="2" s="1"/>
  <c r="N56" i="2" s="1"/>
  <c r="N57" i="2" s="1"/>
  <c r="N58" i="2" s="1"/>
  <c r="N59" i="2" s="1"/>
  <c r="N60" i="2" s="1"/>
  <c r="N61" i="2" s="1"/>
  <c r="N62" i="2" s="1"/>
  <c r="N63" i="2" s="1"/>
  <c r="N64" i="2" s="1"/>
  <c r="N65" i="2" s="1"/>
  <c r="N66" i="2" s="1"/>
  <c r="N67" i="2" s="1"/>
  <c r="N68" i="2" s="1"/>
  <c r="N69" i="2" s="1"/>
  <c r="N70" i="2" s="1"/>
  <c r="N71" i="2" s="1"/>
  <c r="N72" i="2" s="1"/>
  <c r="N73" i="2" s="1"/>
  <c r="N74" i="2" s="1"/>
  <c r="N75" i="2" s="1"/>
  <c r="N76" i="2" s="1"/>
  <c r="N77" i="2" s="1"/>
  <c r="N78" i="2" s="1"/>
  <c r="N79" i="2" s="1"/>
  <c r="N80" i="2" s="1"/>
  <c r="N81" i="2" s="1"/>
  <c r="N82" i="2" s="1"/>
  <c r="N83" i="2" s="1"/>
  <c r="N84" i="2" s="1"/>
  <c r="N85" i="2" s="1"/>
  <c r="N86" i="2" s="1"/>
  <c r="N87" i="2" s="1"/>
  <c r="N88" i="2" s="1"/>
  <c r="N89" i="2" s="1"/>
  <c r="N90" i="2" s="1"/>
  <c r="N91" i="2" s="1"/>
  <c r="N92" i="2" s="1"/>
  <c r="N93" i="2" s="1"/>
  <c r="N94" i="2" s="1"/>
  <c r="N95" i="2" s="1"/>
  <c r="N96" i="2" s="1"/>
  <c r="N97" i="2" s="1"/>
  <c r="N98" i="2" s="1"/>
  <c r="C23" i="1" l="1"/>
  <c r="M9" i="1"/>
  <c r="C21" i="1" l="1"/>
  <c r="C20" i="1"/>
  <c r="C19" i="1" l="1"/>
  <c r="M18" i="1"/>
  <c r="M13" i="1" l="1"/>
  <c r="P13" i="1" s="1"/>
  <c r="C11" i="1"/>
  <c r="C12" i="1"/>
  <c r="P12" i="1" s="1"/>
  <c r="P10" i="1"/>
  <c r="P14" i="1"/>
  <c r="C50" i="1" l="1"/>
  <c r="P11" i="1"/>
  <c r="E98" i="2"/>
  <c r="C98" i="2"/>
  <c r="F3" i="2"/>
  <c r="F4" i="2" s="1"/>
  <c r="K56" i="1"/>
  <c r="L50" i="1"/>
  <c r="N39" i="1"/>
  <c r="Q38" i="1"/>
  <c r="Q37" i="1"/>
  <c r="Q36" i="1"/>
  <c r="Q35" i="1"/>
  <c r="Q34" i="1"/>
  <c r="Q33" i="1"/>
  <c r="P32" i="1"/>
  <c r="Q32" i="1" s="1"/>
  <c r="P31" i="1"/>
  <c r="Q31" i="1" s="1"/>
  <c r="P30" i="1"/>
  <c r="Q30" i="1" s="1"/>
  <c r="P29" i="1"/>
  <c r="Q29" i="1" s="1"/>
  <c r="P28" i="1"/>
  <c r="Q28" i="1" s="1"/>
  <c r="P27" i="1"/>
  <c r="Q27" i="1" s="1"/>
  <c r="P26" i="1"/>
  <c r="Q26" i="1" s="1"/>
  <c r="P25" i="1"/>
  <c r="Q25" i="1" s="1"/>
  <c r="P24" i="1"/>
  <c r="Q24" i="1" s="1"/>
  <c r="P23" i="1"/>
  <c r="Q23" i="1" s="1"/>
  <c r="P22" i="1"/>
  <c r="Q22" i="1" s="1"/>
  <c r="P21" i="1"/>
  <c r="Q21" i="1" s="1"/>
  <c r="P20" i="1"/>
  <c r="Q20" i="1" s="1"/>
  <c r="P19" i="1"/>
  <c r="Q19" i="1" s="1"/>
  <c r="P18" i="1"/>
  <c r="Q18" i="1" s="1"/>
  <c r="P17" i="1"/>
  <c r="Q17" i="1" s="1"/>
  <c r="P16" i="1"/>
  <c r="Q16" i="1" s="1"/>
  <c r="P15" i="1"/>
  <c r="Q15" i="1" s="1"/>
  <c r="Q14" i="1"/>
  <c r="Q13" i="1"/>
  <c r="Q12" i="1"/>
  <c r="Q11" i="1"/>
  <c r="Q10" i="1"/>
  <c r="P9" i="1"/>
  <c r="P8" i="1"/>
  <c r="Q8" i="1" s="1"/>
  <c r="P7" i="1"/>
  <c r="Q7" i="1" s="1"/>
  <c r="P6" i="1"/>
  <c r="Q6" i="1" s="1"/>
  <c r="P5" i="1"/>
  <c r="F5" i="2" l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K52" i="1"/>
  <c r="F53" i="1" s="1"/>
  <c r="F56" i="1" s="1"/>
  <c r="K54" i="1" s="1"/>
  <c r="K58" i="1" s="1"/>
  <c r="P39" i="1"/>
  <c r="Q5" i="1"/>
  <c r="Q39" i="1" s="1"/>
  <c r="M39" i="1"/>
  <c r="M52" i="1" s="1"/>
</calcChain>
</file>

<file path=xl/comments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2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3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<sst xmlns="http://schemas.openxmlformats.org/spreadsheetml/2006/main" count="2588" uniqueCount="1384">
  <si>
    <t>COMPRAS</t>
  </si>
  <si>
    <t>INVENTARIO INICIAL</t>
  </si>
  <si>
    <t xml:space="preserve">VENTAS  </t>
  </si>
  <si>
    <t>GASTOS</t>
  </si>
  <si>
    <t>DEPOSITOS</t>
  </si>
  <si>
    <t>TARJETA</t>
  </si>
  <si>
    <t xml:space="preserve">CUADRE CON VENTA </t>
  </si>
  <si>
    <t xml:space="preserve"> </t>
  </si>
  <si>
    <t>TOTAL</t>
  </si>
  <si>
    <t>TOTAL 1</t>
  </si>
  <si>
    <t>TOTAL  2</t>
  </si>
  <si>
    <t>GRAN TOTAL GASTOS</t>
  </si>
  <si>
    <t>VENTAS NETAS</t>
  </si>
  <si>
    <t>SUB TOTAL</t>
  </si>
  <si>
    <t>Sub Total 1</t>
  </si>
  <si>
    <t>INVENTARIO  INICIAL</t>
  </si>
  <si>
    <t>MAS</t>
  </si>
  <si>
    <t>CREDITOS</t>
  </si>
  <si>
    <t>INVENTARIO FINAL</t>
  </si>
  <si>
    <t>FECHA</t>
  </si>
  <si>
    <t>#</t>
  </si>
  <si>
    <t>IMPORTE</t>
  </si>
  <si>
    <t xml:space="preserve">Fecha </t>
  </si>
  <si>
    <t>PAGOS</t>
  </si>
  <si>
    <t>.</t>
  </si>
  <si>
    <t>BALANCE      ABASTO 4 CARNES    Z A V A L E T A      OCTUBRE            2 0 2 1</t>
  </si>
  <si>
    <t>ROSA BERMUDEZ</t>
  </si>
  <si>
    <t>ZAVALETA</t>
  </si>
  <si>
    <t>No depositado</t>
  </si>
  <si>
    <t>prueba</t>
  </si>
  <si>
    <t>DESTAJO</t>
  </si>
  <si>
    <t>Bnte Odelpa</t>
  </si>
  <si>
    <t>VINAGRE-CEBOLLA-CHILE-HIERVAS</t>
  </si>
  <si>
    <t>NOMINA</t>
  </si>
  <si>
    <t>sobrante</t>
  </si>
  <si>
    <t>ALITAS</t>
  </si>
  <si>
    <t>BOTARGAS</t>
  </si>
  <si>
    <t>RES---LONGANIZA</t>
  </si>
  <si>
    <t>RES   --CEBOLLA-AXIOTE-LECHUGA</t>
  </si>
  <si>
    <t>SObrante</t>
  </si>
  <si>
    <t>HUESO-CREMA-LONGANIZA</t>
  </si>
  <si>
    <t>SERRANO--LACTEOS</t>
  </si>
  <si>
    <t>QUESOS-JAMONES-SALCHICHONERIA</t>
  </si>
  <si>
    <t xml:space="preserve">QUESOS   </t>
  </si>
  <si>
    <t>LACTEOS</t>
  </si>
  <si>
    <t>RES-LONGANIZAS--ENCHILADA-CARNES FRIAS</t>
  </si>
  <si>
    <t>TranSp JULIO</t>
  </si>
  <si>
    <t>RES--ENCHILADA</t>
  </si>
  <si>
    <t>RES-SALCHICHONERIA--LACTEOS</t>
  </si>
  <si>
    <t>RES</t>
  </si>
  <si>
    <t>ENCHILADA-LACTEOS</t>
  </si>
  <si>
    <t>NOMINA # 45</t>
  </si>
  <si>
    <t>U</t>
  </si>
  <si>
    <t>23694 B</t>
  </si>
  <si>
    <t>23813 B</t>
  </si>
  <si>
    <t>23810 B</t>
  </si>
  <si>
    <t>23814 B</t>
  </si>
  <si>
    <t>23815 B</t>
  </si>
  <si>
    <t>23863 B</t>
  </si>
  <si>
    <t>23904 B</t>
  </si>
  <si>
    <t>23906 B</t>
  </si>
  <si>
    <t>23907 B</t>
  </si>
  <si>
    <t>23908 B</t>
  </si>
  <si>
    <t>DEVOLUCION</t>
  </si>
  <si>
    <t>23914 B</t>
  </si>
  <si>
    <t>23929 B</t>
  </si>
  <si>
    <t>23963 B</t>
  </si>
  <si>
    <t>24044 B</t>
  </si>
  <si>
    <t>24080 B</t>
  </si>
  <si>
    <t>24218 B</t>
  </si>
  <si>
    <t>24301 B</t>
  </si>
  <si>
    <t>24376 B</t>
  </si>
  <si>
    <t>24529 B</t>
  </si>
  <si>
    <t>24594 B</t>
  </si>
  <si>
    <t>24658 B</t>
  </si>
  <si>
    <t>24683 B</t>
  </si>
  <si>
    <t>24695 B</t>
  </si>
  <si>
    <t>24760 B</t>
  </si>
  <si>
    <t>24810 B</t>
  </si>
  <si>
    <t>24943 B</t>
  </si>
  <si>
    <t>24949 B</t>
  </si>
  <si>
    <t>58 C</t>
  </si>
  <si>
    <t>275 C</t>
  </si>
  <si>
    <t>339 C</t>
  </si>
  <si>
    <t>505 C</t>
  </si>
  <si>
    <t>646 C</t>
  </si>
  <si>
    <t>726 C</t>
  </si>
  <si>
    <t>802 C</t>
  </si>
  <si>
    <t>847 C</t>
  </si>
  <si>
    <t>859 C</t>
  </si>
  <si>
    <t>REMISIONES             O B R A DO R       2 0 2 1</t>
  </si>
  <si>
    <t>REMISIONES            CENTRAL          2 0 2 1</t>
  </si>
  <si>
    <t>Devolucion Notas 32--33-40</t>
  </si>
  <si>
    <t>X</t>
  </si>
  <si>
    <t xml:space="preserve">    PROVEEDOR  CENTRAL </t>
  </si>
  <si>
    <t xml:space="preserve">PROVEEDOR ODELPA </t>
  </si>
  <si>
    <t>Devoluciones</t>
  </si>
  <si>
    <t>PERDIDA</t>
  </si>
  <si>
    <t>LONGANIZA-LACTEOS</t>
  </si>
  <si>
    <t>PEREJIL-CEBOLLA-PIMIENTO-</t>
  </si>
  <si>
    <t>JAMON-LONGANIZA-LACTEOS</t>
  </si>
  <si>
    <t>POLLO--MAIZ-PAN</t>
  </si>
  <si>
    <t>POLLO--LONGANIZA</t>
  </si>
  <si>
    <t>POLLO--LACTEOS</t>
  </si>
  <si>
    <t xml:space="preserve">                                      </t>
  </si>
  <si>
    <t>POLLO-</t>
  </si>
  <si>
    <t>tarejta cobro duplicado $ 685.00</t>
  </si>
  <si>
    <t>POLLO--ENCHILADA</t>
  </si>
  <si>
    <t>POLLO-LACTEOS-LONGANIZA</t>
  </si>
  <si>
    <t>POLLO-QUESOS NLP</t>
  </si>
  <si>
    <t>JAMONES-LONGANIZA-QUESOS-POLLO-CHISTORRA</t>
  </si>
  <si>
    <t>NOMINA # 47</t>
  </si>
  <si>
    <t>POLLO</t>
  </si>
  <si>
    <t>JAMON-CREMA-LENGUA-LACTEOS-POLLO</t>
  </si>
  <si>
    <t xml:space="preserve">POLLO-QUESOS  </t>
  </si>
  <si>
    <t>POLLO--QUESO-SALCHICHA</t>
  </si>
  <si>
    <t>POLLO-LONGANIZA</t>
  </si>
  <si>
    <t>JAMON-POLLO</t>
  </si>
  <si>
    <t>SANCHICHAS-POLLO-LONGANIZA-LENGUA</t>
  </si>
  <si>
    <t>transfer</t>
  </si>
  <si>
    <t>deposito</t>
  </si>
  <si>
    <t>POLLO--JAMON</t>
  </si>
  <si>
    <t>POLLO-QUESOS-LONGANIZA-CHICHARRON</t>
  </si>
  <si>
    <t>CHICHARRON</t>
  </si>
  <si>
    <t>DEPOSITOS HECHOS</t>
  </si>
  <si>
    <t>08/11/2021</t>
  </si>
  <si>
    <t>C-988</t>
  </si>
  <si>
    <t>C-991</t>
  </si>
  <si>
    <t>09/11/2021</t>
  </si>
  <si>
    <t>C-1152</t>
  </si>
  <si>
    <t>C-1153</t>
  </si>
  <si>
    <t>10/11/2021</t>
  </si>
  <si>
    <t>C-1277</t>
  </si>
  <si>
    <t>C-1280</t>
  </si>
  <si>
    <t>11/11/2021</t>
  </si>
  <si>
    <t>C-1345</t>
  </si>
  <si>
    <t>C-1365</t>
  </si>
  <si>
    <t>12/11/2021</t>
  </si>
  <si>
    <t>C-1447</t>
  </si>
  <si>
    <t>13/11/2021</t>
  </si>
  <si>
    <t>C-1598</t>
  </si>
  <si>
    <t>C-1675</t>
  </si>
  <si>
    <t>15/11/2021</t>
  </si>
  <si>
    <t>C-1854</t>
  </si>
  <si>
    <t>16/11/2021</t>
  </si>
  <si>
    <t>C-1938</t>
  </si>
  <si>
    <t>C-1982</t>
  </si>
  <si>
    <t>17/11/2021</t>
  </si>
  <si>
    <t>C-2000</t>
  </si>
  <si>
    <t>C-2032</t>
  </si>
  <si>
    <t>C-2067</t>
  </si>
  <si>
    <t>18/11/2021</t>
  </si>
  <si>
    <t>C-2205</t>
  </si>
  <si>
    <t>C-2225</t>
  </si>
  <si>
    <t>19/11/2021</t>
  </si>
  <si>
    <t>C-2287</t>
  </si>
  <si>
    <t>C-2313</t>
  </si>
  <si>
    <t>20/11/2021</t>
  </si>
  <si>
    <t>C-2382</t>
  </si>
  <si>
    <t>C-2488</t>
  </si>
  <si>
    <t>C-2491</t>
  </si>
  <si>
    <t>C-2495</t>
  </si>
  <si>
    <t>22/11/2021</t>
  </si>
  <si>
    <t>C-2588</t>
  </si>
  <si>
    <t>C-2668</t>
  </si>
  <si>
    <t>23/11/2021</t>
  </si>
  <si>
    <t>C-2763</t>
  </si>
  <si>
    <t>24/11/2021</t>
  </si>
  <si>
    <t>C-2835</t>
  </si>
  <si>
    <t>C-2893</t>
  </si>
  <si>
    <t>25/11/2021</t>
  </si>
  <si>
    <t>C-3000</t>
  </si>
  <si>
    <t>C-3014</t>
  </si>
  <si>
    <t>26/11/2021</t>
  </si>
  <si>
    <t>C-3101</t>
  </si>
  <si>
    <t>C-3141</t>
  </si>
  <si>
    <t>27/11/2021</t>
  </si>
  <si>
    <t>C-3213</t>
  </si>
  <si>
    <t>C-3264</t>
  </si>
  <si>
    <t>29/11/2021</t>
  </si>
  <si>
    <t>C-3355</t>
  </si>
  <si>
    <t>30/11/2021</t>
  </si>
  <si>
    <t>C-3525</t>
  </si>
  <si>
    <t>C-3544</t>
  </si>
  <si>
    <t>01/12/2021</t>
  </si>
  <si>
    <t>C-3629</t>
  </si>
  <si>
    <t>02/12/2021</t>
  </si>
  <si>
    <t>C-3681</t>
  </si>
  <si>
    <t>C-3712</t>
  </si>
  <si>
    <t>03/12/2021</t>
  </si>
  <si>
    <t>C3886</t>
  </si>
  <si>
    <t>C-3901</t>
  </si>
  <si>
    <t>C-3913</t>
  </si>
  <si>
    <t>C-3983</t>
  </si>
  <si>
    <t>ADT PRIVATE</t>
  </si>
  <si>
    <t>06/12/2021</t>
  </si>
  <si>
    <t>14/11/2021</t>
  </si>
  <si>
    <t>21/11/2021</t>
  </si>
  <si>
    <t xml:space="preserve">GANANCIA </t>
  </si>
  <si>
    <t>NOV-DIC</t>
  </si>
  <si>
    <t>comisiones ban</t>
  </si>
  <si>
    <t>TELMEX</t>
  </si>
  <si>
    <t>DESECHABLES</t>
  </si>
  <si>
    <t>POLICIA AUX</t>
  </si>
  <si>
    <t>CARNES CIEN</t>
  </si>
  <si>
    <t>T</t>
  </si>
  <si>
    <t>NOV--</t>
  </si>
  <si>
    <t xml:space="preserve">SALDO X PAGAR </t>
  </si>
  <si>
    <t>BALANCE      ABASTO 4 CARNES    Z A V A L E T A      NOVIEMBRE           2 0 2 1</t>
  </si>
  <si>
    <t>DIF X DEPOSITAR</t>
  </si>
  <si>
    <t xml:space="preserve">S A L D O </t>
  </si>
  <si>
    <t>NOTA:  FALTA REGISTRO DE OTRAS COMPRAS</t>
  </si>
  <si>
    <t>JAMON-QUESOS-SALCHICA</t>
  </si>
  <si>
    <t xml:space="preserve">Transferencia </t>
  </si>
  <si>
    <t>VAC--SUELDO</t>
  </si>
  <si>
    <t>QUESOS-VERDIRA-LONGANIZA-POLLO</t>
  </si>
  <si>
    <t>COBRO CREDITOS MES ANTERIOR</t>
  </si>
  <si>
    <t>EFECITVO X DEPOSITAR</t>
  </si>
  <si>
    <t>QUESOS-PICAÑA-JAMON-POLLO-PAVO</t>
  </si>
  <si>
    <t>SALCHICHAS-SIRLON-POLLO-QUESOS-ROAST-BEEF--LONGANIZA-PAVO</t>
  </si>
  <si>
    <t>POLLO-SALSAS-PAVOS</t>
  </si>
  <si>
    <t>POLLO-QUESOS-LOMO-CHORIZO-PAVO</t>
  </si>
  <si>
    <t>PAVOS--LONGANIZA</t>
  </si>
  <si>
    <t>PAVOS</t>
  </si>
  <si>
    <t>SALCHICHONERIA-ENCHILADA-ROAST BEFF-QUESOS</t>
  </si>
  <si>
    <t>Transferencia  ODELPA</t>
  </si>
  <si>
    <t>CHICHARRON-PULPA-SIRLON-POLLO-CHORIZO</t>
  </si>
  <si>
    <t>POLLO-QUESO--LONGANIZA-ENCHILADA</t>
  </si>
  <si>
    <t>CREMA-JAMON-POLLO-QUESOS-PIERNA-LONGANIZA-SALCHICHONERIA</t>
  </si>
  <si>
    <t xml:space="preserve">226.00 a favor de 11 sur </t>
  </si>
  <si>
    <t>LONGANIZA-POLLO-QUESOS-CHISTORRA-SALSAS</t>
  </si>
  <si>
    <t>QUESOS-PULPA-SALCHICHA</t>
  </si>
  <si>
    <t>POLLO-QUESOS-CHISTORRA</t>
  </si>
  <si>
    <t>LOMO-LONGANIZA-QUESO-QUESOS-POLLO-ENCHILADA</t>
  </si>
  <si>
    <t>SALCHICHAS-POLLO-QUESO-ENCHILADA</t>
  </si>
  <si>
    <t xml:space="preserve">LONGANIZA </t>
  </si>
  <si>
    <t>FESTIVO</t>
  </si>
  <si>
    <t>POLLO-SALCHICHONERIA</t>
  </si>
  <si>
    <t>QUESO-PICAÑA-POLLO-LENGUA</t>
  </si>
  <si>
    <t>PREMIOS  2021</t>
  </si>
  <si>
    <t>costco</t>
  </si>
  <si>
    <t>QUESO-PICAÑA-POLLO-LONGANIZA</t>
  </si>
  <si>
    <t>LONGANIZA-POLLO-SALSAS-SALCHICHONERIA</t>
  </si>
  <si>
    <t>SALSAS</t>
  </si>
  <si>
    <t>QUESOS-CHISTORRA-POLLO</t>
  </si>
  <si>
    <t>NOMINA # 01</t>
  </si>
  <si>
    <t>Transfer</t>
  </si>
  <si>
    <t>07/12/2021</t>
  </si>
  <si>
    <t>08/12/2021</t>
  </si>
  <si>
    <t>09/12/2021</t>
  </si>
  <si>
    <t>10/12/2021</t>
  </si>
  <si>
    <t>11/12/2021</t>
  </si>
  <si>
    <t>13/12/2021</t>
  </si>
  <si>
    <t>14/12/2021</t>
  </si>
  <si>
    <t>15/12/2021</t>
  </si>
  <si>
    <t>16/12/2021</t>
  </si>
  <si>
    <t>17/12/2021</t>
  </si>
  <si>
    <t>18/12/2021</t>
  </si>
  <si>
    <t>20/12/2021</t>
  </si>
  <si>
    <t>21/12/2021</t>
  </si>
  <si>
    <t>22/12/2021</t>
  </si>
  <si>
    <t>23/12/2021</t>
  </si>
  <si>
    <t>28/12/2021</t>
  </si>
  <si>
    <t>29/12/2021</t>
  </si>
  <si>
    <t>31/12/2021</t>
  </si>
  <si>
    <t># REMISION</t>
  </si>
  <si>
    <t>C-4205</t>
  </si>
  <si>
    <t>C-4288</t>
  </si>
  <si>
    <t>C-4385</t>
  </si>
  <si>
    <t>C-4414</t>
  </si>
  <si>
    <t>C-4422</t>
  </si>
  <si>
    <t>C-4571</t>
  </si>
  <si>
    <t>C-4662</t>
  </si>
  <si>
    <t>C-4783</t>
  </si>
  <si>
    <t>C-4893</t>
  </si>
  <si>
    <t>12/12/2021</t>
  </si>
  <si>
    <t>C-4954</t>
  </si>
  <si>
    <t>C-5022</t>
  </si>
  <si>
    <t>C-5034</t>
  </si>
  <si>
    <t>C-5046</t>
  </si>
  <si>
    <t>C-5069</t>
  </si>
  <si>
    <t>C-5076</t>
  </si>
  <si>
    <t>C-5102</t>
  </si>
  <si>
    <t>C-5159</t>
  </si>
  <si>
    <t>C-5282</t>
  </si>
  <si>
    <t>C-5284</t>
  </si>
  <si>
    <t>C-5319</t>
  </si>
  <si>
    <t>C-5380</t>
  </si>
  <si>
    <t>C-5544</t>
  </si>
  <si>
    <t>C-5724</t>
  </si>
  <si>
    <t>C-5771</t>
  </si>
  <si>
    <t>C-5889</t>
  </si>
  <si>
    <t>C-5909</t>
  </si>
  <si>
    <t>C-6083</t>
  </si>
  <si>
    <t>C-6169</t>
  </si>
  <si>
    <t>C-6250</t>
  </si>
  <si>
    <t>C-6280</t>
  </si>
  <si>
    <t>C-6282</t>
  </si>
  <si>
    <t>C-6448</t>
  </si>
  <si>
    <t>C-6480</t>
  </si>
  <si>
    <t>24/12/2021</t>
  </si>
  <si>
    <t>C-6598</t>
  </si>
  <si>
    <t>C-6872</t>
  </si>
  <si>
    <t>C-6918</t>
  </si>
  <si>
    <t>C-6959</t>
  </si>
  <si>
    <t>C-7050</t>
  </si>
  <si>
    <t>30/12/2021</t>
  </si>
  <si>
    <t>C-7113</t>
  </si>
  <si>
    <t>C-7182</t>
  </si>
  <si>
    <t>C-7329</t>
  </si>
  <si>
    <t>/  /</t>
  </si>
  <si>
    <t>29-Oct-21-- se aplica como devoluciones</t>
  </si>
  <si>
    <t>C-3929</t>
  </si>
  <si>
    <t>C-3948</t>
  </si>
  <si>
    <t>DEBE  ZAVALETA</t>
  </si>
  <si>
    <t>CONTRA EXCEL</t>
  </si>
  <si>
    <t>BALANCE      ABASTO 4 CARNES    Z A V A L E T A      E N E R O           2 0 2 2</t>
  </si>
  <si>
    <t>REMISIONES             O B R A DO R       2 0 2 2</t>
  </si>
  <si>
    <t>REMISIONES            CENTRAL          2 0 2 2</t>
  </si>
  <si>
    <t>Longaniza-Pollo-Quesos-Jamones-Salchichoneria</t>
  </si>
  <si>
    <t>Quesos-salsas-Pollo</t>
  </si>
  <si>
    <t>RIBEYE-POLLO-SALCHICHONERIA</t>
  </si>
  <si>
    <t>RIBEYE-JAMONES-QUESO-POLLO-LONGANIZA</t>
  </si>
  <si>
    <t>CHORIZO-QUESO-POLLO</t>
  </si>
  <si>
    <t>LENGUA-CHISTORRA-POLLO-LONGANIZA</t>
  </si>
  <si>
    <t>NOMINA # 02</t>
  </si>
  <si>
    <t>QUESOS-POLLO-JAMONES</t>
  </si>
  <si>
    <t>QUESOS-LONGANIZA</t>
  </si>
  <si>
    <t>POLLO-QUESOS</t>
  </si>
  <si>
    <t>QUESOS-POLLO-SALCHICHONERIA</t>
  </si>
  <si>
    <t>POLLO-QUESOS-LONGANIZA</t>
  </si>
  <si>
    <t>NOMINA # 03</t>
  </si>
  <si>
    <t>X transfer</t>
  </si>
  <si>
    <t>JAMONES-POLLO-LONGANIZA-SALCHICHONERIA</t>
  </si>
  <si>
    <t>QUESOS-POLLO</t>
  </si>
  <si>
    <t>JAMON-POLLO-QUESO</t>
  </si>
  <si>
    <t>JAMON-QUESO-POLLO-LONGANIZA</t>
  </si>
  <si>
    <t>NOMINA 4</t>
  </si>
  <si>
    <t>QUESOS-CHISTORRA-POLLO-LONGANIZA</t>
  </si>
  <si>
    <t>MANTEQUILLA-POLLO-CREMA</t>
  </si>
  <si>
    <t>POLLO-CHISTORRA-CHORIZO-QUESOS</t>
  </si>
  <si>
    <t>LONGANIZA-POLLO-QUESOS-CHORIZO</t>
  </si>
  <si>
    <t>QUESO-SALCHICHONERIA</t>
  </si>
  <si>
    <t>CHORIZO-JAMON-QUESOS-POLLO-LONGANIZA-CREMA</t>
  </si>
  <si>
    <t>NOMINA # 4</t>
  </si>
  <si>
    <t>NOMIN A # 3</t>
  </si>
  <si>
    <t>NOMINA 3</t>
  </si>
  <si>
    <t>LONGANIZA</t>
  </si>
  <si>
    <t>03/01/2022</t>
  </si>
  <si>
    <t>01/02/2022</t>
  </si>
  <si>
    <t>04/01/2022</t>
  </si>
  <si>
    <t>05/01/2022</t>
  </si>
  <si>
    <t>06/01/2022</t>
  </si>
  <si>
    <t>07/01/2022</t>
  </si>
  <si>
    <t>08/01/2022</t>
  </si>
  <si>
    <t>10/01/2022</t>
  </si>
  <si>
    <t>11/01/2022</t>
  </si>
  <si>
    <t>12/01/2022</t>
  </si>
  <si>
    <t>13/01/2022</t>
  </si>
  <si>
    <t>14/01/2022</t>
  </si>
  <si>
    <t>15/01/2022</t>
  </si>
  <si>
    <t>17/01/2022</t>
  </si>
  <si>
    <t>18/01/2022</t>
  </si>
  <si>
    <t>19/01/2022</t>
  </si>
  <si>
    <t>20/01/2022</t>
  </si>
  <si>
    <t>21/01/2022</t>
  </si>
  <si>
    <t>22/01/2022</t>
  </si>
  <si>
    <t>24/01/2022</t>
  </si>
  <si>
    <t>25/01/2022</t>
  </si>
  <si>
    <t>26/01/2022</t>
  </si>
  <si>
    <t>27/01/2022</t>
  </si>
  <si>
    <t>28/01/2022</t>
  </si>
  <si>
    <t>29/01/2022</t>
  </si>
  <si>
    <t>31/01/2022</t>
  </si>
  <si>
    <t>C-7437</t>
  </si>
  <si>
    <t>C-7449</t>
  </si>
  <si>
    <t>C-7575</t>
  </si>
  <si>
    <t>C-7754</t>
  </si>
  <si>
    <t>C-7770</t>
  </si>
  <si>
    <t>C-7812</t>
  </si>
  <si>
    <t>C-7842</t>
  </si>
  <si>
    <t>C-7952</t>
  </si>
  <si>
    <t>C-7963</t>
  </si>
  <si>
    <t>C-8055</t>
  </si>
  <si>
    <t>C-8058</t>
  </si>
  <si>
    <t>C-8065</t>
  </si>
  <si>
    <t>C-8132</t>
  </si>
  <si>
    <t>C-8266</t>
  </si>
  <si>
    <t>C-8360</t>
  </si>
  <si>
    <t>C-8363</t>
  </si>
  <si>
    <t>C-8451</t>
  </si>
  <si>
    <t>C-8536</t>
  </si>
  <si>
    <t>C-8565</t>
  </si>
  <si>
    <t>C-8667</t>
  </si>
  <si>
    <t>C-8689</t>
  </si>
  <si>
    <t>C-8856</t>
  </si>
  <si>
    <t>C-9054</t>
  </si>
  <si>
    <t>C-9103</t>
  </si>
  <si>
    <t>C-9211</t>
  </si>
  <si>
    <t>C-9218</t>
  </si>
  <si>
    <t>C-9338</t>
  </si>
  <si>
    <t>C-9468</t>
  </si>
  <si>
    <t>C-9622</t>
  </si>
  <si>
    <t>C-9653</t>
  </si>
  <si>
    <t>C-9768</t>
  </si>
  <si>
    <t>C-9879</t>
  </si>
  <si>
    <t>C-9884</t>
  </si>
  <si>
    <t>C-9926</t>
  </si>
  <si>
    <t>C-9982</t>
  </si>
  <si>
    <t>C-10113</t>
  </si>
  <si>
    <t>C-10222</t>
  </si>
  <si>
    <t>C-10364</t>
  </si>
  <si>
    <t>CANCELADA</t>
  </si>
  <si>
    <t>todos los pagos del 28 de enero ya se entregan originales a MARIEL</t>
  </si>
  <si>
    <t xml:space="preserve">todas las orignales   pagadas el 1 de Feb-22     se entregan a MARIEL </t>
  </si>
  <si>
    <t>SALCHICHAS-QUESOS-CHORIZO-POLLO-</t>
  </si>
  <si>
    <t>CHISTORRA-QUESOS--POLLO</t>
  </si>
  <si>
    <t>Jamones-pollo-Chorizo-Picaña-Quesos-</t>
  </si>
  <si>
    <t>LONGANIZA-QUESOS-ROAS-BEFF-POLLO-</t>
  </si>
  <si>
    <t>JAMONES--SALCHICHAS</t>
  </si>
  <si>
    <t>PICAÑA-CHORIZO-QUESOS-JAMON-SALSAS</t>
  </si>
  <si>
    <t>NOMINA # 6</t>
  </si>
  <si>
    <t xml:space="preserve">NOMINA </t>
  </si>
  <si>
    <t>SEMANA # 6</t>
  </si>
  <si>
    <t>SALCHICHONERIA</t>
  </si>
  <si>
    <t>POLLO-QUESO-LONGANIZA-SALCHICHONERIA</t>
  </si>
  <si>
    <t>LONGANIZA-QUESOS-POLLO</t>
  </si>
  <si>
    <t xml:space="preserve">   </t>
  </si>
  <si>
    <t>CHORIZO-POLLO-JAMON</t>
  </si>
  <si>
    <t>QUESO-SALCHICHA-JAMON</t>
  </si>
  <si>
    <t>QUESOS --POLLO</t>
  </si>
  <si>
    <t>SEMANA # 7</t>
  </si>
  <si>
    <t>LONGANIZA-POLLO-QUESO-LENGUA</t>
  </si>
  <si>
    <t>NOMINA # 7</t>
  </si>
  <si>
    <t>LONGANIZA-QUESOS-JAMONES</t>
  </si>
  <si>
    <t>JAMONES-POLLO-PICAÑA-CREMAS-VEERDURAS</t>
  </si>
  <si>
    <t>CORTES-POLLO-SALCHICHAS- VARIOS</t>
  </si>
  <si>
    <t>LONGANIZA-QUESOS-JAMONES-POLLO</t>
  </si>
  <si>
    <t>LONGANIZA-QUESOS-POLLO-ROAS BEFF-JAMON-CHISTORRA</t>
  </si>
  <si>
    <t>NOMINA # 8</t>
  </si>
  <si>
    <t>SEMANA  #8</t>
  </si>
  <si>
    <t>JAMON-PECHIUGA-SALCHICHONERIA VARIOS</t>
  </si>
  <si>
    <t>CHORIZO-SALCHICHONERIA -POLLO-QUESOS</t>
  </si>
  <si>
    <t>QUESOS-POLLO-CHORIZO BLANCO</t>
  </si>
  <si>
    <t>LONGANIZA-JAMON-´POLLO-</t>
  </si>
  <si>
    <t>LONGANIZA-QUESOS-SALCHICHONERIA</t>
  </si>
  <si>
    <t>CHORIZO-QUESOS-POLLO</t>
  </si>
  <si>
    <t>POLLO-CHISTORRA-QUESOS</t>
  </si>
  <si>
    <t>NOMINA #9</t>
  </si>
  <si>
    <t>SEMANA # 9</t>
  </si>
  <si>
    <t>ENCHILADA</t>
  </si>
  <si>
    <t>BALANCE      ABASTO 4 CARNES    Z A V A L E T A      M A R Z O           2 0 2 2</t>
  </si>
  <si>
    <t>QUESOS-SALCHICHONERIA-JAMONES-POLLO-</t>
  </si>
  <si>
    <t>LONGANIZA-LOMO-QUESOS-POLLO</t>
  </si>
  <si>
    <t>POLLO-QUESO-ROASBEFF-CHISTORRA</t>
  </si>
  <si>
    <t>JAMON-QUESOS-POLLO-SALCHICHONERIA</t>
  </si>
  <si>
    <t>ENCHILADA-JAMON-MIXIOTES-POLLO-QUESOS</t>
  </si>
  <si>
    <t>NOMINA # 10</t>
  </si>
  <si>
    <t>POLLO-QUESO-JAMONES</t>
  </si>
  <si>
    <t>JAMONES</t>
  </si>
  <si>
    <t>CHORIZO-JAMONES-QUESOS-ROASBEEF-POLLO-PAN</t>
  </si>
  <si>
    <t>Odelpa Y zav se repuso</t>
  </si>
  <si>
    <t>se repuso</t>
  </si>
  <si>
    <t>Odelpa Y zav  se repuso 15-3-22</t>
  </si>
  <si>
    <t>LONGANIZA-POLLO-QUESOS</t>
  </si>
  <si>
    <t>JAMONES-QUESOS-POLLO</t>
  </si>
  <si>
    <t>POLLO-SALCHICHONERIA QUESOS</t>
  </si>
  <si>
    <t>EMPANADAS-EMBUTIDOS-LONGANIZA-POLLO-SALSAS</t>
  </si>
  <si>
    <t>JAMON-EMPANADAS-QUESOS</t>
  </si>
  <si>
    <t>NOMINA # 11</t>
  </si>
  <si>
    <t>NOMNA # 11</t>
  </si>
  <si>
    <t>QUESOS-LONGANIZA-ENCHILADA</t>
  </si>
  <si>
    <t>10535 C</t>
  </si>
  <si>
    <t>10643 C</t>
  </si>
  <si>
    <t>10669 C</t>
  </si>
  <si>
    <t>10688 C</t>
  </si>
  <si>
    <t>10695 C</t>
  </si>
  <si>
    <t>10808 C</t>
  </si>
  <si>
    <t>10823 C</t>
  </si>
  <si>
    <t>10911 C</t>
  </si>
  <si>
    <t>10932 C</t>
  </si>
  <si>
    <t>10927 C</t>
  </si>
  <si>
    <t>10949 C</t>
  </si>
  <si>
    <t>11037 C</t>
  </si>
  <si>
    <t>11063 C</t>
  </si>
  <si>
    <t>11091 C</t>
  </si>
  <si>
    <t>11174 C</t>
  </si>
  <si>
    <t>11222 C</t>
  </si>
  <si>
    <t>11339 C</t>
  </si>
  <si>
    <t>11478 C</t>
  </si>
  <si>
    <t>11512 C</t>
  </si>
  <si>
    <t>11628 C</t>
  </si>
  <si>
    <t>11640 C</t>
  </si>
  <si>
    <t>11657 C</t>
  </si>
  <si>
    <t>11761 C</t>
  </si>
  <si>
    <t>11823 C</t>
  </si>
  <si>
    <t>11878 C</t>
  </si>
  <si>
    <t>11987 C</t>
  </si>
  <si>
    <t>11991 C</t>
  </si>
  <si>
    <t>12004 C</t>
  </si>
  <si>
    <t>12053 C</t>
  </si>
  <si>
    <t>12161 C</t>
  </si>
  <si>
    <t>12256 C</t>
  </si>
  <si>
    <t>12293 C</t>
  </si>
  <si>
    <t>12315 C</t>
  </si>
  <si>
    <t>12389 C</t>
  </si>
  <si>
    <t>12400 C</t>
  </si>
  <si>
    <t>12471 C</t>
  </si>
  <si>
    <t>12588 C</t>
  </si>
  <si>
    <t>12682 C</t>
  </si>
  <si>
    <t>12771 C</t>
  </si>
  <si>
    <t>12795 C</t>
  </si>
  <si>
    <t>12899 C</t>
  </si>
  <si>
    <t>12977 C</t>
  </si>
  <si>
    <t>13030 C</t>
  </si>
  <si>
    <t>13138 C</t>
  </si>
  <si>
    <t>13246 C</t>
  </si>
  <si>
    <t>13425 C</t>
  </si>
  <si>
    <t>13429 C</t>
  </si>
  <si>
    <t>13460 C</t>
  </si>
  <si>
    <t>13541 C</t>
  </si>
  <si>
    <t>13652 C</t>
  </si>
  <si>
    <t>13809 C</t>
  </si>
  <si>
    <t>13913 C</t>
  </si>
  <si>
    <t>14009 C</t>
  </si>
  <si>
    <t>14039 C</t>
  </si>
  <si>
    <t>14105 C</t>
  </si>
  <si>
    <t>14255 C</t>
  </si>
  <si>
    <t>14326 C</t>
  </si>
  <si>
    <t>14455 C</t>
  </si>
  <si>
    <t>14471 C</t>
  </si>
  <si>
    <t>14550 C</t>
  </si>
  <si>
    <t>14611 C</t>
  </si>
  <si>
    <t>14681 C</t>
  </si>
  <si>
    <t>14827 C</t>
  </si>
  <si>
    <t>SALCHICHONERIA-QUESOS-JAMON-CHORIZO</t>
  </si>
  <si>
    <t>CHORIZO-POLLO-LONZANIZA-JAMON</t>
  </si>
  <si>
    <t>14899 C</t>
  </si>
  <si>
    <t>14957 C</t>
  </si>
  <si>
    <t>15025 C</t>
  </si>
  <si>
    <t>15216 C</t>
  </si>
  <si>
    <t>15218 C</t>
  </si>
  <si>
    <t>15220 C</t>
  </si>
  <si>
    <t>15338 C</t>
  </si>
  <si>
    <t>15487 C</t>
  </si>
  <si>
    <t>15585 C</t>
  </si>
  <si>
    <t>15718 C</t>
  </si>
  <si>
    <t>TOTAL DEL PAGO EL 25 FEB  $ 1,623,404.93</t>
  </si>
  <si>
    <t>02/02/2022</t>
  </si>
  <si>
    <t>03/02/2022</t>
  </si>
  <si>
    <t>04/02/2022</t>
  </si>
  <si>
    <t>05/02/2022</t>
  </si>
  <si>
    <t>07/02/2022</t>
  </si>
  <si>
    <t>08/02/2022</t>
  </si>
  <si>
    <t>09/02/2022</t>
  </si>
  <si>
    <t>10/02/2022</t>
  </si>
  <si>
    <t>11/02/2022</t>
  </si>
  <si>
    <t>12/02/2022</t>
  </si>
  <si>
    <t>13/02/2022</t>
  </si>
  <si>
    <t>14/02/2022</t>
  </si>
  <si>
    <t>15/02/2022</t>
  </si>
  <si>
    <t>16/02/2022</t>
  </si>
  <si>
    <t>17/02/2022</t>
  </si>
  <si>
    <t>18/02/2022</t>
  </si>
  <si>
    <t>19/02/2022</t>
  </si>
  <si>
    <t>21/02/2022</t>
  </si>
  <si>
    <t>23/02/2022</t>
  </si>
  <si>
    <t>24/02/2022</t>
  </si>
  <si>
    <t>25/02/2022</t>
  </si>
  <si>
    <t>26/02/2022</t>
  </si>
  <si>
    <t>RES Herrera</t>
  </si>
  <si>
    <t>ARRACHERA CARNES PREMIUM</t>
  </si>
  <si>
    <t>SALCHICHA</t>
  </si>
  <si>
    <t>Comisiones BANCO</t>
  </si>
  <si>
    <t>FEBRERO</t>
  </si>
  <si>
    <t xml:space="preserve">COMISION </t>
  </si>
  <si>
    <t xml:space="preserve">BANCARAI </t>
  </si>
  <si>
    <t>QUESOS GOUDA</t>
  </si>
  <si>
    <t>POLLO-JAMONES-QUESOS-MIXIOTES-CHISTORRA</t>
  </si>
  <si>
    <t>POLLO-PATA-CHULETA-SALCHICHONERIA-ENCHILADA</t>
  </si>
  <si>
    <t>QUESOS-JAMONES-POLLO</t>
  </si>
  <si>
    <t>SALCHICHAS JAMON ENCHILADA-POLLO</t>
  </si>
  <si>
    <t>NOMINA # 12</t>
  </si>
  <si>
    <t>SALCHICHONERIA -JAMON-QUESO</t>
  </si>
  <si>
    <t>CHORIZO-LONGANIZA-QUESO</t>
  </si>
  <si>
    <t>CHORIZO-POLLO-MIXIOTES-NUGETS-BONELES-PAPAS</t>
  </si>
  <si>
    <t>QUESOS-JA,MON-POLLO-CHISTORRA</t>
  </si>
  <si>
    <t>QUESOS-POLLO-SALCHICHONERIA-LONGANIZA</t>
  </si>
  <si>
    <t>POLLO-QUESOS-ENCHILADA</t>
  </si>
  <si>
    <t>JAMON-POLLO-QUESO-LONGANIZA</t>
  </si>
  <si>
    <t>NOMINQ # 13</t>
  </si>
  <si>
    <t>NOMINA # 13</t>
  </si>
  <si>
    <t>TOCINETA-JAMONES-CHISTORRA</t>
  </si>
  <si>
    <t xml:space="preserve">OBRADOR </t>
  </si>
  <si>
    <t xml:space="preserve">CENTRAL </t>
  </si>
  <si>
    <t>OBRADOR</t>
  </si>
  <si>
    <t>EL PAGO DEL 23 DE MARZO DE  ZAVALETA FUE POR   $  1,050,300.98</t>
  </si>
  <si>
    <t>CENTRAL</t>
  </si>
  <si>
    <t>TOTAL DE PAGO EL 23 DE MARZO $  700,085.00</t>
  </si>
  <si>
    <t>15814 C</t>
  </si>
  <si>
    <t>15860 C</t>
  </si>
  <si>
    <t>15881 C</t>
  </si>
  <si>
    <t>15984 C</t>
  </si>
  <si>
    <t>15992 C</t>
  </si>
  <si>
    <t>16132 C</t>
  </si>
  <si>
    <t>16164 C</t>
  </si>
  <si>
    <t>16238 C</t>
  </si>
  <si>
    <t>16345 C</t>
  </si>
  <si>
    <t>16459 C</t>
  </si>
  <si>
    <t>16620 C</t>
  </si>
  <si>
    <t>16747 C</t>
  </si>
  <si>
    <t>16941 C</t>
  </si>
  <si>
    <t>17025 C</t>
  </si>
  <si>
    <t>17074 C</t>
  </si>
  <si>
    <t>17134 C</t>
  </si>
  <si>
    <t>23-mar-2022</t>
  </si>
  <si>
    <t>24-mar-2022</t>
  </si>
  <si>
    <t>25-mar-2022</t>
  </si>
  <si>
    <t>26-mar-2022</t>
  </si>
  <si>
    <t>JAMON</t>
  </si>
  <si>
    <t>BALANCE      ABASTO 4 CARNES    Z A V A L E T A      A b r i l            2 0 2 2</t>
  </si>
  <si>
    <t>CHORIZO-SALCHICHONERIA</t>
  </si>
  <si>
    <t>ENCHILADA-QUESOS-RIB-BYE-COSTCO</t>
  </si>
  <si>
    <t>CARBON-POLLO</t>
  </si>
  <si>
    <t>BARBACOA-POLLO-JAMON-QUESOS-CREMA</t>
  </si>
  <si>
    <t>QUESOS-ENCHILADA-ARABE-PASTOR-POLLO</t>
  </si>
  <si>
    <t>JAMONES-POLLO</t>
  </si>
  <si>
    <t>NOMINA # 14</t>
  </si>
  <si>
    <t>CHISTORRA-LONGANIZA-MIXIOTE-QUESOS</t>
  </si>
  <si>
    <t>ROAST BEEF-CHORIZO-PAPA-QUESOS-JAMON-SALCHICHONERIA</t>
  </si>
  <si>
    <t>QUESOS-POLLO-LONGANIZA</t>
  </si>
  <si>
    <t>POLLO-JAMONES-QUESO</t>
  </si>
  <si>
    <t>ENCHILADA-POLLO-LONGANIZA-SALSAS</t>
  </si>
  <si>
    <t>QUESOS-POLLO-JAMONES-CHISTORRA-SALSAS-ROASF BEFF -ARABE-PASTOR</t>
  </si>
  <si>
    <t>NOMINA # 15</t>
  </si>
  <si>
    <t>SALCHICHONERIA-QUESOS-LONGANIZA</t>
  </si>
  <si>
    <t>LONGANIZA-JAMONES-PAPAS-SALMON-POLLO-</t>
  </si>
  <si>
    <t>POLLO-CHORIZO-QUESOS-JAMON</t>
  </si>
  <si>
    <t xml:space="preserve">QUESOS-JAMONES-QUESOS </t>
  </si>
  <si>
    <t>QUESOS-LONGANIZA-SALCHICHONERIA</t>
  </si>
  <si>
    <t>CHORIZO-LONGANIZA-QUESOS</t>
  </si>
  <si>
    <t>NOMINA # 16</t>
  </si>
  <si>
    <t>-</t>
  </si>
  <si>
    <t>CREMA-LONGANIZA-POLLO-CHISTORRA ETC</t>
  </si>
  <si>
    <t>PIÑON-NUEZ-QUESOS-POLLO-MIXIOTES-CHISTORRA</t>
  </si>
  <si>
    <t>POLLO-QUESOS-SALCHICHONERIA</t>
  </si>
  <si>
    <t>BALANCE      ABASTO 4 CARNES    Z A V A L E T A      FEBRERO           2 0 2 2</t>
  </si>
  <si>
    <t>QUESOS-ENCHILADA-LONGANIZA</t>
  </si>
  <si>
    <t>QUESO-POLLO-JAMON-ARABE</t>
  </si>
  <si>
    <t>NOMINA # 17  y vacaciones Pedro</t>
  </si>
  <si>
    <t>Nomina # 17 y vacaciones Pedro</t>
  </si>
  <si>
    <t>QUESOS-CHORIZO-LONGANIZA-TOCINETA-CHISTORRA</t>
  </si>
  <si>
    <t>POLLO-CHORIZO-CHISTORRA-SALCHICHONERIA</t>
  </si>
  <si>
    <t>POLLO-QUESOS-JAMON-</t>
  </si>
  <si>
    <t>Jamon-Pollo-Chorizo-Longaniza-Queso</t>
  </si>
  <si>
    <t xml:space="preserve">ENCHILADA-POLLO-LONGANIZA  </t>
  </si>
  <si>
    <t>Longaniza --QUESOS</t>
  </si>
  <si>
    <t>POLLO-QUESOS-CREMA</t>
  </si>
  <si>
    <t>NOMINA # 18</t>
  </si>
  <si>
    <t>QUESO  MIXIOTES--CHISTORRA</t>
  </si>
  <si>
    <t>C-17257</t>
  </si>
  <si>
    <t>C-17311</t>
  </si>
  <si>
    <t>C-17399</t>
  </si>
  <si>
    <t>C-17461</t>
  </si>
  <si>
    <t>C-17601</t>
  </si>
  <si>
    <t>C-17720</t>
  </si>
  <si>
    <t>C-17721</t>
  </si>
  <si>
    <t>C-17789</t>
  </si>
  <si>
    <t>C-17835</t>
  </si>
  <si>
    <t>C-17838</t>
  </si>
  <si>
    <t>C-17959</t>
  </si>
  <si>
    <t>C-18050</t>
  </si>
  <si>
    <t>C-18101</t>
  </si>
  <si>
    <t>09/04/2022</t>
  </si>
  <si>
    <t>C-18193</t>
  </si>
  <si>
    <t>C-18265</t>
  </si>
  <si>
    <t>11/04/2022</t>
  </si>
  <si>
    <t>C-18374</t>
  </si>
  <si>
    <t>C-18375</t>
  </si>
  <si>
    <t>12/04/2022</t>
  </si>
  <si>
    <t>C-18521</t>
  </si>
  <si>
    <t>13/04/2022</t>
  </si>
  <si>
    <t>C-18625</t>
  </si>
  <si>
    <t>14/04/2022</t>
  </si>
  <si>
    <t>C-18733</t>
  </si>
  <si>
    <t>C-18776</t>
  </si>
  <si>
    <t>16/04/2022</t>
  </si>
  <si>
    <t>C-18883</t>
  </si>
  <si>
    <t>18/04/2022</t>
  </si>
  <si>
    <t>C-19081</t>
  </si>
  <si>
    <t>19/04/2022</t>
  </si>
  <si>
    <t>C-19160</t>
  </si>
  <si>
    <t>C-19170</t>
  </si>
  <si>
    <t>C-19216</t>
  </si>
  <si>
    <t>20/04/2022</t>
  </si>
  <si>
    <t>C-19283</t>
  </si>
  <si>
    <t>C-19315</t>
  </si>
  <si>
    <t>21/04/2022</t>
  </si>
  <si>
    <t>C-19425</t>
  </si>
  <si>
    <t>22/04/2022</t>
  </si>
  <si>
    <t>C-19561</t>
  </si>
  <si>
    <t>C-19605</t>
  </si>
  <si>
    <t>23/04/2022</t>
  </si>
  <si>
    <t>C-19642</t>
  </si>
  <si>
    <t>C-19644</t>
  </si>
  <si>
    <t>C-19690</t>
  </si>
  <si>
    <t>C-19847</t>
  </si>
  <si>
    <t>C-20001</t>
  </si>
  <si>
    <t>C-20007</t>
  </si>
  <si>
    <t>C-20038</t>
  </si>
  <si>
    <t>C-20106</t>
  </si>
  <si>
    <t>C-20208</t>
  </si>
  <si>
    <t>C-20353</t>
  </si>
  <si>
    <t>C-20502</t>
  </si>
  <si>
    <t>23-Mar-22---19-Abr-22</t>
  </si>
  <si>
    <t>PAGO EL 19 DE ABRIL POR   $  1,740,651.32</t>
  </si>
  <si>
    <t>28-mar-2022</t>
  </si>
  <si>
    <t>29-mar-2022</t>
  </si>
  <si>
    <t>30-mar-2022</t>
  </si>
  <si>
    <t>31-mar-2022</t>
  </si>
  <si>
    <t>1-abr-2022</t>
  </si>
  <si>
    <t>2-abr-2022</t>
  </si>
  <si>
    <t>3-abr-2022</t>
  </si>
  <si>
    <t>4-abr-2022</t>
  </si>
  <si>
    <t>6-abr-2022</t>
  </si>
  <si>
    <t>7-abr-2022</t>
  </si>
  <si>
    <t>8-abr-2022</t>
  </si>
  <si>
    <t>9-abr-2022</t>
  </si>
  <si>
    <t>11-abr-2022</t>
  </si>
  <si>
    <t>12-abr-2022</t>
  </si>
  <si>
    <t>13-abr-2022</t>
  </si>
  <si>
    <t>14-abr-2022</t>
  </si>
  <si>
    <t>16-abr-2022</t>
  </si>
  <si>
    <t>18-abr-2022</t>
  </si>
  <si>
    <t>19-abr-2022</t>
  </si>
  <si>
    <t>20-abr-2022</t>
  </si>
  <si>
    <t>21-abr-2022</t>
  </si>
  <si>
    <t>22-abr-2022</t>
  </si>
  <si>
    <t>23-abr-2022</t>
  </si>
  <si>
    <t>25-abr-2022</t>
  </si>
  <si>
    <t>26-abr-2022</t>
  </si>
  <si>
    <t>27-abr-2022</t>
  </si>
  <si>
    <t>28-abr-2022</t>
  </si>
  <si>
    <t>29-abr-2022</t>
  </si>
  <si>
    <t>30-abr-2022</t>
  </si>
  <si>
    <t>nlp</t>
  </si>
  <si>
    <t>fecha de deposito</t>
  </si>
  <si>
    <t>VENTA</t>
  </si>
  <si>
    <t>CUENTA BBVA  NLP</t>
  </si>
  <si>
    <t xml:space="preserve">DIFERENCIA </t>
  </si>
  <si>
    <t>FICHA</t>
  </si>
  <si>
    <t>DEBE ZAVALETA</t>
  </si>
  <si>
    <t>BALANCE      ABASTO 4 CARNES    Z A V A L E T A      M A Y O           2 0 2 2</t>
  </si>
  <si>
    <t>chorizo-pollo-quesos-papas</t>
  </si>
  <si>
    <t>pollo-quesos-jamon-chorizo-lengua-pavo-roas beef</t>
  </si>
  <si>
    <t>jamon-pollo-quesos-chistorra-longaniza</t>
  </si>
  <si>
    <t>ayuntamiento</t>
  </si>
  <si>
    <t xml:space="preserve">POLLO   </t>
  </si>
  <si>
    <t>pollo--Longaniza-quesos</t>
  </si>
  <si>
    <t>jamones-Pollo-quesos</t>
  </si>
  <si>
    <t>NOMINA #  19</t>
  </si>
  <si>
    <t>NOMINA # 19</t>
  </si>
  <si>
    <t xml:space="preserve">QUESOS-SALCHICHONERIA </t>
  </si>
  <si>
    <t>SALCHICHONERIA-POLLO-CREMA-QUESOS-ROASBEEF-SALSAS</t>
  </si>
  <si>
    <t>ODELPA</t>
  </si>
  <si>
    <t>SALCHICHA-CHORIZO</t>
  </si>
  <si>
    <t>QUESOS-POLLO-LONGANIZA-JAMONES-CHORIZO</t>
  </si>
  <si>
    <t>ARABE-POLLO-QUESOS</t>
  </si>
  <si>
    <t>QUESOS--SALSAS--POLLO</t>
  </si>
  <si>
    <t>papas-pollo-quesos-longaniza-chorizo</t>
  </si>
  <si>
    <t>NOMINA # 20</t>
  </si>
  <si>
    <t>MIXIOTES-POLLO-JAMON</t>
  </si>
  <si>
    <t>QUESOS-POLLO-LONGANIZA-JAMONES-CHISTORRA ETC</t>
  </si>
  <si>
    <t>QUESOS-POLLO-JAMON</t>
  </si>
  <si>
    <t>QUESOS-POLLO-LONGANIZA-PAN ARABE</t>
  </si>
  <si>
    <t>20702 C</t>
  </si>
  <si>
    <t>20719 C</t>
  </si>
  <si>
    <t>20823 C</t>
  </si>
  <si>
    <t>20933 C</t>
  </si>
  <si>
    <t>21017 C</t>
  </si>
  <si>
    <t>21173 C</t>
  </si>
  <si>
    <t>21215 C</t>
  </si>
  <si>
    <t>21427 C</t>
  </si>
  <si>
    <t>21467 C</t>
  </si>
  <si>
    <t>21481 C</t>
  </si>
  <si>
    <t>21570 C</t>
  </si>
  <si>
    <t>21648 C</t>
  </si>
  <si>
    <t>21749 C</t>
  </si>
  <si>
    <t>21751 C</t>
  </si>
  <si>
    <t>21853 C</t>
  </si>
  <si>
    <t>21890 C</t>
  </si>
  <si>
    <t>22328 C</t>
  </si>
  <si>
    <t>22377 C</t>
  </si>
  <si>
    <t>22458 C</t>
  </si>
  <si>
    <t>22560 C</t>
  </si>
  <si>
    <t>22666C------/*22665C</t>
  </si>
  <si>
    <t>22022 C</t>
  </si>
  <si>
    <t>21866 C</t>
  </si>
  <si>
    <t>22164 C</t>
  </si>
  <si>
    <t>22854 C</t>
  </si>
  <si>
    <t>22967 C</t>
  </si>
  <si>
    <t>23299 C</t>
  </si>
  <si>
    <t>23367 C</t>
  </si>
  <si>
    <t>22666C</t>
  </si>
  <si>
    <t xml:space="preserve">REMISIONES    O B R A DO R       2 0 2 2  DEBE   ZAVALETA </t>
  </si>
  <si>
    <t>26 DE MAYO 2022</t>
  </si>
  <si>
    <t>CHORIZO-PATA-POLLO-QUESOS-LONGANIZA</t>
  </si>
  <si>
    <t>POLLO-JAMONES-QUESOS-NUGETS</t>
  </si>
  <si>
    <t>NOMINA # 21</t>
  </si>
  <si>
    <t>LONGANIZA-QUESOS-JAMON-</t>
  </si>
  <si>
    <t>ARABE-QUESO-CHORIZO-ENCHILADA</t>
  </si>
  <si>
    <t>CHORIZO-JAMON-PATA-´POLLO-QUESO</t>
  </si>
  <si>
    <t xml:space="preserve">TRANSFERENCIA </t>
  </si>
  <si>
    <t>POLLO-QUESOS-LONGANIZA-SALCHICHONERIA</t>
  </si>
  <si>
    <t>POLLO--QUESOS</t>
  </si>
  <si>
    <t>POLLO----QUESOS</t>
  </si>
  <si>
    <t>NOMINA # 22</t>
  </si>
  <si>
    <t>QUESO-CHORIZO-ENCHILADA</t>
  </si>
  <si>
    <t>23534 C</t>
  </si>
  <si>
    <t>23621 C</t>
  </si>
  <si>
    <t>23660 C</t>
  </si>
  <si>
    <t>23705 C</t>
  </si>
  <si>
    <t>23801 C</t>
  </si>
  <si>
    <t>23817 C</t>
  </si>
  <si>
    <t>BASURA</t>
  </si>
  <si>
    <t>VIDRIOS</t>
  </si>
  <si>
    <t>FLETE</t>
  </si>
  <si>
    <t>BASCULA</t>
  </si>
  <si>
    <t>EMPLAYE</t>
  </si>
  <si>
    <t>FACHADA LIMPIEZA</t>
  </si>
  <si>
    <t>FUMIGACION</t>
  </si>
  <si>
    <t>DELANTALES</t>
  </si>
  <si>
    <t>BATAS</t>
  </si>
  <si>
    <t>CHAROLAS</t>
  </si>
  <si>
    <t>CARBON</t>
  </si>
  <si>
    <t>PUBLICIDAD</t>
  </si>
  <si>
    <t>QUESO GOUDA</t>
  </si>
  <si>
    <t>ROLLOS TERMICOS</t>
  </si>
  <si>
    <t>CUSTODIA</t>
  </si>
  <si>
    <t>CHAROLA</t>
  </si>
  <si>
    <t>ADT</t>
  </si>
  <si>
    <t>CAJAS ADHERIBLES</t>
  </si>
  <si>
    <t>ARERO</t>
  </si>
  <si>
    <t>CAMARON</t>
  </si>
  <si>
    <t>VARIOS PRODUCTOS</t>
  </si>
  <si>
    <t>PUNTA CAÑA</t>
  </si>
  <si>
    <t xml:space="preserve">COMISIONES BANCARIAS </t>
  </si>
  <si>
    <t>SALCHICHA JUMBO</t>
  </si>
  <si>
    <t>BOLSAS-Charolas</t>
  </si>
  <si>
    <t>CORTES CARNES</t>
  </si>
  <si>
    <t>abril</t>
  </si>
  <si>
    <t>comisines banco</t>
  </si>
  <si>
    <t>PEERDIDA</t>
  </si>
  <si>
    <t>PUNTA DE CAÑA</t>
  </si>
  <si>
    <t>BOLSAS</t>
  </si>
  <si>
    <t>CARNES PREMIUM</t>
  </si>
  <si>
    <t>2-may-2022</t>
  </si>
  <si>
    <t>3-may-2022</t>
  </si>
  <si>
    <t>4-may-2022</t>
  </si>
  <si>
    <t>5-may-2022</t>
  </si>
  <si>
    <t>6-may-2022</t>
  </si>
  <si>
    <t>7-may-2022</t>
  </si>
  <si>
    <t>9-may-2022</t>
  </si>
  <si>
    <t>10-may-2022</t>
  </si>
  <si>
    <t>11-may-2022</t>
  </si>
  <si>
    <t>12-may-2022</t>
  </si>
  <si>
    <t>13-may-2022</t>
  </si>
  <si>
    <t>14-may-2022</t>
  </si>
  <si>
    <t>15-may-2022</t>
  </si>
  <si>
    <t>16-may-2022</t>
  </si>
  <si>
    <t>17-may-2022</t>
  </si>
  <si>
    <t>18-may-2022</t>
  </si>
  <si>
    <t>19-may-2022</t>
  </si>
  <si>
    <t>20-may-2022</t>
  </si>
  <si>
    <t>21-may-2022</t>
  </si>
  <si>
    <t>22-may-2022</t>
  </si>
  <si>
    <t>24-may-2022</t>
  </si>
  <si>
    <t>25-may-2022</t>
  </si>
  <si>
    <t>26-may-2022</t>
  </si>
  <si>
    <t>27-may-2022</t>
  </si>
  <si>
    <t>28-may-2022</t>
  </si>
  <si>
    <t xml:space="preserve">transferencia </t>
  </si>
  <si>
    <t>BALANCE      ABASTO 4 CARNES    Z A V A L E T A      J U N I O            2 0 2 2</t>
  </si>
  <si>
    <t>23947 C</t>
  </si>
  <si>
    <t>24089 C</t>
  </si>
  <si>
    <t>24095 C</t>
  </si>
  <si>
    <t>24107 C</t>
  </si>
  <si>
    <t>24205 C</t>
  </si>
  <si>
    <t>24337 C</t>
  </si>
  <si>
    <t>24461 C</t>
  </si>
  <si>
    <t>24607 C</t>
  </si>
  <si>
    <t>24746 C</t>
  </si>
  <si>
    <t>24755 C</t>
  </si>
  <si>
    <t>24860 C</t>
  </si>
  <si>
    <t>24875 C</t>
  </si>
  <si>
    <t>24903 C</t>
  </si>
  <si>
    <t>24948 C</t>
  </si>
  <si>
    <t>00139 D</t>
  </si>
  <si>
    <t>00208 D</t>
  </si>
  <si>
    <t>jamones-quesos-chistorra Roasveff</t>
  </si>
  <si>
    <t>odelpa</t>
  </si>
  <si>
    <t>quesos-Pollo-Chorizo-Jamones-Salchica</t>
  </si>
  <si>
    <t>pollo-quesos-chuleta ahumada</t>
  </si>
  <si>
    <t>quesos-pollo-pan arabe-longaniza-enchilada</t>
  </si>
  <si>
    <t>POSTRES-QUESOS-PATA-POLLO</t>
  </si>
  <si>
    <t>TOCINO-JAMON-PAN-POLLO-QUESO</t>
  </si>
  <si>
    <t>NOMINA #23</t>
  </si>
  <si>
    <t>NOMINA # 23</t>
  </si>
  <si>
    <t>QUESO-LONGANIZA-ENCHILADA-TOCINETA-PEPERONI</t>
  </si>
  <si>
    <t>POLLO-QUESOS-CHORIZO-ENCHILADA</t>
  </si>
  <si>
    <t>POLLO-PATA-QUESOS-CHISTORRA-COSTCO</t>
  </si>
  <si>
    <t>odelpa/NLP</t>
  </si>
  <si>
    <t>SALCHICHONEERIA-POLLO-JAMON-QUESOS-LONGANIZA</t>
  </si>
  <si>
    <t>NLP</t>
  </si>
  <si>
    <t>26-MAYO.,2022</t>
  </si>
  <si>
    <r>
      <t>25-May-22--</t>
    </r>
    <r>
      <rPr>
        <b/>
        <sz val="12"/>
        <color rgb="FFFF00FF"/>
        <rFont val="Calibri"/>
        <family val="2"/>
        <scheme val="minor"/>
      </rPr>
      <t>10-Jun-22</t>
    </r>
  </si>
  <si>
    <t>00308 D</t>
  </si>
  <si>
    <t>00514 D</t>
  </si>
  <si>
    <t>00635 D</t>
  </si>
  <si>
    <t>00668 D</t>
  </si>
  <si>
    <t>00748 D</t>
  </si>
  <si>
    <t>00869 D</t>
  </si>
  <si>
    <t>00967 D</t>
  </si>
  <si>
    <t>MIXIOTES-POLLO-QUESOS</t>
  </si>
  <si>
    <t>JAMON-POLLO-QUESOS-SALCHICHAS-PAVO</t>
  </si>
  <si>
    <t>NOMINA #24</t>
  </si>
  <si>
    <t>NOMINA # 24</t>
  </si>
  <si>
    <t>chorizo-longaniza-chistorra-salami-nugges</t>
  </si>
  <si>
    <t>SALCHICHONEERIA-POLLO-JAMON-QUESOS-CHISTORRA-ROAS BEFF</t>
  </si>
  <si>
    <t>QUESOS-POLLO-SALCHICHA-FILETE-CALAFIA</t>
  </si>
  <si>
    <t>POLLO-LONGANIZA-JAMON-SALCHICHA-CHISTORRA</t>
  </si>
  <si>
    <t>QUESOS-POLLO-LONGANIZA-CHORIZO</t>
  </si>
  <si>
    <t>PICAÑA-QUSOS-POLLO-CREMA-MANTEQUILLA</t>
  </si>
  <si>
    <t>POLLO-QUESOS-PAN ARABE</t>
  </si>
  <si>
    <t>NOMINA # 25</t>
  </si>
  <si>
    <t>QUESO MANTEQUILLA</t>
  </si>
  <si>
    <t>SALCHICHONERIA-POLLO-QUESOS-CHORIZO-ROASBEEF-QUESOS</t>
  </si>
  <si>
    <t>Odelpa</t>
  </si>
  <si>
    <t>QUESOS-JAMON-PECHUGA-</t>
  </si>
  <si>
    <t>POLLO-LONGANIZA-CHORIZO-ENCHILADA-SALCHICHA</t>
  </si>
  <si>
    <t>POLLO-QUESOS-PATA-CHISTORRA</t>
  </si>
  <si>
    <t>QUESOS - POLLO</t>
  </si>
  <si>
    <t>LONGANIZA-QUESOS-LOMO</t>
  </si>
  <si>
    <t>NOMINA # 26</t>
  </si>
  <si>
    <t>QUESOS-PICAÑA-RIBEYE-SALCHICHONERIA</t>
  </si>
  <si>
    <t>Chorizo-Pollo-Salchichoneria-Queso-Lomo</t>
  </si>
  <si>
    <t>POLLO-QUESOS-SALCHICHONERIA-PARA RES-ARABE</t>
  </si>
  <si>
    <t>LONGANIZA-POLLO-JAMON-QUESOS</t>
  </si>
  <si>
    <t>CHISTORRA</t>
  </si>
  <si>
    <t>POLLO-LONGANIZAS-MIXIOTE</t>
  </si>
  <si>
    <t>POLLO-QUESOS-ARABE</t>
  </si>
  <si>
    <t>NOMINA # 27</t>
  </si>
  <si>
    <t>QUESO-CHISTORRA-TOCINETA-PECHUGA</t>
  </si>
  <si>
    <t>1140 D</t>
  </si>
  <si>
    <t>1317 D</t>
  </si>
  <si>
    <t>1445 D</t>
  </si>
  <si>
    <t>1509 D</t>
  </si>
  <si>
    <t>1559 D</t>
  </si>
  <si>
    <t>1646 D</t>
  </si>
  <si>
    <t>1801 D</t>
  </si>
  <si>
    <t>1918 D</t>
  </si>
  <si>
    <t>2054 D</t>
  </si>
  <si>
    <t>2123 D</t>
  </si>
  <si>
    <t>2169 D</t>
  </si>
  <si>
    <t>2306 D</t>
  </si>
  <si>
    <t>2420 D</t>
  </si>
  <si>
    <t>2422 D</t>
  </si>
  <si>
    <t>2517 D</t>
  </si>
  <si>
    <t>2669 D</t>
  </si>
  <si>
    <t>2721 D</t>
  </si>
  <si>
    <t>JUNIO</t>
  </si>
  <si>
    <t>ANALISIS AGUA</t>
  </si>
  <si>
    <t xml:space="preserve"> ADT</t>
  </si>
  <si>
    <t>SOAPAP</t>
  </si>
  <si>
    <t>MULTA SOAPAP</t>
  </si>
  <si>
    <t>JUNIO., 06</t>
  </si>
  <si>
    <t>BOLSA</t>
  </si>
  <si>
    <t>JUNIO., 14</t>
  </si>
  <si>
    <t>SALMON</t>
  </si>
  <si>
    <t>RES EL CIEN</t>
  </si>
  <si>
    <t>PULPA</t>
  </si>
  <si>
    <t>PULPA DE RES</t>
  </si>
  <si>
    <t>COSTCO</t>
  </si>
  <si>
    <t>JUNIO-,27</t>
  </si>
  <si>
    <t>JUNIO.,28</t>
  </si>
  <si>
    <t>MAESCY Seguro</t>
  </si>
  <si>
    <t xml:space="preserve">JUNIO </t>
  </si>
  <si>
    <t>Manto CAMARAS</t>
  </si>
  <si>
    <t>30-may-2022</t>
  </si>
  <si>
    <t>31-may-2022</t>
  </si>
  <si>
    <t>1-jun-2022</t>
  </si>
  <si>
    <t>2-jun-2022</t>
  </si>
  <si>
    <t>3-jun-2022</t>
  </si>
  <si>
    <t>4-jun-2022</t>
  </si>
  <si>
    <t>6-jun-2022</t>
  </si>
  <si>
    <t>7-jun-2022</t>
  </si>
  <si>
    <t>8-jun-2022</t>
  </si>
  <si>
    <t>9-jun-2022</t>
  </si>
  <si>
    <t>10-jun-2022</t>
  </si>
  <si>
    <t>11-jun-2022</t>
  </si>
  <si>
    <t>13-jun-2022</t>
  </si>
  <si>
    <t>14-jun-2022</t>
  </si>
  <si>
    <t>15-jun-2022</t>
  </si>
  <si>
    <t>16-jun-2022</t>
  </si>
  <si>
    <t>17-jun-2022</t>
  </si>
  <si>
    <t>18-jun-2022</t>
  </si>
  <si>
    <t>20-jun-2022</t>
  </si>
  <si>
    <t>21-jun-2022</t>
  </si>
  <si>
    <t>22-jun-2022</t>
  </si>
  <si>
    <t>23-jun-2022</t>
  </si>
  <si>
    <t>24-jun-2022</t>
  </si>
  <si>
    <t>25-jun-2022</t>
  </si>
  <si>
    <t>27-jun-2022</t>
  </si>
  <si>
    <t>28-jun-2022</t>
  </si>
  <si>
    <t>29-jun-2022</t>
  </si>
  <si>
    <t>1-jul-2022</t>
  </si>
  <si>
    <t>2-jul-2022</t>
  </si>
  <si>
    <t>CALENDARIOS</t>
  </si>
  <si>
    <t xml:space="preserve">Refacc Basculas </t>
  </si>
  <si>
    <t>Comision Banco</t>
  </si>
  <si>
    <t xml:space="preserve">CARBON </t>
  </si>
  <si>
    <t>Bolsa rollo</t>
  </si>
  <si>
    <t>Chorizo-Chamorro-Pechuga pavo</t>
  </si>
  <si>
    <t>Jamon- Salchicha</t>
  </si>
  <si>
    <t>ANTICIPO RES</t>
  </si>
  <si>
    <t>BALANCE      ABASTO 4 CARNES    Z A V A L E T A      J U L I O            2 0 2 2</t>
  </si>
  <si>
    <t>ENCHILADA-QQUESO-CHORIZO</t>
  </si>
  <si>
    <t>POLLO-QUESOS-JAMONES-RES-GELATINA-CHORIZO BLANCO</t>
  </si>
  <si>
    <t>CHORIZO-LONGANIZA-QUESOS-</t>
  </si>
  <si>
    <t>PAVO-JAMON-LONGANIZA-PASTOR-POLLO</t>
  </si>
  <si>
    <t>CHORIZO-ENCHILADA-NUGGETS-SALCHICHONERIA POLLO-QUESOS</t>
  </si>
  <si>
    <t>POLLO-QUESOS-PASTOR-ARABE</t>
  </si>
  <si>
    <t>NOMINA # 28</t>
  </si>
  <si>
    <t>Nomina # 28</t>
  </si>
  <si>
    <t>SALCHICHONERIA--QUESO</t>
  </si>
  <si>
    <t>zavaleta</t>
  </si>
  <si>
    <t>LONGANIZA-POLLO-SALSAS-JAMON-SALCHICHONERIA</t>
  </si>
  <si>
    <t>QUESILLO,POLLO-JAMON-CHISTORRA-CHICHARRON</t>
  </si>
  <si>
    <t>POLLO-QUESOS-JAMONES-LONGANIZA</t>
  </si>
  <si>
    <t>SALCHICHONERIA--QUESO-POLLO-ENCHILADA-LONGANIZA</t>
  </si>
  <si>
    <t>CHISTORRA-SALCHICHONERIA-POLLO-QUESO</t>
  </si>
  <si>
    <t>LONGANIZA-POLLO-QUESOS-CREMA</t>
  </si>
  <si>
    <t>NOMINA # 29</t>
  </si>
  <si>
    <t>Nomina # 29</t>
  </si>
  <si>
    <t>CHORIZO-ENCHILADA-QUESOS-MIXIOTE</t>
  </si>
  <si>
    <t>ABASTOS</t>
  </si>
  <si>
    <t>QUESOS-POLLO-CHORIZO-PATA</t>
  </si>
  <si>
    <t>QUESOS-POLLO-ARABE-SALCHICHA-CHISTORRA</t>
  </si>
  <si>
    <t>LONGANIZA-POLLO-QUESOS-JAMON-CHORIZO</t>
  </si>
  <si>
    <t>PRESTAMO</t>
  </si>
  <si>
    <t>SALCHICHONERIA-QUESOS -POLLO-PASTOR</t>
  </si>
  <si>
    <t>AL PASTOR-QUESOS-POLLO-JAMON-PATA</t>
  </si>
  <si>
    <t>SALSAS-JAMON-QUESO-POLLO</t>
  </si>
  <si>
    <t>NOMINA # 30</t>
  </si>
  <si>
    <t>Nomina #30</t>
  </si>
  <si>
    <t>QUESOS-POLLO-TOCINETA-PEPERONI</t>
  </si>
  <si>
    <t>POLLO-QUESOS-CHISTORRA-LONGANIZA-PATA-PICAÑA</t>
  </si>
  <si>
    <r>
      <rPr>
        <b/>
        <sz val="12"/>
        <color rgb="FF0000FF"/>
        <rFont val="Calibri"/>
        <family val="2"/>
        <scheme val="minor"/>
      </rPr>
      <t>Docto</t>
    </r>
    <r>
      <rPr>
        <b/>
        <sz val="12"/>
        <color theme="1"/>
        <rFont val="Calibri"/>
        <family val="2"/>
        <scheme val="minor"/>
      </rPr>
      <t>. NOTAS</t>
    </r>
  </si>
  <si>
    <t>QUESOS-SALCHICHA</t>
  </si>
  <si>
    <t>POLLO-QUESO-JAMON-PATA-CHULETA-SALCHICHONERIA</t>
  </si>
  <si>
    <t>QUESOS-CREMA-POLLO-PAVO-LONGANIZA</t>
  </si>
  <si>
    <t>QUESOS-SALSAS-POLLO</t>
  </si>
  <si>
    <t xml:space="preserve">  </t>
  </si>
  <si>
    <t>POLLO-QUESOS-PATA</t>
  </si>
  <si>
    <t>Nomina # 31 y Vacaciones</t>
  </si>
  <si>
    <t>Nomina #31</t>
  </si>
  <si>
    <t>ENCHILADA-LONGANIZA-POLLO</t>
  </si>
  <si>
    <t>Abastos/NLP</t>
  </si>
  <si>
    <t>02839 D</t>
  </si>
  <si>
    <t>02912 D</t>
  </si>
  <si>
    <t>02988 D</t>
  </si>
  <si>
    <t>03062 D</t>
  </si>
  <si>
    <t>03160 D</t>
  </si>
  <si>
    <t>03271 D</t>
  </si>
  <si>
    <t>03409 D</t>
  </si>
  <si>
    <t>03591 D</t>
  </si>
  <si>
    <t>03740 D</t>
  </si>
  <si>
    <t>03843 D</t>
  </si>
  <si>
    <t>03934 D</t>
  </si>
  <si>
    <t>04102 D</t>
  </si>
  <si>
    <t>04118 D</t>
  </si>
  <si>
    <t>04167 D</t>
  </si>
  <si>
    <t>04247 D</t>
  </si>
  <si>
    <t>04340 D</t>
  </si>
  <si>
    <t>04453 D</t>
  </si>
  <si>
    <t>04542 D</t>
  </si>
  <si>
    <t>04652 D</t>
  </si>
  <si>
    <t>04760 D</t>
  </si>
  <si>
    <t>04883 D</t>
  </si>
  <si>
    <t>04964 D</t>
  </si>
  <si>
    <t>05088 D</t>
  </si>
  <si>
    <t>05103 D</t>
  </si>
  <si>
    <t>05201 D</t>
  </si>
  <si>
    <t>05305 D</t>
  </si>
  <si>
    <t>05373 D</t>
  </si>
  <si>
    <t>05493 D</t>
  </si>
  <si>
    <t>05530 D</t>
  </si>
  <si>
    <t>05614 D</t>
  </si>
  <si>
    <t>desechables</t>
  </si>
  <si>
    <t>Publicidad</t>
  </si>
  <si>
    <t>Fumigacion</t>
  </si>
  <si>
    <t>delantales</t>
  </si>
  <si>
    <t>Flete</t>
  </si>
  <si>
    <t>compras</t>
  </si>
  <si>
    <t>bolsa</t>
  </si>
  <si>
    <t>poliestrech</t>
  </si>
  <si>
    <t>carbon</t>
  </si>
  <si>
    <t>telmex</t>
  </si>
  <si>
    <t>Tramontina</t>
  </si>
  <si>
    <t>CORTES RES</t>
  </si>
  <si>
    <t>Basura</t>
  </si>
  <si>
    <t>Vidrios</t>
  </si>
  <si>
    <t>INNOVA prod</t>
  </si>
  <si>
    <t>Seguro carga</t>
  </si>
  <si>
    <t>CULATELLO</t>
  </si>
  <si>
    <t>SALMON-SURIMI</t>
  </si>
  <si>
    <t>Comisin Banco</t>
  </si>
  <si>
    <t>4-jul-2022</t>
  </si>
  <si>
    <t>6-jul-2022</t>
  </si>
  <si>
    <t>7-jul-2022</t>
  </si>
  <si>
    <t>8-jul-2022</t>
  </si>
  <si>
    <t>9-jul-2022</t>
  </si>
  <si>
    <t>11-jul-2022</t>
  </si>
  <si>
    <t>12-jul-2022</t>
  </si>
  <si>
    <t>13-jul-2022</t>
  </si>
  <si>
    <t>14-jul-2022</t>
  </si>
  <si>
    <t>16-jul-2022</t>
  </si>
  <si>
    <t>17-jul-2022</t>
  </si>
  <si>
    <t>18-jul-2022</t>
  </si>
  <si>
    <t>19-jul-2022</t>
  </si>
  <si>
    <t>20-jul-2022</t>
  </si>
  <si>
    <t>21-jul-2022</t>
  </si>
  <si>
    <t>22-jul-2022</t>
  </si>
  <si>
    <t>23-jul-2022</t>
  </si>
  <si>
    <t>24-jul-2022</t>
  </si>
  <si>
    <t>25-jul-2022</t>
  </si>
  <si>
    <t>26-jul-2022</t>
  </si>
  <si>
    <t>27-jul-2022</t>
  </si>
  <si>
    <t>28-jul-2022</t>
  </si>
  <si>
    <t>29-jul-2022</t>
  </si>
  <si>
    <t>30-jul-2022</t>
  </si>
  <si>
    <t>2-Jul-22---24-Jul-22</t>
  </si>
  <si>
    <t>BALANCE      ABASTO 4 CARNES    Z A V A L E T A      A G O S T O             2 0 2 2</t>
  </si>
  <si>
    <t>PAPA-CHISTORRA-SALCHICHONERIA-QUESOS-</t>
  </si>
  <si>
    <t>lengua-pollo-jamon-quesos-chorizo-arabe</t>
  </si>
  <si>
    <t>QUESOS-POLLO-LONGANIZA-ARABE-Chorizo</t>
  </si>
  <si>
    <t>Angelica Jimenez</t>
  </si>
  <si>
    <t xml:space="preserve">QUESOS-POLLO  </t>
  </si>
  <si>
    <t>junio</t>
  </si>
  <si>
    <t>PAPAS-QUESOS-´POLLO-Chul Ahum,</t>
  </si>
  <si>
    <t>QUESOS-PEPERONI-SALAMI-CHISTORRA</t>
  </si>
  <si>
    <t>QUESOS-LOMO-SALCHICHONERIA-POLLO-ARABE-PATA-JAMON</t>
  </si>
  <si>
    <t>QUESOS-CHORIZO-SALCHICAH-GELATINA-</t>
  </si>
  <si>
    <t>POLLO-SALCHICHONERIA-LONGANIZA</t>
  </si>
  <si>
    <t>QUESOS-PASTOR</t>
  </si>
  <si>
    <t>PAPA-QUESOS-POLLO-MIXIOTES-CHIMICHURRI-CHORIZO-JAMON</t>
  </si>
  <si>
    <t>NOMINA # 33</t>
  </si>
  <si>
    <t>NOMINA # 32</t>
  </si>
  <si>
    <t>NOMINA# 33</t>
  </si>
  <si>
    <t>QUESOS-ENCHILADA-LONGANIZA-TOCINETA</t>
  </si>
  <si>
    <t>QUESOS-CHISTORRA-SALCHICHA-PATE-PATA-PIERNA AHUM</t>
  </si>
  <si>
    <t>PULPA RES-CHISTORRA-ROASBEEF-QUESOS-RIBEYE-SALCHICHA</t>
  </si>
  <si>
    <t>05732 D</t>
  </si>
  <si>
    <t>05838 D</t>
  </si>
  <si>
    <t>06050 D</t>
  </si>
  <si>
    <t>06125 D</t>
  </si>
  <si>
    <t>06247 D</t>
  </si>
  <si>
    <t>06405 D</t>
  </si>
  <si>
    <t>06555 D</t>
  </si>
  <si>
    <t>06659 D</t>
  </si>
  <si>
    <t>06756 D</t>
  </si>
  <si>
    <t>06853 D</t>
  </si>
  <si>
    <t>06967 D</t>
  </si>
  <si>
    <t>07153 D</t>
  </si>
  <si>
    <t>07286 D</t>
  </si>
  <si>
    <t>07347 D</t>
  </si>
  <si>
    <t>07448 D</t>
  </si>
  <si>
    <t>07454 D</t>
  </si>
  <si>
    <t>07613 D</t>
  </si>
  <si>
    <t>07701 D</t>
  </si>
  <si>
    <t>07764 D</t>
  </si>
  <si>
    <t>07874 D</t>
  </si>
  <si>
    <t>27-Jul-22--26-Agos-22</t>
  </si>
  <si>
    <t>QUESOS-LONGANIZA-CHORIZO-AL PASTOR</t>
  </si>
  <si>
    <t>JAMON-CREMA-CHORIZO-POLLO-QUESOS</t>
  </si>
  <si>
    <t>POLLO-QUESOS-JAMONES</t>
  </si>
  <si>
    <t>POLLO-QUESOS-CHORIZO-AL PASTOR-PATA</t>
  </si>
  <si>
    <t>NOMINA # 34</t>
  </si>
  <si>
    <t>QUESO-TOCINETA-  CHISTORRA-</t>
  </si>
  <si>
    <t>QUESOS-CHISTORRA-PATE-JAMON-PATA-CHORITZO</t>
  </si>
  <si>
    <t>POLLO-QUESO-CREMA-</t>
  </si>
  <si>
    <t>POLLO-QUESO-LONGANIZA-ARABE-PASTOR-</t>
  </si>
  <si>
    <t>08009 D</t>
  </si>
  <si>
    <t>08114 D</t>
  </si>
  <si>
    <t>08149 D</t>
  </si>
  <si>
    <t>08203 D</t>
  </si>
  <si>
    <t>08345 D</t>
  </si>
  <si>
    <t>SALCHICHONERIA-QUESO-POLLO-TOCINO</t>
  </si>
  <si>
    <t>QUESOS-POLLO-CHORIZO-</t>
  </si>
  <si>
    <t>POLLO-LONGANIZA-TOCINO</t>
  </si>
  <si>
    <t>NOMINA # 35</t>
  </si>
  <si>
    <t>SALSAS  Oaxaca</t>
  </si>
  <si>
    <t>Desechables</t>
  </si>
  <si>
    <t>basura</t>
  </si>
  <si>
    <t>Publicidad eurodanceer</t>
  </si>
  <si>
    <t>SALMON-ATUN-SURIMI</t>
  </si>
  <si>
    <t>VARIEDAD QUESOS</t>
  </si>
  <si>
    <t>Permiso SOAPAP</t>
  </si>
  <si>
    <t>RES CIEN</t>
  </si>
  <si>
    <t>Seguro Res</t>
  </si>
  <si>
    <t>Vitrinas</t>
  </si>
  <si>
    <t>SOAPAP Multas</t>
  </si>
  <si>
    <t>bolsas</t>
  </si>
  <si>
    <t>Flete Res</t>
  </si>
  <si>
    <t>Seguro Camioneta</t>
  </si>
  <si>
    <t>Videocamaras Hansel</t>
  </si>
  <si>
    <t>Comisiones Banco</t>
  </si>
  <si>
    <t>1-ago-2022</t>
  </si>
  <si>
    <t>2-ago-2022</t>
  </si>
  <si>
    <t>4-ago-2022</t>
  </si>
  <si>
    <t>5-ago-2022</t>
  </si>
  <si>
    <t>6-ago-2022</t>
  </si>
  <si>
    <t>8-ago-2022</t>
  </si>
  <si>
    <t>9-ago-2022</t>
  </si>
  <si>
    <t>10-ago-2022</t>
  </si>
  <si>
    <t>11-ago-2022</t>
  </si>
  <si>
    <t>12-ago-2022</t>
  </si>
  <si>
    <t>13-ago-2022</t>
  </si>
  <si>
    <t>14-ago-2022</t>
  </si>
  <si>
    <t>15-ago-2022</t>
  </si>
  <si>
    <t>16-ago-2022</t>
  </si>
  <si>
    <t>17-ago-2022</t>
  </si>
  <si>
    <t>18-ago-2022</t>
  </si>
  <si>
    <t>19-ago-2022</t>
  </si>
  <si>
    <t>20-ago-2022</t>
  </si>
  <si>
    <t>22-ago-2022</t>
  </si>
  <si>
    <t>23-ago-2022</t>
  </si>
  <si>
    <t>24-ago-2022</t>
  </si>
  <si>
    <t>25-ago-2022</t>
  </si>
  <si>
    <t>27-ago-2022</t>
  </si>
  <si>
    <t>28-ago-2022</t>
  </si>
  <si>
    <r>
      <t xml:space="preserve">DEPOSITOS PRESTAMO DE CENTRAL A </t>
    </r>
    <r>
      <rPr>
        <b/>
        <sz val="16"/>
        <color theme="5" tint="-0.499984740745262"/>
        <rFont val="Calibri"/>
        <family val="2"/>
        <scheme val="minor"/>
      </rPr>
      <t xml:space="preserve"> ZAVALETA </t>
    </r>
  </si>
  <si>
    <t xml:space="preserve">VENTAS ZAVALETA DEV. DE PRESTAMO A CENTRAL </t>
  </si>
  <si>
    <t xml:space="preserve">DEPOSITAR  A NORMA LEDO PARRA </t>
  </si>
  <si>
    <t>BALANCE      ABASTO 4 CARNES    Z A V A L E T A      SEPTIEMBRE            2 0 2 2</t>
  </si>
  <si>
    <t>POLLO-QUESOS-PATE-SALCHICHAS</t>
  </si>
  <si>
    <t>QUESOS-POLLO-SALCHICHONERIA-CREMA-PAPAS</t>
  </si>
  <si>
    <t>Zavaleta</t>
  </si>
  <si>
    <t>POLLO-AL PASTOR-QUESOS-LONGANIZA-MIXIOTES</t>
  </si>
  <si>
    <t>NOMINA # 36</t>
  </si>
  <si>
    <t>NOMINA #36</t>
  </si>
  <si>
    <t>CREMA-JAMON-POLLO-CHISTORRA-QUESOS-SALCHICHONERIA</t>
  </si>
  <si>
    <t>CHORIZO-ALPASTOR-POLLO-QUESOS-PAPA-SALCHICA</t>
  </si>
  <si>
    <t>QUESOS-POLLO-AL PASTOR-CHORIZO</t>
  </si>
  <si>
    <t>JAMON-QUESOS-´POLLO-CHORIZO</t>
  </si>
  <si>
    <t>NOMINA #37</t>
  </si>
  <si>
    <t>NOMINA # 37</t>
  </si>
  <si>
    <t>QUESOS-CHISTORRA-POLLO-JAMON</t>
  </si>
  <si>
    <t>QUESOS-POLLO-SALCHIICHONERIA-ARABE-PASTOR</t>
  </si>
  <si>
    <t>SALCHICHONERIA-MOLE-POLLO-LONGANIZA-CHISTORRA-QUESOS</t>
  </si>
  <si>
    <t>POLLO-QUESOS--ARABE-PASTOR</t>
  </si>
  <si>
    <t xml:space="preserve">                                                                                                                                                                                 </t>
  </si>
  <si>
    <t>PROTECCION CIVIL</t>
  </si>
  <si>
    <t>LONGANIZA-CHORIZO</t>
  </si>
  <si>
    <t>QUESOS-JAMON-CREMA-COSTCO</t>
  </si>
  <si>
    <t>NOMINA # 38</t>
  </si>
  <si>
    <t>SALCHICHONERIA-QUESOS-MIXIOTE-POLLO-PASTOR-LONGANIZAS</t>
  </si>
  <si>
    <t>QUESOS-POLLO-JAMON-SALCHICHA-TOSTADAS</t>
  </si>
  <si>
    <t>POLLO-SALSAS-QUESO-ENCHILADA-SALCHICHA</t>
  </si>
  <si>
    <t>POLLO-QUESOS-FLETE BOTANAS-YGURT-NATA</t>
  </si>
  <si>
    <t>USO DE SUELO</t>
  </si>
  <si>
    <t>POLLO-PASTOR--ARABE</t>
  </si>
  <si>
    <t>Pagado</t>
  </si>
  <si>
    <t>QUESO-POLLO-MAIZ-LONGANIZA-PAPAS</t>
  </si>
  <si>
    <t>NOMINA # 39</t>
  </si>
  <si>
    <t>QUESOS--TOCINETA-SALAMI-PEPERONI</t>
  </si>
  <si>
    <t>|</t>
  </si>
  <si>
    <t>TOCINO-POLLO-QUESOS-SALCHICHA</t>
  </si>
  <si>
    <t>POLLO-QUESOS-LONGANIZAS-PASTOR-JAMON-CARBON</t>
  </si>
  <si>
    <t>QUESOS-POLLO-LONGANIZA-ENCHILADA-JAMON-CREMA</t>
  </si>
  <si>
    <t>POLLO-QUESOS-PASTOR</t>
  </si>
  <si>
    <t>NOMINA # 40</t>
  </si>
  <si>
    <t>QUESOS</t>
  </si>
  <si>
    <t>2-sep-2022</t>
  </si>
  <si>
    <t>3-sep-2022</t>
  </si>
  <si>
    <t>5-sep-2022</t>
  </si>
  <si>
    <t>6-sep-2022</t>
  </si>
  <si>
    <t>7-sep-2022</t>
  </si>
  <si>
    <t>8-sep-2022</t>
  </si>
  <si>
    <t>10-sep-2022</t>
  </si>
  <si>
    <t>11-sep-2022</t>
  </si>
  <si>
    <t>12-sep-2022</t>
  </si>
  <si>
    <t>13-sep-2022</t>
  </si>
  <si>
    <t>14-sep-2022</t>
  </si>
  <si>
    <t>15-sep-2022</t>
  </si>
  <si>
    <t>16-sep-2022</t>
  </si>
  <si>
    <t>17-sep-2022</t>
  </si>
  <si>
    <t>19-sep-2022</t>
  </si>
  <si>
    <t>20-sep-2022</t>
  </si>
  <si>
    <t>21-sep-2022</t>
  </si>
  <si>
    <t>22-sep-2022</t>
  </si>
  <si>
    <t>23-sep-2022</t>
  </si>
  <si>
    <t>24-sep-2022</t>
  </si>
  <si>
    <t>26-sep-2022</t>
  </si>
  <si>
    <t>27-sep-2022</t>
  </si>
  <si>
    <t>28-sep-2022</t>
  </si>
  <si>
    <t>30-sep-2022</t>
  </si>
  <si>
    <t>1-oct-2022</t>
  </si>
  <si>
    <t>2-oct-2022</t>
  </si>
  <si>
    <t>29-ago-2022</t>
  </si>
  <si>
    <t>30-ago-2022</t>
  </si>
  <si>
    <t>31-ago-2022</t>
  </si>
  <si>
    <t>08653 D</t>
  </si>
  <si>
    <t>08667 D</t>
  </si>
  <si>
    <t>08788 D</t>
  </si>
  <si>
    <t>08892 D</t>
  </si>
  <si>
    <t>D-12322</t>
  </si>
  <si>
    <t>D-12384</t>
  </si>
  <si>
    <t>08961 D</t>
  </si>
  <si>
    <t>0927 D</t>
  </si>
  <si>
    <t>09079 D</t>
  </si>
  <si>
    <t>09227 D</t>
  </si>
  <si>
    <t>09430 D</t>
  </si>
  <si>
    <t>09539 D</t>
  </si>
  <si>
    <t>09656 D</t>
  </si>
  <si>
    <t>09809 D</t>
  </si>
  <si>
    <t>9942 D</t>
  </si>
  <si>
    <t>10019 D</t>
  </si>
  <si>
    <t>10048 D</t>
  </si>
  <si>
    <t>10236 D</t>
  </si>
  <si>
    <t>10258 D</t>
  </si>
  <si>
    <t>10429 D</t>
  </si>
  <si>
    <t>10544 D</t>
  </si>
  <si>
    <t>10662 D</t>
  </si>
  <si>
    <t>10732 D</t>
  </si>
  <si>
    <t>10801 D</t>
  </si>
  <si>
    <t>10805 D</t>
  </si>
  <si>
    <t>10902 D</t>
  </si>
  <si>
    <t>11101 D</t>
  </si>
  <si>
    <t>11193 D</t>
  </si>
  <si>
    <t>11322 D</t>
  </si>
  <si>
    <t>11387 D</t>
  </si>
  <si>
    <t>11494 D</t>
  </si>
  <si>
    <t>11649 D</t>
  </si>
  <si>
    <t>11651 D</t>
  </si>
  <si>
    <t>11783 D</t>
  </si>
  <si>
    <t>11903 D</t>
  </si>
  <si>
    <t>12009 D</t>
  </si>
  <si>
    <t>12131 D</t>
  </si>
  <si>
    <t>12236 D</t>
  </si>
  <si>
    <t>salchicha</t>
  </si>
  <si>
    <t>Chorizo</t>
  </si>
  <si>
    <t>PULPA RES cien</t>
  </si>
  <si>
    <t xml:space="preserve">BASURA </t>
  </si>
  <si>
    <t>FLETE RES</t>
  </si>
  <si>
    <t>Tocino-Jamon-Chorizo-pata res-Salchichoneria</t>
  </si>
  <si>
    <t>Surimi-Salmon-Atun</t>
  </si>
  <si>
    <t>CORTES caña-pulpa</t>
  </si>
  <si>
    <t>Tostitostadas</t>
  </si>
  <si>
    <t>Encontrack</t>
  </si>
  <si>
    <t>Seguro Resp Civil</t>
  </si>
  <si>
    <t>bordados</t>
  </si>
  <si>
    <t>SALSAS FMTS</t>
  </si>
  <si>
    <t>ADT SECURITY</t>
  </si>
  <si>
    <t>Seguros cargas</t>
  </si>
  <si>
    <t>Camara Comercio</t>
  </si>
  <si>
    <t>Jamon americano-pata res-chorizo blanco-Longaniza</t>
  </si>
  <si>
    <t>quesos gouda</t>
  </si>
  <si>
    <t>Albicia productos</t>
  </si>
  <si>
    <t>29-Ago--al 2-Oct</t>
  </si>
  <si>
    <t>comision banco</t>
  </si>
  <si>
    <t>3-Oct-22---7-Oct-22</t>
  </si>
  <si>
    <t>ok</t>
  </si>
  <si>
    <t>7-Oct-22--8-Oct-22</t>
  </si>
  <si>
    <t>8-Oct-22--11-Oct-22</t>
  </si>
  <si>
    <t xml:space="preserve">ZAVALETA DEBE A   CENTRAL </t>
  </si>
  <si>
    <t xml:space="preserve">CENTRAL DEBE A ZAVALETA </t>
  </si>
  <si>
    <t>AL DIA  17 DE OCTUBRE 2022</t>
  </si>
  <si>
    <t>BALANCE      ABASTO 4 CARNES    Z A V A L E T A      OCTUBRE           2 0 2 2</t>
  </si>
  <si>
    <t>quesos-chistorra-pollo-jamon-</t>
  </si>
  <si>
    <t xml:space="preserve">TURNOS </t>
  </si>
  <si>
    <t>SALCHICHA-MOLE-CHORIZO-POLLO-JAMON-PASTOR</t>
  </si>
  <si>
    <t>CHORIZO-LONGANIZA-QUESOS-POLLO-PATEW</t>
  </si>
  <si>
    <t>POLLO-JAMON-LOMOS-QUESO-CONDIMENTOS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</si>
</sst>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7" formatCode="&quot;$&quot;#,##0.00;\-&quot;$&quot;#,##0.00"/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7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3"/>
      <color rgb="FF990033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rgb="FF990033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1"/>
      <color rgb="FF990099"/>
      <name val="Calibri"/>
      <family val="2"/>
      <scheme val="minor"/>
    </font>
    <font>
      <b/>
      <sz val="12"/>
      <color rgb="FF990099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sz val="12"/>
      <color rgb="FF0000FF"/>
      <name val="Calibri Light"/>
      <family val="1"/>
      <scheme val="major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rgb="FF0000FF"/>
      <name val="Calibri Light"/>
      <family val="1"/>
      <scheme val="major"/>
    </font>
    <font>
      <b/>
      <u/>
      <sz val="18"/>
      <color rgb="FF80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i/>
      <sz val="12"/>
      <color rgb="FF800000"/>
      <name val="Calibri"/>
      <family val="2"/>
      <scheme val="minor"/>
    </font>
    <font>
      <b/>
      <sz val="9"/>
      <color rgb="FF0000FF"/>
      <name val="Calibri Light"/>
      <family val="1"/>
      <scheme val="major"/>
    </font>
    <font>
      <b/>
      <sz val="12"/>
      <color rgb="FF800000"/>
      <name val="Calibri"/>
      <family val="2"/>
      <scheme val="minor"/>
    </font>
    <font>
      <b/>
      <sz val="8"/>
      <color rgb="FF6600FF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color rgb="FF0000FF"/>
      <name val="Calibri"/>
      <family val="2"/>
      <scheme val="minor"/>
    </font>
    <font>
      <b/>
      <sz val="8"/>
      <color rgb="FF00B050"/>
      <name val="Calibri"/>
      <family val="2"/>
      <scheme val="minor"/>
    </font>
    <font>
      <b/>
      <sz val="14"/>
      <color rgb="FF800000"/>
      <name val="Calibri"/>
      <family val="2"/>
      <scheme val="minor"/>
    </font>
    <font>
      <b/>
      <sz val="13"/>
      <color rgb="FFFF0000"/>
      <name val="Calibri"/>
      <family val="2"/>
    </font>
    <font>
      <b/>
      <u/>
      <sz val="18"/>
      <color rgb="FFC00000"/>
      <name val="Calibri"/>
      <family val="2"/>
      <scheme val="minor"/>
    </font>
    <font>
      <b/>
      <sz val="8"/>
      <color rgb="FF800000"/>
      <name val="Calibri"/>
      <family val="2"/>
      <scheme val="minor"/>
    </font>
    <font>
      <b/>
      <sz val="11"/>
      <color rgb="FF800000"/>
      <name val="Calibri"/>
      <family val="2"/>
      <scheme val="minor"/>
    </font>
    <font>
      <b/>
      <sz val="12"/>
      <color theme="1"/>
      <name val="Calibri Light"/>
      <family val="2"/>
      <scheme val="major"/>
    </font>
    <font>
      <b/>
      <i/>
      <u/>
      <sz val="12"/>
      <color theme="1"/>
      <name val="Calibri"/>
      <family val="2"/>
      <scheme val="minor"/>
    </font>
    <font>
      <b/>
      <sz val="12"/>
      <color theme="1"/>
      <name val="Calibri Light"/>
      <family val="1"/>
      <scheme val="major"/>
    </font>
    <font>
      <b/>
      <sz val="20"/>
      <color theme="1"/>
      <name val="Calibri"/>
      <family val="2"/>
      <scheme val="minor"/>
    </font>
    <font>
      <b/>
      <i/>
      <u/>
      <sz val="16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color rgb="FF0000FF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b/>
      <sz val="10"/>
      <color theme="5" tint="-0.499984740745262"/>
      <name val="Calibri"/>
      <family val="2"/>
      <scheme val="minor"/>
    </font>
    <font>
      <b/>
      <sz val="11"/>
      <color rgb="FF990033"/>
      <name val="Calibri"/>
      <family val="2"/>
      <scheme val="minor"/>
    </font>
    <font>
      <b/>
      <sz val="9"/>
      <color rgb="FF990033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2"/>
      <color theme="5" tint="-0.499984740745262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sz val="17"/>
      <color theme="1"/>
      <name val="Calibri"/>
      <family val="2"/>
      <scheme val="minor"/>
    </font>
    <font>
      <b/>
      <sz val="18"/>
      <color rgb="FF0000FF"/>
      <name val="Calibri"/>
      <family val="2"/>
      <scheme val="minor"/>
    </font>
    <font>
      <b/>
      <sz val="15"/>
      <color rgb="FF0000FF"/>
      <name val="Calibri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FF99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00FF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CC99FF"/>
        <bgColor theme="4" tint="0.7999816888943144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7558519241921"/>
        <bgColor theme="4" tint="0.79998168889431442"/>
      </patternFill>
    </fill>
  </fills>
  <borders count="1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ck">
        <color indexed="64"/>
      </right>
      <top/>
      <bottom style="double">
        <color indexed="64"/>
      </bottom>
      <diagonal/>
    </border>
    <border>
      <left style="thick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/>
      <diagonal/>
    </border>
    <border>
      <left/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mediumDashed">
        <color indexed="64"/>
      </right>
      <top style="thin">
        <color indexed="64"/>
      </top>
      <bottom/>
      <diagonal/>
    </border>
    <border>
      <left style="double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Dashed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theme="4" tint="0.39997558519241921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indexed="64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mediumDashDot">
        <color auto="1"/>
      </left>
      <right/>
      <top style="mediumDashDot">
        <color auto="1"/>
      </top>
      <bottom/>
      <diagonal/>
    </border>
    <border>
      <left style="mediumDashDot">
        <color auto="1"/>
      </left>
      <right/>
      <top/>
      <bottom style="mediumDashDot">
        <color auto="1"/>
      </bottom>
      <diagonal/>
    </border>
    <border>
      <left/>
      <right/>
      <top style="mediumDashDot">
        <color auto="1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/>
      <right/>
      <top/>
      <bottom style="mediumDashDot">
        <color auto="1"/>
      </bottom>
      <diagonal/>
    </border>
    <border>
      <left style="mediumDashed">
        <color auto="1"/>
      </left>
      <right/>
      <top style="mediumDashed">
        <color auto="1"/>
      </top>
      <bottom/>
      <diagonal/>
    </border>
    <border>
      <left/>
      <right/>
      <top style="mediumDashed">
        <color auto="1"/>
      </top>
      <bottom/>
      <diagonal/>
    </border>
    <border>
      <left/>
      <right style="mediumDashed">
        <color auto="1"/>
      </right>
      <top style="mediumDashed">
        <color auto="1"/>
      </top>
      <bottom/>
      <diagonal/>
    </border>
    <border>
      <left/>
      <right style="mediumDashed">
        <color auto="1"/>
      </right>
      <top/>
      <bottom/>
      <diagonal/>
    </border>
    <border>
      <left/>
      <right style="mediumDashed">
        <color auto="1"/>
      </right>
      <top/>
      <bottom style="mediumDashed">
        <color auto="1"/>
      </bottom>
      <diagonal/>
    </border>
    <border>
      <left style="mediumDashed">
        <color indexed="64"/>
      </left>
      <right/>
      <top/>
      <bottom style="double">
        <color indexed="64"/>
      </bottom>
      <diagonal/>
    </border>
    <border>
      <left/>
      <right style="mediumDashed">
        <color auto="1"/>
      </right>
      <top/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01">
    <xf numFmtId="0" fontId="0" fillId="0" borderId="0" xfId="0"/>
    <xf numFmtId="44" fontId="2" fillId="0" borderId="0" xfId="1" applyFont="1"/>
    <xf numFmtId="0" fontId="0" fillId="0" borderId="0" xfId="0" applyFill="1"/>
    <xf numFmtId="44" fontId="0" fillId="0" borderId="0" xfId="1" applyFont="1"/>
    <xf numFmtId="44" fontId="1" fillId="0" borderId="0" xfId="1"/>
    <xf numFmtId="0" fontId="3" fillId="0" borderId="0" xfId="0" applyFont="1"/>
    <xf numFmtId="44" fontId="1" fillId="0" borderId="0" xfId="1" applyFill="1"/>
    <xf numFmtId="165" fontId="2" fillId="0" borderId="0" xfId="1" applyNumberFormat="1" applyFont="1" applyFill="1"/>
    <xf numFmtId="44" fontId="0" fillId="0" borderId="0" xfId="1" applyFont="1" applyFill="1"/>
    <xf numFmtId="44" fontId="2" fillId="0" borderId="0" xfId="1" applyFont="1" applyFill="1"/>
    <xf numFmtId="0" fontId="5" fillId="0" borderId="0" xfId="0" applyFont="1" applyAlignment="1">
      <alignment horizontal="center"/>
    </xf>
    <xf numFmtId="0" fontId="6" fillId="0" borderId="5" xfId="0" applyFont="1" applyBorder="1" applyAlignment="1">
      <alignment vertical="center" wrapText="1"/>
    </xf>
    <xf numFmtId="165" fontId="2" fillId="0" borderId="0" xfId="1" applyNumberFormat="1" applyFont="1"/>
    <xf numFmtId="44" fontId="3" fillId="0" borderId="0" xfId="1" applyFont="1" applyFill="1"/>
    <xf numFmtId="0" fontId="3" fillId="0" borderId="0" xfId="0" applyFont="1" applyFill="1"/>
    <xf numFmtId="0" fontId="8" fillId="0" borderId="7" xfId="0" applyFont="1" applyBorder="1"/>
    <xf numFmtId="164" fontId="9" fillId="0" borderId="8" xfId="0" applyNumberFormat="1" applyFont="1" applyBorder="1" applyAlignment="1">
      <alignment horizontal="center"/>
    </xf>
    <xf numFmtId="44" fontId="10" fillId="0" borderId="9" xfId="1" applyFont="1" applyBorder="1"/>
    <xf numFmtId="165" fontId="3" fillId="3" borderId="10" xfId="0" applyNumberFormat="1" applyFont="1" applyFill="1" applyBorder="1" applyAlignment="1">
      <alignment horizontal="left"/>
    </xf>
    <xf numFmtId="165" fontId="12" fillId="0" borderId="9" xfId="0" applyNumberFormat="1" applyFont="1" applyBorder="1"/>
    <xf numFmtId="44" fontId="12" fillId="0" borderId="9" xfId="1" applyFont="1" applyBorder="1"/>
    <xf numFmtId="44" fontId="13" fillId="4" borderId="0" xfId="1" applyFont="1" applyFill="1" applyAlignment="1">
      <alignment horizontal="center"/>
    </xf>
    <xf numFmtId="44" fontId="13" fillId="4" borderId="15" xfId="1" applyFont="1" applyFill="1" applyBorder="1" applyAlignment="1">
      <alignment horizontal="center"/>
    </xf>
    <xf numFmtId="16" fontId="0" fillId="0" borderId="0" xfId="0" applyNumberFormat="1"/>
    <xf numFmtId="164" fontId="2" fillId="0" borderId="17" xfId="0" applyNumberFormat="1" applyFont="1" applyFill="1" applyBorder="1" applyAlignment="1">
      <alignment horizontal="center"/>
    </xf>
    <xf numFmtId="44" fontId="2" fillId="0" borderId="18" xfId="1" applyFont="1" applyFill="1" applyBorder="1"/>
    <xf numFmtId="166" fontId="15" fillId="0" borderId="10" xfId="0" applyNumberFormat="1" applyFont="1" applyFill="1" applyBorder="1" applyAlignment="1">
      <alignment horizontal="left"/>
    </xf>
    <xf numFmtId="15" fontId="2" fillId="0" borderId="19" xfId="0" applyNumberFormat="1" applyFont="1" applyFill="1" applyBorder="1"/>
    <xf numFmtId="44" fontId="2" fillId="0" borderId="20" xfId="1" applyFont="1" applyFill="1" applyBorder="1"/>
    <xf numFmtId="15" fontId="2" fillId="0" borderId="21" xfId="0" applyNumberFormat="1" applyFont="1" applyFill="1" applyBorder="1"/>
    <xf numFmtId="44" fontId="2" fillId="0" borderId="22" xfId="1" applyFont="1" applyFill="1" applyBorder="1"/>
    <xf numFmtId="0" fontId="2" fillId="0" borderId="0" xfId="0" applyFont="1" applyFill="1" applyAlignment="1">
      <alignment horizontal="center"/>
    </xf>
    <xf numFmtId="44" fontId="16" fillId="0" borderId="23" xfId="1" applyFont="1" applyFill="1" applyBorder="1"/>
    <xf numFmtId="44" fontId="2" fillId="0" borderId="24" xfId="1" applyFont="1" applyFill="1" applyBorder="1"/>
    <xf numFmtId="44" fontId="2" fillId="0" borderId="0" xfId="1" applyFont="1" applyFill="1" applyBorder="1"/>
    <xf numFmtId="166" fontId="17" fillId="0" borderId="10" xfId="0" applyNumberFormat="1" applyFont="1" applyFill="1" applyBorder="1"/>
    <xf numFmtId="15" fontId="2" fillId="0" borderId="25" xfId="0" applyNumberFormat="1" applyFont="1" applyFill="1" applyBorder="1"/>
    <xf numFmtId="165" fontId="2" fillId="0" borderId="0" xfId="1" applyNumberFormat="1" applyFont="1" applyFill="1" applyAlignment="1">
      <alignment horizontal="center"/>
    </xf>
    <xf numFmtId="0" fontId="2" fillId="0" borderId="25" xfId="0" applyFont="1" applyFill="1" applyBorder="1" applyAlignment="1">
      <alignment horizontal="center"/>
    </xf>
    <xf numFmtId="44" fontId="2" fillId="0" borderId="26" xfId="1" applyFont="1" applyFill="1" applyBorder="1"/>
    <xf numFmtId="166" fontId="18" fillId="0" borderId="10" xfId="0" applyNumberFormat="1" applyFont="1" applyFill="1" applyBorder="1"/>
    <xf numFmtId="0" fontId="19" fillId="0" borderId="25" xfId="0" applyFont="1" applyFill="1" applyBorder="1" applyAlignment="1">
      <alignment horizontal="center"/>
    </xf>
    <xf numFmtId="166" fontId="15" fillId="0" borderId="10" xfId="0" applyNumberFormat="1" applyFont="1" applyFill="1" applyBorder="1"/>
    <xf numFmtId="165" fontId="20" fillId="0" borderId="0" xfId="1" applyNumberFormat="1" applyFont="1" applyFill="1" applyAlignment="1">
      <alignment horizontal="center"/>
    </xf>
    <xf numFmtId="44" fontId="19" fillId="0" borderId="0" xfId="1" applyFont="1" applyFill="1"/>
    <xf numFmtId="44" fontId="2" fillId="0" borderId="26" xfId="1" applyFont="1" applyFill="1" applyBorder="1" applyAlignment="1">
      <alignment horizontal="right"/>
    </xf>
    <xf numFmtId="0" fontId="21" fillId="0" borderId="28" xfId="0" applyFont="1" applyFill="1" applyBorder="1" applyAlignment="1">
      <alignment horizontal="center" wrapText="1"/>
    </xf>
    <xf numFmtId="44" fontId="2" fillId="0" borderId="29" xfId="1" applyFont="1" applyFill="1" applyBorder="1"/>
    <xf numFmtId="16" fontId="19" fillId="0" borderId="27" xfId="0" applyNumberFormat="1" applyFont="1" applyFill="1" applyBorder="1" applyAlignment="1">
      <alignment horizontal="center"/>
    </xf>
    <xf numFmtId="44" fontId="2" fillId="0" borderId="29" xfId="1" applyFont="1" applyFill="1" applyBorder="1" applyAlignment="1">
      <alignment horizontal="right"/>
    </xf>
    <xf numFmtId="165" fontId="2" fillId="0" borderId="30" xfId="1" applyNumberFormat="1" applyFont="1" applyFill="1" applyBorder="1" applyAlignment="1">
      <alignment horizontal="center"/>
    </xf>
    <xf numFmtId="165" fontId="2" fillId="0" borderId="7" xfId="0" applyNumberFormat="1" applyFont="1" applyFill="1" applyBorder="1" applyAlignment="1">
      <alignment horizontal="center"/>
    </xf>
    <xf numFmtId="44" fontId="2" fillId="0" borderId="31" xfId="1" applyFont="1" applyFill="1" applyBorder="1" applyAlignment="1">
      <alignment horizontal="right"/>
    </xf>
    <xf numFmtId="165" fontId="20" fillId="0" borderId="30" xfId="1" applyNumberFormat="1" applyFont="1" applyFill="1" applyBorder="1" applyAlignment="1">
      <alignment horizontal="left"/>
    </xf>
    <xf numFmtId="44" fontId="2" fillId="0" borderId="25" xfId="1" applyFont="1" applyFill="1" applyBorder="1" applyAlignment="1">
      <alignment horizontal="right"/>
    </xf>
    <xf numFmtId="165" fontId="20" fillId="0" borderId="25" xfId="1" applyNumberFormat="1" applyFont="1" applyFill="1" applyBorder="1" applyAlignment="1">
      <alignment horizontal="left"/>
    </xf>
    <xf numFmtId="165" fontId="2" fillId="0" borderId="25" xfId="1" applyNumberFormat="1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66" fontId="15" fillId="0" borderId="32" xfId="0" applyNumberFormat="1" applyFont="1" applyFill="1" applyBorder="1"/>
    <xf numFmtId="165" fontId="2" fillId="0" borderId="25" xfId="1" applyNumberFormat="1" applyFont="1" applyFill="1" applyBorder="1" applyAlignment="1">
      <alignment horizontal="left"/>
    </xf>
    <xf numFmtId="165" fontId="19" fillId="0" borderId="25" xfId="1" applyNumberFormat="1" applyFont="1" applyFill="1" applyBorder="1" applyAlignment="1">
      <alignment horizontal="center"/>
    </xf>
    <xf numFmtId="44" fontId="19" fillId="0" borderId="26" xfId="1" applyFont="1" applyFill="1" applyBorder="1"/>
    <xf numFmtId="166" fontId="10" fillId="0" borderId="25" xfId="0" applyNumberFormat="1" applyFont="1" applyFill="1" applyBorder="1"/>
    <xf numFmtId="44" fontId="19" fillId="0" borderId="25" xfId="1" applyFont="1" applyFill="1" applyBorder="1" applyAlignment="1">
      <alignment horizontal="right"/>
    </xf>
    <xf numFmtId="166" fontId="15" fillId="0" borderId="25" xfId="0" applyNumberFormat="1" applyFont="1" applyFill="1" applyBorder="1"/>
    <xf numFmtId="166" fontId="19" fillId="0" borderId="25" xfId="0" applyNumberFormat="1" applyFont="1" applyFill="1" applyBorder="1"/>
    <xf numFmtId="44" fontId="19" fillId="0" borderId="25" xfId="1" applyFont="1" applyFill="1" applyBorder="1"/>
    <xf numFmtId="166" fontId="18" fillId="0" borderId="25" xfId="0" applyNumberFormat="1" applyFont="1" applyFill="1" applyBorder="1"/>
    <xf numFmtId="0" fontId="10" fillId="0" borderId="0" xfId="0" applyFont="1" applyFill="1" applyAlignment="1">
      <alignment horizontal="center" wrapText="1"/>
    </xf>
    <xf numFmtId="44" fontId="2" fillId="0" borderId="25" xfId="1" applyFont="1" applyFill="1" applyBorder="1"/>
    <xf numFmtId="0" fontId="23" fillId="0" borderId="33" xfId="0" applyFont="1" applyFill="1" applyBorder="1" applyAlignment="1">
      <alignment horizontal="center"/>
    </xf>
    <xf numFmtId="44" fontId="2" fillId="0" borderId="34" xfId="1" applyFont="1" applyFill="1" applyBorder="1"/>
    <xf numFmtId="44" fontId="2" fillId="0" borderId="39" xfId="1" applyFont="1" applyFill="1" applyBorder="1"/>
    <xf numFmtId="166" fontId="10" fillId="0" borderId="0" xfId="0" applyNumberFormat="1" applyFont="1" applyFill="1" applyBorder="1"/>
    <xf numFmtId="15" fontId="2" fillId="0" borderId="40" xfId="0" applyNumberFormat="1" applyFont="1" applyFill="1" applyBorder="1"/>
    <xf numFmtId="0" fontId="23" fillId="0" borderId="0" xfId="0" applyFont="1" applyFill="1" applyBorder="1" applyAlignment="1">
      <alignment horizontal="center"/>
    </xf>
    <xf numFmtId="15" fontId="2" fillId="0" borderId="0" xfId="0" applyNumberFormat="1" applyFont="1" applyFill="1" applyBorder="1"/>
    <xf numFmtId="44" fontId="2" fillId="0" borderId="5" xfId="1" applyFont="1" applyFill="1" applyBorder="1"/>
    <xf numFmtId="44" fontId="13" fillId="0" borderId="41" xfId="1" applyFont="1" applyFill="1" applyBorder="1" applyAlignment="1">
      <alignment horizontal="center" vertical="center"/>
    </xf>
    <xf numFmtId="44" fontId="13" fillId="0" borderId="42" xfId="1" applyFont="1" applyFill="1" applyBorder="1" applyAlignment="1">
      <alignment horizontal="center" vertical="center"/>
    </xf>
    <xf numFmtId="164" fontId="2" fillId="0" borderId="17" xfId="0" applyNumberFormat="1" applyFont="1" applyBorder="1" applyAlignment="1">
      <alignment horizontal="center"/>
    </xf>
    <xf numFmtId="166" fontId="19" fillId="0" borderId="0" xfId="0" applyNumberFormat="1" applyFont="1" applyAlignment="1">
      <alignment horizontal="left"/>
    </xf>
    <xf numFmtId="15" fontId="2" fillId="0" borderId="40" xfId="0" applyNumberFormat="1" applyFont="1" applyBorder="1"/>
    <xf numFmtId="15" fontId="2" fillId="0" borderId="30" xfId="0" applyNumberFormat="1" applyFont="1" applyBorder="1"/>
    <xf numFmtId="165" fontId="18" fillId="0" borderId="21" xfId="1" applyNumberFormat="1" applyFont="1" applyFill="1" applyBorder="1" applyAlignment="1">
      <alignment horizontal="center"/>
    </xf>
    <xf numFmtId="44" fontId="2" fillId="0" borderId="23" xfId="1" applyFont="1" applyFill="1" applyBorder="1"/>
    <xf numFmtId="164" fontId="19" fillId="0" borderId="43" xfId="0" applyNumberFormat="1" applyFont="1" applyBorder="1" applyAlignment="1">
      <alignment horizontal="center"/>
    </xf>
    <xf numFmtId="44" fontId="10" fillId="0" borderId="44" xfId="1" applyFont="1" applyBorder="1"/>
    <xf numFmtId="0" fontId="0" fillId="0" borderId="45" xfId="0" applyBorder="1"/>
    <xf numFmtId="0" fontId="24" fillId="0" borderId="45" xfId="0" applyFont="1" applyBorder="1" applyAlignment="1">
      <alignment horizontal="center"/>
    </xf>
    <xf numFmtId="44" fontId="25" fillId="0" borderId="45" xfId="1" applyFont="1" applyBorder="1"/>
    <xf numFmtId="0" fontId="2" fillId="0" borderId="45" xfId="0" applyFont="1" applyBorder="1" applyAlignment="1">
      <alignment horizontal="center"/>
    </xf>
    <xf numFmtId="44" fontId="2" fillId="0" borderId="46" xfId="1" applyFont="1" applyBorder="1"/>
    <xf numFmtId="165" fontId="2" fillId="0" borderId="0" xfId="1" applyNumberFormat="1" applyFont="1" applyBorder="1"/>
    <xf numFmtId="166" fontId="2" fillId="0" borderId="47" xfId="0" applyNumberFormat="1" applyFont="1" applyBorder="1" applyAlignment="1">
      <alignment horizontal="center"/>
    </xf>
    <xf numFmtId="44" fontId="2" fillId="0" borderId="48" xfId="1" applyFont="1" applyBorder="1"/>
    <xf numFmtId="44" fontId="3" fillId="0" borderId="0" xfId="1" applyFont="1"/>
    <xf numFmtId="164" fontId="0" fillId="0" borderId="0" xfId="0" applyNumberFormat="1" applyAlignment="1">
      <alignment horizontal="center"/>
    </xf>
    <xf numFmtId="0" fontId="2" fillId="0" borderId="0" xfId="0" applyFont="1"/>
    <xf numFmtId="164" fontId="21" fillId="0" borderId="0" xfId="0" applyNumberFormat="1" applyFont="1" applyAlignment="1">
      <alignment horizontal="center"/>
    </xf>
    <xf numFmtId="165" fontId="10" fillId="0" borderId="49" xfId="0" applyNumberFormat="1" applyFont="1" applyBorder="1" applyAlignment="1">
      <alignment horizontal="center" vertical="center" wrapText="1"/>
    </xf>
    <xf numFmtId="44" fontId="3" fillId="0" borderId="25" xfId="1" applyFont="1" applyBorder="1"/>
    <xf numFmtId="44" fontId="10" fillId="0" borderId="0" xfId="1" applyFont="1" applyAlignment="1">
      <alignment horizontal="center" vertical="center" wrapText="1"/>
    </xf>
    <xf numFmtId="165" fontId="10" fillId="0" borderId="0" xfId="1" applyNumberFormat="1" applyFont="1" applyAlignment="1">
      <alignment horizontal="center" vertical="center" wrapText="1"/>
    </xf>
    <xf numFmtId="44" fontId="3" fillId="0" borderId="6" xfId="1" applyFont="1" applyBorder="1"/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vertical="center"/>
    </xf>
    <xf numFmtId="44" fontId="12" fillId="0" borderId="0" xfId="1" applyFont="1"/>
    <xf numFmtId="0" fontId="2" fillId="0" borderId="26" xfId="0" applyFont="1" applyBorder="1" applyAlignment="1">
      <alignment horizontal="left"/>
    </xf>
    <xf numFmtId="165" fontId="3" fillId="0" borderId="50" xfId="0" applyNumberFormat="1" applyFont="1" applyBorder="1" applyAlignment="1">
      <alignment vertical="center"/>
    </xf>
    <xf numFmtId="0" fontId="2" fillId="0" borderId="0" xfId="0" applyFont="1" applyAlignment="1">
      <alignment horizontal="right"/>
    </xf>
    <xf numFmtId="44" fontId="3" fillId="0" borderId="25" xfId="1" applyFont="1" applyFill="1" applyBorder="1"/>
    <xf numFmtId="168" fontId="26" fillId="0" borderId="26" xfId="1" applyNumberFormat="1" applyFont="1" applyBorder="1"/>
    <xf numFmtId="44" fontId="27" fillId="0" borderId="5" xfId="1" applyFont="1" applyBorder="1"/>
    <xf numFmtId="44" fontId="28" fillId="0" borderId="0" xfId="1" applyFont="1"/>
    <xf numFmtId="0" fontId="28" fillId="0" borderId="0" xfId="0" applyFont="1" applyAlignment="1">
      <alignment horizontal="center"/>
    </xf>
    <xf numFmtId="0" fontId="19" fillId="0" borderId="0" xfId="0" applyFont="1"/>
    <xf numFmtId="44" fontId="23" fillId="0" borderId="0" xfId="1" applyFont="1"/>
    <xf numFmtId="165" fontId="2" fillId="0" borderId="0" xfId="0" applyNumberFormat="1" applyFont="1" applyAlignment="1">
      <alignment horizontal="center"/>
    </xf>
    <xf numFmtId="44" fontId="2" fillId="0" borderId="0" xfId="1" applyFont="1" applyFill="1" applyBorder="1" applyAlignment="1"/>
    <xf numFmtId="44" fontId="29" fillId="0" borderId="0" xfId="1" applyFont="1" applyFill="1" applyBorder="1" applyAlignment="1">
      <alignment vertical="center"/>
    </xf>
    <xf numFmtId="164" fontId="2" fillId="0" borderId="0" xfId="0" applyNumberFormat="1" applyFont="1" applyAlignment="1">
      <alignment horizontal="left"/>
    </xf>
    <xf numFmtId="0" fontId="10" fillId="0" borderId="0" xfId="0" applyFont="1"/>
    <xf numFmtId="0" fontId="20" fillId="0" borderId="0" xfId="0" applyFont="1"/>
    <xf numFmtId="44" fontId="30" fillId="0" borderId="0" xfId="1" applyFont="1"/>
    <xf numFmtId="166" fontId="10" fillId="0" borderId="0" xfId="0" applyNumberFormat="1" applyFont="1" applyAlignment="1">
      <alignment horizontal="left"/>
    </xf>
    <xf numFmtId="44" fontId="1" fillId="0" borderId="0" xfId="1" applyBorder="1"/>
    <xf numFmtId="44" fontId="0" fillId="0" borderId="0" xfId="1" applyFont="1" applyBorder="1"/>
    <xf numFmtId="0" fontId="0" fillId="0" borderId="0" xfId="0" applyFill="1" applyBorder="1"/>
    <xf numFmtId="44" fontId="1" fillId="0" borderId="0" xfId="1" applyFill="1" applyBorder="1"/>
    <xf numFmtId="165" fontId="2" fillId="0" borderId="0" xfId="0" applyNumberFormat="1" applyFont="1" applyFill="1" applyBorder="1" applyAlignment="1">
      <alignment horizontal="left"/>
    </xf>
    <xf numFmtId="0" fontId="3" fillId="0" borderId="0" xfId="0" applyFont="1" applyBorder="1" applyAlignment="1">
      <alignment horizontal="center"/>
    </xf>
    <xf numFmtId="44" fontId="3" fillId="0" borderId="0" xfId="1" applyFont="1" applyBorder="1" applyAlignment="1">
      <alignment horizontal="center"/>
    </xf>
    <xf numFmtId="44" fontId="3" fillId="0" borderId="5" xfId="1" applyFont="1" applyBorder="1" applyAlignment="1">
      <alignment horizontal="center"/>
    </xf>
    <xf numFmtId="164" fontId="35" fillId="0" borderId="25" xfId="0" applyNumberFormat="1" applyFont="1" applyFill="1" applyBorder="1" applyAlignment="1">
      <alignment horizontal="center"/>
    </xf>
    <xf numFmtId="1" fontId="36" fillId="0" borderId="25" xfId="0" applyNumberFormat="1" applyFont="1" applyFill="1" applyBorder="1" applyAlignment="1">
      <alignment horizontal="center"/>
    </xf>
    <xf numFmtId="164" fontId="10" fillId="0" borderId="25" xfId="0" applyNumberFormat="1" applyFont="1" applyFill="1" applyBorder="1" applyAlignment="1">
      <alignment vertical="center" textRotation="255"/>
    </xf>
    <xf numFmtId="44" fontId="38" fillId="0" borderId="53" xfId="1" applyFont="1" applyFill="1" applyBorder="1"/>
    <xf numFmtId="0" fontId="12" fillId="0" borderId="0" xfId="0" applyFont="1"/>
    <xf numFmtId="1" fontId="39" fillId="0" borderId="25" xfId="0" applyNumberFormat="1" applyFont="1" applyFill="1" applyBorder="1" applyAlignment="1">
      <alignment horizontal="center"/>
    </xf>
    <xf numFmtId="164" fontId="2" fillId="0" borderId="25" xfId="0" applyNumberFormat="1" applyFont="1" applyFill="1" applyBorder="1" applyAlignment="1">
      <alignment horizontal="center"/>
    </xf>
    <xf numFmtId="164" fontId="35" fillId="6" borderId="25" xfId="0" applyNumberFormat="1" applyFont="1" applyFill="1" applyBorder="1" applyAlignment="1">
      <alignment horizontal="center"/>
    </xf>
    <xf numFmtId="1" fontId="39" fillId="6" borderId="25" xfId="0" applyNumberFormat="1" applyFont="1" applyFill="1" applyBorder="1" applyAlignment="1">
      <alignment horizontal="center"/>
    </xf>
    <xf numFmtId="44" fontId="2" fillId="6" borderId="25" xfId="1" applyFont="1" applyFill="1" applyBorder="1"/>
    <xf numFmtId="164" fontId="35" fillId="6" borderId="54" xfId="0" applyNumberFormat="1" applyFont="1" applyFill="1" applyBorder="1" applyAlignment="1">
      <alignment horizontal="center"/>
    </xf>
    <xf numFmtId="1" fontId="39" fillId="6" borderId="54" xfId="0" applyNumberFormat="1" applyFont="1" applyFill="1" applyBorder="1" applyAlignment="1">
      <alignment horizontal="center"/>
    </xf>
    <xf numFmtId="44" fontId="2" fillId="6" borderId="0" xfId="1" applyFont="1" applyFill="1" applyBorder="1"/>
    <xf numFmtId="164" fontId="2" fillId="0" borderId="0" xfId="0" applyNumberFormat="1" applyFont="1" applyAlignment="1">
      <alignment horizontal="center"/>
    </xf>
    <xf numFmtId="164" fontId="2" fillId="0" borderId="25" xfId="0" applyNumberFormat="1" applyFont="1" applyBorder="1" applyAlignment="1">
      <alignment horizontal="center"/>
    </xf>
    <xf numFmtId="164" fontId="35" fillId="0" borderId="55" xfId="0" applyNumberFormat="1" applyFont="1" applyBorder="1" applyAlignment="1">
      <alignment horizontal="center"/>
    </xf>
    <xf numFmtId="1" fontId="39" fillId="0" borderId="55" xfId="0" applyNumberFormat="1" applyFont="1" applyBorder="1" applyAlignment="1">
      <alignment horizontal="center"/>
    </xf>
    <xf numFmtId="44" fontId="2" fillId="0" borderId="6" xfId="1" applyFont="1" applyFill="1" applyBorder="1"/>
    <xf numFmtId="164" fontId="2" fillId="0" borderId="6" xfId="0" applyNumberFormat="1" applyFont="1" applyBorder="1" applyAlignment="1">
      <alignment horizontal="center"/>
    </xf>
    <xf numFmtId="44" fontId="37" fillId="3" borderId="53" xfId="1" applyFont="1" applyFill="1" applyBorder="1"/>
    <xf numFmtId="44" fontId="11" fillId="0" borderId="0" xfId="1" applyFont="1"/>
    <xf numFmtId="0" fontId="33" fillId="7" borderId="7" xfId="0" applyFont="1" applyFill="1" applyBorder="1" applyAlignment="1">
      <alignment vertical="center"/>
    </xf>
    <xf numFmtId="0" fontId="0" fillId="7" borderId="8" xfId="0" applyFill="1" applyBorder="1"/>
    <xf numFmtId="44" fontId="1" fillId="7" borderId="8" xfId="1" applyFill="1" applyBorder="1"/>
    <xf numFmtId="164" fontId="34" fillId="7" borderId="52" xfId="0" applyNumberFormat="1" applyFont="1" applyFill="1" applyBorder="1" applyAlignment="1">
      <alignment horizontal="center" vertical="center"/>
    </xf>
    <xf numFmtId="44" fontId="2" fillId="8" borderId="20" xfId="1" applyFont="1" applyFill="1" applyBorder="1"/>
    <xf numFmtId="44" fontId="2" fillId="8" borderId="22" xfId="1" applyFont="1" applyFill="1" applyBorder="1"/>
    <xf numFmtId="44" fontId="2" fillId="8" borderId="18" xfId="1" applyFont="1" applyFill="1" applyBorder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1" fillId="0" borderId="0" xfId="0" applyFont="1" applyFill="1" applyAlignment="1">
      <alignment horizontal="center"/>
    </xf>
    <xf numFmtId="44" fontId="3" fillId="0" borderId="0" xfId="1" applyFont="1" applyFill="1" applyAlignment="1">
      <alignment horizontal="center"/>
    </xf>
    <xf numFmtId="0" fontId="12" fillId="0" borderId="9" xfId="0" applyFont="1" applyBorder="1" applyAlignment="1">
      <alignment horizontal="center"/>
    </xf>
    <xf numFmtId="165" fontId="20" fillId="0" borderId="27" xfId="0" applyNumberFormat="1" applyFont="1" applyFill="1" applyBorder="1" applyAlignment="1">
      <alignment horizontal="center"/>
    </xf>
    <xf numFmtId="16" fontId="20" fillId="0" borderId="25" xfId="0" applyNumberFormat="1" applyFont="1" applyFill="1" applyBorder="1" applyAlignment="1">
      <alignment horizontal="center"/>
    </xf>
    <xf numFmtId="0" fontId="21" fillId="0" borderId="25" xfId="0" applyFont="1" applyFill="1" applyBorder="1" applyAlignment="1">
      <alignment horizontal="center" wrapText="1"/>
    </xf>
    <xf numFmtId="16" fontId="22" fillId="0" borderId="27" xfId="0" applyNumberFormat="1" applyFont="1" applyFill="1" applyBorder="1" applyAlignment="1">
      <alignment horizontal="center"/>
    </xf>
    <xf numFmtId="165" fontId="2" fillId="0" borderId="27" xfId="0" applyNumberFormat="1" applyFont="1" applyFill="1" applyBorder="1" applyAlignment="1">
      <alignment horizontal="center"/>
    </xf>
    <xf numFmtId="0" fontId="2" fillId="0" borderId="27" xfId="0" applyFont="1" applyFill="1" applyBorder="1" applyAlignment="1">
      <alignment horizontal="center"/>
    </xf>
    <xf numFmtId="0" fontId="20" fillId="0" borderId="27" xfId="0" applyFont="1" applyFill="1" applyBorder="1" applyAlignment="1">
      <alignment horizontal="center"/>
    </xf>
    <xf numFmtId="0" fontId="20" fillId="0" borderId="25" xfId="0" applyFont="1" applyFill="1" applyBorder="1" applyAlignment="1">
      <alignment horizontal="center"/>
    </xf>
    <xf numFmtId="16" fontId="2" fillId="0" borderId="28" xfId="0" applyNumberFormat="1" applyFont="1" applyFill="1" applyBorder="1" applyAlignment="1">
      <alignment horizontal="center"/>
    </xf>
    <xf numFmtId="0" fontId="19" fillId="0" borderId="0" xfId="0" applyFont="1" applyFill="1" applyAlignment="1">
      <alignment horizontal="center"/>
    </xf>
    <xf numFmtId="0" fontId="19" fillId="0" borderId="25" xfId="0" applyFont="1" applyFill="1" applyBorder="1" applyAlignment="1">
      <alignment horizontal="center" wrapText="1"/>
    </xf>
    <xf numFmtId="166" fontId="12" fillId="0" borderId="0" xfId="0" applyNumberFormat="1" applyFont="1" applyAlignment="1">
      <alignment horizontal="center"/>
    </xf>
    <xf numFmtId="44" fontId="29" fillId="0" borderId="0" xfId="1" applyFont="1" applyFill="1" applyBorder="1" applyAlignment="1">
      <alignment horizontal="center" vertical="center"/>
    </xf>
    <xf numFmtId="16" fontId="2" fillId="3" borderId="25" xfId="0" applyNumberFormat="1" applyFont="1" applyFill="1" applyBorder="1" applyAlignment="1">
      <alignment horizontal="center"/>
    </xf>
    <xf numFmtId="44" fontId="2" fillId="3" borderId="26" xfId="1" applyFont="1" applyFill="1" applyBorder="1"/>
    <xf numFmtId="44" fontId="16" fillId="6" borderId="23" xfId="1" applyFont="1" applyFill="1" applyBorder="1"/>
    <xf numFmtId="44" fontId="38" fillId="0" borderId="53" xfId="1" applyFont="1" applyBorder="1"/>
    <xf numFmtId="164" fontId="2" fillId="6" borderId="25" xfId="0" applyNumberFormat="1" applyFont="1" applyFill="1" applyBorder="1" applyAlignment="1">
      <alignment horizontal="center"/>
    </xf>
    <xf numFmtId="1" fontId="39" fillId="6" borderId="25" xfId="0" applyNumberFormat="1" applyFont="1" applyFill="1" applyBorder="1" applyAlignment="1">
      <alignment horizontal="center" wrapText="1"/>
    </xf>
    <xf numFmtId="44" fontId="10" fillId="6" borderId="25" xfId="1" applyFont="1" applyFill="1" applyBorder="1"/>
    <xf numFmtId="0" fontId="33" fillId="9" borderId="7" xfId="0" applyFont="1" applyFill="1" applyBorder="1" applyAlignment="1">
      <alignment vertical="center"/>
    </xf>
    <xf numFmtId="44" fontId="1" fillId="9" borderId="8" xfId="1" applyFill="1" applyBorder="1"/>
    <xf numFmtId="0" fontId="42" fillId="0" borderId="6" xfId="0" applyFont="1" applyBorder="1" applyAlignment="1">
      <alignment horizontal="left"/>
    </xf>
    <xf numFmtId="44" fontId="44" fillId="6" borderId="25" xfId="1" applyFont="1" applyFill="1" applyBorder="1"/>
    <xf numFmtId="15" fontId="2" fillId="10" borderId="25" xfId="0" applyNumberFormat="1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/>
    </xf>
    <xf numFmtId="0" fontId="19" fillId="9" borderId="8" xfId="0" applyFont="1" applyFill="1" applyBorder="1"/>
    <xf numFmtId="16" fontId="19" fillId="0" borderId="0" xfId="0" applyNumberFormat="1" applyFont="1"/>
    <xf numFmtId="0" fontId="10" fillId="10" borderId="25" xfId="0" applyFont="1" applyFill="1" applyBorder="1" applyAlignment="1">
      <alignment horizontal="center" vertical="center"/>
    </xf>
    <xf numFmtId="44" fontId="3" fillId="10" borderId="25" xfId="1" applyFont="1" applyFill="1" applyBorder="1" applyAlignment="1">
      <alignment horizontal="center" vertical="center"/>
    </xf>
    <xf numFmtId="0" fontId="10" fillId="3" borderId="25" xfId="0" applyFont="1" applyFill="1" applyBorder="1" applyAlignment="1">
      <alignment horizontal="center" vertical="center"/>
    </xf>
    <xf numFmtId="44" fontId="12" fillId="3" borderId="25" xfId="1" applyFont="1" applyFill="1" applyBorder="1" applyAlignment="1">
      <alignment horizontal="center" vertical="center"/>
    </xf>
    <xf numFmtId="0" fontId="45" fillId="3" borderId="0" xfId="0" applyFont="1" applyFill="1" applyAlignment="1">
      <alignment horizontal="center"/>
    </xf>
    <xf numFmtId="0" fontId="2" fillId="6" borderId="25" xfId="0" applyFont="1" applyFill="1" applyBorder="1" applyAlignment="1">
      <alignment horizontal="center"/>
    </xf>
    <xf numFmtId="0" fontId="2" fillId="9" borderId="25" xfId="0" applyFont="1" applyFill="1" applyBorder="1" applyAlignment="1">
      <alignment horizontal="center"/>
    </xf>
    <xf numFmtId="44" fontId="41" fillId="6" borderId="50" xfId="1" applyFont="1" applyFill="1" applyBorder="1"/>
    <xf numFmtId="44" fontId="11" fillId="9" borderId="50" xfId="1" applyFont="1" applyFill="1" applyBorder="1"/>
    <xf numFmtId="44" fontId="46" fillId="6" borderId="50" xfId="1" applyFont="1" applyFill="1" applyBorder="1"/>
    <xf numFmtId="44" fontId="3" fillId="9" borderId="50" xfId="1" applyFont="1" applyFill="1" applyBorder="1"/>
    <xf numFmtId="44" fontId="2" fillId="0" borderId="50" xfId="1" applyFont="1" applyFill="1" applyBorder="1"/>
    <xf numFmtId="44" fontId="2" fillId="9" borderId="50" xfId="1" applyFont="1" applyFill="1" applyBorder="1"/>
    <xf numFmtId="1" fontId="39" fillId="11" borderId="25" xfId="0" applyNumberFormat="1" applyFont="1" applyFill="1" applyBorder="1" applyAlignment="1">
      <alignment horizontal="center"/>
    </xf>
    <xf numFmtId="44" fontId="3" fillId="11" borderId="0" xfId="1" applyFont="1" applyFill="1"/>
    <xf numFmtId="1" fontId="39" fillId="0" borderId="54" xfId="0" applyNumberFormat="1" applyFont="1" applyBorder="1" applyAlignment="1">
      <alignment horizontal="center"/>
    </xf>
    <xf numFmtId="0" fontId="2" fillId="0" borderId="57" xfId="0" applyFont="1" applyBorder="1"/>
    <xf numFmtId="44" fontId="13" fillId="6" borderId="58" xfId="1" applyFont="1" applyFill="1" applyBorder="1"/>
    <xf numFmtId="0" fontId="2" fillId="0" borderId="33" xfId="0" applyFont="1" applyBorder="1"/>
    <xf numFmtId="44" fontId="2" fillId="0" borderId="59" xfId="1" applyFont="1" applyBorder="1"/>
    <xf numFmtId="44" fontId="2" fillId="0" borderId="21" xfId="1" applyFont="1" applyFill="1" applyBorder="1"/>
    <xf numFmtId="44" fontId="2" fillId="0" borderId="56" xfId="1" applyFont="1" applyFill="1" applyBorder="1"/>
    <xf numFmtId="44" fontId="2" fillId="0" borderId="60" xfId="1" applyFont="1" applyFill="1" applyBorder="1"/>
    <xf numFmtId="44" fontId="47" fillId="0" borderId="0" xfId="1" applyFont="1" applyFill="1"/>
    <xf numFmtId="15" fontId="2" fillId="0" borderId="25" xfId="0" applyNumberFormat="1" applyFont="1" applyFill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44" fontId="3" fillId="0" borderId="25" xfId="1" applyFont="1" applyFill="1" applyBorder="1" applyAlignment="1">
      <alignment horizontal="center" vertical="center"/>
    </xf>
    <xf numFmtId="44" fontId="12" fillId="0" borderId="25" xfId="1" applyFont="1" applyFill="1" applyBorder="1" applyAlignment="1">
      <alignment horizontal="center" vertical="center"/>
    </xf>
    <xf numFmtId="16" fontId="2" fillId="0" borderId="25" xfId="0" applyNumberFormat="1" applyFont="1" applyFill="1" applyBorder="1" applyAlignment="1">
      <alignment horizontal="center"/>
    </xf>
    <xf numFmtId="0" fontId="45" fillId="0" borderId="0" xfId="0" applyFont="1" applyFill="1" applyAlignment="1">
      <alignment horizontal="center"/>
    </xf>
    <xf numFmtId="0" fontId="48" fillId="0" borderId="0" xfId="0" applyFont="1" applyFill="1"/>
    <xf numFmtId="44" fontId="2" fillId="12" borderId="26" xfId="1" applyFont="1" applyFill="1" applyBorder="1" applyAlignment="1">
      <alignment horizontal="right"/>
    </xf>
    <xf numFmtId="44" fontId="2" fillId="0" borderId="0" xfId="1" applyFont="1" applyAlignment="1">
      <alignment horizontal="center"/>
    </xf>
    <xf numFmtId="44" fontId="2" fillId="0" borderId="0" xfId="1" applyFont="1" applyFill="1" applyAlignment="1">
      <alignment horizontal="center"/>
    </xf>
    <xf numFmtId="44" fontId="2" fillId="6" borderId="0" xfId="1" applyFont="1" applyFill="1" applyAlignment="1">
      <alignment horizontal="center"/>
    </xf>
    <xf numFmtId="0" fontId="0" fillId="13" borderId="0" xfId="0" applyFill="1"/>
    <xf numFmtId="44" fontId="19" fillId="13" borderId="50" xfId="1" applyFont="1" applyFill="1" applyBorder="1" applyAlignment="1">
      <alignment horizontal="left"/>
    </xf>
    <xf numFmtId="0" fontId="2" fillId="12" borderId="25" xfId="0" applyFont="1" applyFill="1" applyBorder="1" applyAlignment="1">
      <alignment horizontal="center"/>
    </xf>
    <xf numFmtId="44" fontId="3" fillId="0" borderId="0" xfId="1" applyFont="1" applyFill="1" applyBorder="1"/>
    <xf numFmtId="44" fontId="3" fillId="14" borderId="61" xfId="1" applyFont="1" applyFill="1" applyBorder="1"/>
    <xf numFmtId="44" fontId="3" fillId="14" borderId="63" xfId="1" applyFont="1" applyFill="1" applyBorder="1"/>
    <xf numFmtId="44" fontId="3" fillId="0" borderId="63" xfId="1" applyFont="1" applyFill="1" applyBorder="1"/>
    <xf numFmtId="164" fontId="2" fillId="0" borderId="24" xfId="1" applyNumberFormat="1" applyFont="1" applyFill="1" applyBorder="1" applyAlignment="1">
      <alignment horizontal="center"/>
    </xf>
    <xf numFmtId="164" fontId="2" fillId="0" borderId="62" xfId="1" applyNumberFormat="1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164" fontId="2" fillId="0" borderId="64" xfId="1" applyNumberFormat="1" applyFont="1" applyFill="1" applyBorder="1"/>
    <xf numFmtId="0" fontId="3" fillId="0" borderId="0" xfId="0" applyFont="1" applyFill="1" applyAlignment="1">
      <alignment horizontal="center"/>
    </xf>
    <xf numFmtId="14" fontId="3" fillId="0" borderId="0" xfId="0" applyNumberFormat="1" applyFont="1" applyFill="1" applyAlignment="1">
      <alignment horizontal="left"/>
    </xf>
    <xf numFmtId="44" fontId="3" fillId="0" borderId="25" xfId="0" applyNumberFormat="1" applyFont="1" applyFill="1" applyBorder="1"/>
    <xf numFmtId="44" fontId="3" fillId="0" borderId="21" xfId="0" applyNumberFormat="1" applyFont="1" applyFill="1" applyBorder="1"/>
    <xf numFmtId="49" fontId="3" fillId="0" borderId="25" xfId="0" applyNumberFormat="1" applyFont="1" applyFill="1" applyBorder="1"/>
    <xf numFmtId="49" fontId="3" fillId="0" borderId="25" xfId="0" applyNumberFormat="1" applyFont="1" applyFill="1" applyBorder="1" applyAlignment="1">
      <alignment horizontal="center"/>
    </xf>
    <xf numFmtId="16" fontId="19" fillId="0" borderId="25" xfId="0" applyNumberFormat="1" applyFont="1" applyFill="1" applyBorder="1" applyAlignment="1">
      <alignment horizontal="center"/>
    </xf>
    <xf numFmtId="16" fontId="10" fillId="0" borderId="0" xfId="0" applyNumberFormat="1" applyFont="1" applyFill="1" applyAlignment="1">
      <alignment horizontal="center" wrapText="1"/>
    </xf>
    <xf numFmtId="16" fontId="10" fillId="0" borderId="25" xfId="0" applyNumberFormat="1" applyFont="1" applyFill="1" applyBorder="1" applyAlignment="1">
      <alignment horizontal="center"/>
    </xf>
    <xf numFmtId="16" fontId="19" fillId="0" borderId="0" xfId="0" applyNumberFormat="1" applyFont="1" applyFill="1" applyAlignment="1">
      <alignment horizontal="center"/>
    </xf>
    <xf numFmtId="165" fontId="0" fillId="9" borderId="8" xfId="0" applyNumberFormat="1" applyFill="1" applyBorder="1"/>
    <xf numFmtId="165" fontId="3" fillId="0" borderId="0" xfId="0" applyNumberFormat="1" applyFont="1" applyBorder="1" applyAlignment="1">
      <alignment horizontal="center"/>
    </xf>
    <xf numFmtId="165" fontId="2" fillId="0" borderId="25" xfId="0" applyNumberFormat="1" applyFont="1" applyFill="1" applyBorder="1" applyAlignment="1">
      <alignment horizontal="center"/>
    </xf>
    <xf numFmtId="165" fontId="2" fillId="0" borderId="25" xfId="0" applyNumberFormat="1" applyFont="1" applyBorder="1" applyAlignment="1">
      <alignment horizontal="center"/>
    </xf>
    <xf numFmtId="165" fontId="2" fillId="0" borderId="6" xfId="0" applyNumberFormat="1" applyFont="1" applyBorder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0" xfId="0" applyNumberFormat="1"/>
    <xf numFmtId="165" fontId="10" fillId="0" borderId="25" xfId="0" applyNumberFormat="1" applyFont="1" applyFill="1" applyBorder="1" applyAlignment="1">
      <alignment vertical="center"/>
    </xf>
    <xf numFmtId="164" fontId="10" fillId="0" borderId="25" xfId="0" applyNumberFormat="1" applyFont="1" applyFill="1" applyBorder="1" applyAlignment="1">
      <alignment vertical="center"/>
    </xf>
    <xf numFmtId="49" fontId="3" fillId="6" borderId="25" xfId="0" applyNumberFormat="1" applyFont="1" applyFill="1" applyBorder="1" applyAlignment="1">
      <alignment horizontal="center"/>
    </xf>
    <xf numFmtId="44" fontId="3" fillId="6" borderId="25" xfId="1" applyFont="1" applyFill="1" applyBorder="1"/>
    <xf numFmtId="49" fontId="3" fillId="3" borderId="25" xfId="0" applyNumberFormat="1" applyFont="1" applyFill="1" applyBorder="1" applyAlignment="1">
      <alignment horizontal="center"/>
    </xf>
    <xf numFmtId="44" fontId="3" fillId="3" borderId="25" xfId="1" applyFont="1" applyFill="1" applyBorder="1"/>
    <xf numFmtId="164" fontId="2" fillId="3" borderId="25" xfId="0" applyNumberFormat="1" applyFont="1" applyFill="1" applyBorder="1" applyAlignment="1">
      <alignment horizontal="center"/>
    </xf>
    <xf numFmtId="44" fontId="38" fillId="3" borderId="53" xfId="1" applyFont="1" applyFill="1" applyBorder="1"/>
    <xf numFmtId="165" fontId="18" fillId="0" borderId="25" xfId="1" applyNumberFormat="1" applyFont="1" applyFill="1" applyBorder="1" applyAlignment="1">
      <alignment horizontal="center"/>
    </xf>
    <xf numFmtId="44" fontId="16" fillId="0" borderId="63" xfId="1" applyFont="1" applyFill="1" applyBorder="1"/>
    <xf numFmtId="44" fontId="2" fillId="0" borderId="66" xfId="1" applyFont="1" applyFill="1" applyBorder="1"/>
    <xf numFmtId="44" fontId="13" fillId="0" borderId="0" xfId="1" applyFont="1" applyFill="1" applyBorder="1" applyAlignment="1">
      <alignment horizontal="center" vertical="center"/>
    </xf>
    <xf numFmtId="44" fontId="16" fillId="0" borderId="67" xfId="1" applyFont="1" applyFill="1" applyBorder="1"/>
    <xf numFmtId="44" fontId="2" fillId="0" borderId="68" xfId="1" applyFont="1" applyFill="1" applyBorder="1"/>
    <xf numFmtId="167" fontId="11" fillId="0" borderId="0" xfId="1" applyNumberFormat="1" applyFont="1" applyFill="1" applyBorder="1" applyAlignment="1">
      <alignment vertical="center"/>
    </xf>
    <xf numFmtId="44" fontId="47" fillId="0" borderId="73" xfId="1" applyFont="1" applyFill="1" applyBorder="1"/>
    <xf numFmtId="44" fontId="47" fillId="0" borderId="0" xfId="1" applyFont="1" applyFill="1" applyBorder="1"/>
    <xf numFmtId="44" fontId="41" fillId="0" borderId="0" xfId="1" applyFont="1" applyFill="1" applyBorder="1"/>
    <xf numFmtId="0" fontId="0" fillId="0" borderId="0" xfId="0" applyAlignment="1">
      <alignment vertical="center"/>
    </xf>
    <xf numFmtId="44" fontId="2" fillId="0" borderId="0" xfId="1" applyFont="1" applyFill="1" applyBorder="1" applyAlignment="1">
      <alignment vertical="center"/>
    </xf>
    <xf numFmtId="44" fontId="13" fillId="0" borderId="0" xfId="1" applyFont="1" applyFill="1" applyBorder="1" applyAlignment="1">
      <alignment vertical="center"/>
    </xf>
    <xf numFmtId="44" fontId="39" fillId="0" borderId="25" xfId="1" applyFont="1" applyFill="1" applyBorder="1" applyAlignment="1">
      <alignment horizontal="center"/>
    </xf>
    <xf numFmtId="44" fontId="38" fillId="15" borderId="53" xfId="1" applyFont="1" applyFill="1" applyBorder="1"/>
    <xf numFmtId="44" fontId="2" fillId="15" borderId="25" xfId="1" applyFont="1" applyFill="1" applyBorder="1"/>
    <xf numFmtId="165" fontId="2" fillId="15" borderId="25" xfId="0" applyNumberFormat="1" applyFont="1" applyFill="1" applyBorder="1" applyAlignment="1">
      <alignment horizontal="center"/>
    </xf>
    <xf numFmtId="44" fontId="2" fillId="0" borderId="75" xfId="1" applyFont="1" applyFill="1" applyBorder="1"/>
    <xf numFmtId="44" fontId="2" fillId="0" borderId="76" xfId="1" applyFont="1" applyFill="1" applyBorder="1"/>
    <xf numFmtId="44" fontId="2" fillId="6" borderId="50" xfId="1" applyFont="1" applyFill="1" applyBorder="1" applyAlignment="1">
      <alignment horizontal="center"/>
    </xf>
    <xf numFmtId="0" fontId="2" fillId="16" borderId="58" xfId="0" applyFont="1" applyFill="1" applyBorder="1" applyAlignment="1">
      <alignment horizontal="center"/>
    </xf>
    <xf numFmtId="44" fontId="47" fillId="0" borderId="25" xfId="1" applyFont="1" applyFill="1" applyBorder="1"/>
    <xf numFmtId="49" fontId="2" fillId="0" borderId="25" xfId="0" applyNumberFormat="1" applyFont="1" applyFill="1" applyBorder="1"/>
    <xf numFmtId="44" fontId="13" fillId="3" borderId="5" xfId="1" applyFont="1" applyFill="1" applyBorder="1" applyAlignment="1">
      <alignment horizontal="center"/>
    </xf>
    <xf numFmtId="0" fontId="33" fillId="7" borderId="57" xfId="0" applyFont="1" applyFill="1" applyBorder="1" applyAlignment="1">
      <alignment vertical="center"/>
    </xf>
    <xf numFmtId="0" fontId="0" fillId="7" borderId="77" xfId="0" applyFill="1" applyBorder="1"/>
    <xf numFmtId="44" fontId="1" fillId="7" borderId="77" xfId="1" applyFill="1" applyBorder="1"/>
    <xf numFmtId="49" fontId="3" fillId="0" borderId="78" xfId="0" applyNumberFormat="1" applyFont="1" applyFill="1" applyBorder="1"/>
    <xf numFmtId="49" fontId="3" fillId="6" borderId="0" xfId="0" applyNumberFormat="1" applyFont="1" applyFill="1" applyBorder="1" applyAlignment="1">
      <alignment horizontal="center"/>
    </xf>
    <xf numFmtId="44" fontId="3" fillId="6" borderId="0" xfId="1" applyFont="1" applyFill="1" applyBorder="1"/>
    <xf numFmtId="164" fontId="10" fillId="0" borderId="21" xfId="0" applyNumberFormat="1" applyFont="1" applyFill="1" applyBorder="1" applyAlignment="1">
      <alignment vertical="center" textRotation="255"/>
    </xf>
    <xf numFmtId="0" fontId="3" fillId="0" borderId="47" xfId="0" applyFont="1" applyBorder="1" applyAlignment="1">
      <alignment horizontal="center"/>
    </xf>
    <xf numFmtId="0" fontId="3" fillId="0" borderId="79" xfId="0" applyFont="1" applyBorder="1" applyAlignment="1">
      <alignment horizontal="center"/>
    </xf>
    <xf numFmtId="44" fontId="3" fillId="0" borderId="79" xfId="1" applyFont="1" applyBorder="1" applyAlignment="1">
      <alignment horizontal="center"/>
    </xf>
    <xf numFmtId="44" fontId="3" fillId="0" borderId="48" xfId="1" applyFont="1" applyBorder="1" applyAlignment="1">
      <alignment horizontal="center"/>
    </xf>
    <xf numFmtId="0" fontId="33" fillId="9" borderId="57" xfId="0" applyFont="1" applyFill="1" applyBorder="1" applyAlignment="1">
      <alignment vertical="center"/>
    </xf>
    <xf numFmtId="0" fontId="19" fillId="9" borderId="77" xfId="0" applyFont="1" applyFill="1" applyBorder="1"/>
    <xf numFmtId="44" fontId="1" fillId="9" borderId="77" xfId="1" applyFill="1" applyBorder="1"/>
    <xf numFmtId="164" fontId="34" fillId="7" borderId="80" xfId="0" applyNumberFormat="1" applyFont="1" applyFill="1" applyBorder="1" applyAlignment="1">
      <alignment horizontal="center" vertical="center"/>
    </xf>
    <xf numFmtId="49" fontId="2" fillId="0" borderId="21" xfId="0" applyNumberFormat="1" applyFont="1" applyFill="1" applyBorder="1"/>
    <xf numFmtId="0" fontId="2" fillId="0" borderId="21" xfId="0" applyFont="1" applyFill="1" applyBorder="1" applyAlignment="1">
      <alignment horizontal="center"/>
    </xf>
    <xf numFmtId="44" fontId="3" fillId="0" borderId="21" xfId="1" applyFont="1" applyFill="1" applyBorder="1"/>
    <xf numFmtId="0" fontId="10" fillId="0" borderId="79" xfId="0" applyFont="1" applyBorder="1" applyAlignment="1">
      <alignment horizontal="center"/>
    </xf>
    <xf numFmtId="44" fontId="13" fillId="0" borderId="48" xfId="1" applyFont="1" applyBorder="1" applyAlignment="1">
      <alignment horizontal="center"/>
    </xf>
    <xf numFmtId="0" fontId="48" fillId="0" borderId="0" xfId="0" applyFont="1" applyFill="1" applyBorder="1"/>
    <xf numFmtId="44" fontId="2" fillId="0" borderId="0" xfId="1" applyFont="1" applyFill="1" applyBorder="1" applyAlignment="1">
      <alignment horizontal="center"/>
    </xf>
    <xf numFmtId="44" fontId="3" fillId="0" borderId="28" xfId="1" applyFont="1" applyBorder="1"/>
    <xf numFmtId="0" fontId="42" fillId="0" borderId="25" xfId="0" applyFont="1" applyBorder="1" applyAlignment="1">
      <alignment horizontal="left"/>
    </xf>
    <xf numFmtId="0" fontId="2" fillId="0" borderId="25" xfId="0" applyFont="1" applyBorder="1"/>
    <xf numFmtId="44" fontId="3" fillId="0" borderId="81" xfId="1" applyFont="1" applyBorder="1"/>
    <xf numFmtId="44" fontId="19" fillId="0" borderId="50" xfId="1" applyFont="1" applyFill="1" applyBorder="1" applyAlignment="1">
      <alignment horizontal="left"/>
    </xf>
    <xf numFmtId="44" fontId="47" fillId="0" borderId="26" xfId="1" applyFont="1" applyFill="1" applyBorder="1"/>
    <xf numFmtId="0" fontId="49" fillId="0" borderId="0" xfId="0" applyFont="1" applyFill="1"/>
    <xf numFmtId="44" fontId="2" fillId="0" borderId="84" xfId="1" applyFont="1" applyFill="1" applyBorder="1" applyAlignment="1">
      <alignment horizontal="center"/>
    </xf>
    <xf numFmtId="44" fontId="2" fillId="0" borderId="85" xfId="1" applyFont="1" applyFill="1" applyBorder="1" applyAlignment="1">
      <alignment horizontal="center"/>
    </xf>
    <xf numFmtId="44" fontId="2" fillId="0" borderId="53" xfId="1" applyFont="1" applyFill="1" applyBorder="1" applyAlignment="1">
      <alignment horizontal="center"/>
    </xf>
    <xf numFmtId="0" fontId="2" fillId="3" borderId="77" xfId="0" applyFont="1" applyFill="1" applyBorder="1" applyAlignment="1">
      <alignment horizontal="center" wrapText="1"/>
    </xf>
    <xf numFmtId="44" fontId="2" fillId="18" borderId="83" xfId="1" applyFont="1" applyFill="1" applyBorder="1" applyAlignment="1">
      <alignment horizontal="center"/>
    </xf>
    <xf numFmtId="0" fontId="17" fillId="0" borderId="0" xfId="0" applyFont="1"/>
    <xf numFmtId="44" fontId="3" fillId="0" borderId="26" xfId="1" applyFont="1" applyFill="1" applyBorder="1"/>
    <xf numFmtId="44" fontId="3" fillId="0" borderId="0" xfId="1" applyFont="1" applyAlignment="1">
      <alignment horizontal="center"/>
    </xf>
    <xf numFmtId="44" fontId="2" fillId="0" borderId="25" xfId="1" applyFont="1" applyBorder="1"/>
    <xf numFmtId="0" fontId="17" fillId="0" borderId="0" xfId="0" applyFont="1" applyFill="1"/>
    <xf numFmtId="44" fontId="3" fillId="18" borderId="84" xfId="1" applyFont="1" applyFill="1" applyBorder="1" applyAlignment="1">
      <alignment horizontal="center"/>
    </xf>
    <xf numFmtId="0" fontId="50" fillId="0" borderId="0" xfId="0" applyFont="1"/>
    <xf numFmtId="0" fontId="51" fillId="0" borderId="0" xfId="0" applyFont="1"/>
    <xf numFmtId="166" fontId="10" fillId="8" borderId="10" xfId="0" applyNumberFormat="1" applyFont="1" applyFill="1" applyBorder="1"/>
    <xf numFmtId="165" fontId="2" fillId="8" borderId="7" xfId="0" applyNumberFormat="1" applyFont="1" applyFill="1" applyBorder="1" applyAlignment="1">
      <alignment horizontal="center"/>
    </xf>
    <xf numFmtId="44" fontId="16" fillId="8" borderId="23" xfId="1" applyFont="1" applyFill="1" applyBorder="1"/>
    <xf numFmtId="44" fontId="2" fillId="8" borderId="24" xfId="1" applyFont="1" applyFill="1" applyBorder="1"/>
    <xf numFmtId="44" fontId="2" fillId="0" borderId="5" xfId="1" applyFont="1" applyBorder="1"/>
    <xf numFmtId="44" fontId="47" fillId="6" borderId="26" xfId="1" applyFont="1" applyFill="1" applyBorder="1"/>
    <xf numFmtId="15" fontId="2" fillId="8" borderId="19" xfId="0" applyNumberFormat="1" applyFont="1" applyFill="1" applyBorder="1"/>
    <xf numFmtId="0" fontId="0" fillId="8" borderId="0" xfId="0" applyFill="1"/>
    <xf numFmtId="15" fontId="2" fillId="8" borderId="25" xfId="0" applyNumberFormat="1" applyFont="1" applyFill="1" applyBorder="1"/>
    <xf numFmtId="165" fontId="19" fillId="8" borderId="25" xfId="1" applyNumberFormat="1" applyFont="1" applyFill="1" applyBorder="1" applyAlignment="1">
      <alignment horizontal="center"/>
    </xf>
    <xf numFmtId="0" fontId="19" fillId="8" borderId="25" xfId="0" applyFont="1" applyFill="1" applyBorder="1" applyAlignment="1">
      <alignment horizontal="center"/>
    </xf>
    <xf numFmtId="44" fontId="19" fillId="8" borderId="25" xfId="1" applyFont="1" applyFill="1" applyBorder="1" applyAlignment="1">
      <alignment horizontal="right"/>
    </xf>
    <xf numFmtId="166" fontId="10" fillId="8" borderId="25" xfId="0" applyNumberFormat="1" applyFont="1" applyFill="1" applyBorder="1"/>
    <xf numFmtId="44" fontId="3" fillId="8" borderId="20" xfId="1" applyFont="1" applyFill="1" applyBorder="1" applyAlignment="1">
      <alignment horizontal="center"/>
    </xf>
    <xf numFmtId="44" fontId="2" fillId="8" borderId="22" xfId="1" applyFont="1" applyFill="1" applyBorder="1" applyAlignment="1">
      <alignment horizontal="center"/>
    </xf>
    <xf numFmtId="0" fontId="2" fillId="0" borderId="86" xfId="0" applyFont="1" applyFill="1" applyBorder="1" applyAlignment="1">
      <alignment horizontal="center"/>
    </xf>
    <xf numFmtId="49" fontId="2" fillId="0" borderId="86" xfId="0" applyNumberFormat="1" applyFont="1" applyFill="1" applyBorder="1" applyAlignment="1">
      <alignment horizontal="center"/>
    </xf>
    <xf numFmtId="44" fontId="2" fillId="0" borderId="86" xfId="1" applyFont="1" applyFill="1" applyBorder="1"/>
    <xf numFmtId="49" fontId="2" fillId="0" borderId="88" xfId="0" applyNumberFormat="1" applyFont="1" applyFill="1" applyBorder="1" applyAlignment="1">
      <alignment horizontal="center"/>
    </xf>
    <xf numFmtId="0" fontId="2" fillId="0" borderId="88" xfId="0" applyFont="1" applyFill="1" applyBorder="1" applyAlignment="1">
      <alignment horizontal="center"/>
    </xf>
    <xf numFmtId="44" fontId="2" fillId="0" borderId="88" xfId="1" applyFont="1" applyFill="1" applyBorder="1"/>
    <xf numFmtId="44" fontId="38" fillId="0" borderId="87" xfId="1" applyFont="1" applyFill="1" applyBorder="1"/>
    <xf numFmtId="49" fontId="3" fillId="0" borderId="0" xfId="0" applyNumberFormat="1" applyFont="1"/>
    <xf numFmtId="49" fontId="3" fillId="0" borderId="0" xfId="0" applyNumberFormat="1" applyFont="1" applyAlignment="1">
      <alignment horizontal="center"/>
    </xf>
    <xf numFmtId="164" fontId="35" fillId="0" borderId="54" xfId="0" applyNumberFormat="1" applyFont="1" applyFill="1" applyBorder="1" applyAlignment="1">
      <alignment horizontal="center"/>
    </xf>
    <xf numFmtId="1" fontId="39" fillId="0" borderId="54" xfId="0" applyNumberFormat="1" applyFont="1" applyFill="1" applyBorder="1" applyAlignment="1">
      <alignment horizontal="center"/>
    </xf>
    <xf numFmtId="49" fontId="2" fillId="0" borderId="89" xfId="0" applyNumberFormat="1" applyFont="1" applyFill="1" applyBorder="1" applyAlignment="1">
      <alignment horizontal="center"/>
    </xf>
    <xf numFmtId="0" fontId="2" fillId="0" borderId="89" xfId="0" applyFont="1" applyFill="1" applyBorder="1" applyAlignment="1">
      <alignment horizontal="center"/>
    </xf>
    <xf numFmtId="44" fontId="2" fillId="0" borderId="89" xfId="1" applyFont="1" applyFill="1" applyBorder="1"/>
    <xf numFmtId="44" fontId="38" fillId="0" borderId="90" xfId="1" applyFont="1" applyFill="1" applyBorder="1"/>
    <xf numFmtId="49" fontId="2" fillId="0" borderId="25" xfId="0" applyNumberFormat="1" applyFont="1" applyFill="1" applyBorder="1" applyAlignment="1">
      <alignment horizontal="center"/>
    </xf>
    <xf numFmtId="44" fontId="38" fillId="0" borderId="25" xfId="1" applyFont="1" applyFill="1" applyBorder="1"/>
    <xf numFmtId="44" fontId="52" fillId="15" borderId="53" xfId="1" applyFont="1" applyFill="1" applyBorder="1"/>
    <xf numFmtId="1" fontId="39" fillId="3" borderId="25" xfId="0" applyNumberFormat="1" applyFont="1" applyFill="1" applyBorder="1" applyAlignment="1">
      <alignment horizontal="center"/>
    </xf>
    <xf numFmtId="164" fontId="19" fillId="0" borderId="25" xfId="0" applyNumberFormat="1" applyFont="1" applyFill="1" applyBorder="1" applyAlignment="1"/>
    <xf numFmtId="165" fontId="0" fillId="9" borderId="77" xfId="0" applyNumberFormat="1" applyFill="1" applyBorder="1"/>
    <xf numFmtId="165" fontId="3" fillId="0" borderId="79" xfId="0" applyNumberFormat="1" applyFont="1" applyBorder="1" applyAlignment="1">
      <alignment horizontal="center"/>
    </xf>
    <xf numFmtId="165" fontId="2" fillId="0" borderId="21" xfId="0" applyNumberFormat="1" applyFont="1" applyFill="1" applyBorder="1"/>
    <xf numFmtId="165" fontId="2" fillId="0" borderId="25" xfId="0" applyNumberFormat="1" applyFont="1" applyFill="1" applyBorder="1"/>
    <xf numFmtId="165" fontId="0" fillId="7" borderId="77" xfId="0" applyNumberFormat="1" applyFill="1" applyBorder="1"/>
    <xf numFmtId="165" fontId="3" fillId="0" borderId="0" xfId="0" applyNumberFormat="1" applyFont="1" applyAlignment="1">
      <alignment horizontal="center"/>
    </xf>
    <xf numFmtId="165" fontId="10" fillId="0" borderId="0" xfId="0" applyNumberFormat="1" applyFont="1" applyAlignment="1">
      <alignment horizontal="center"/>
    </xf>
    <xf numFmtId="44" fontId="10" fillId="0" borderId="0" xfId="1" applyFont="1"/>
    <xf numFmtId="164" fontId="3" fillId="3" borderId="25" xfId="0" applyNumberFormat="1" applyFont="1" applyFill="1" applyBorder="1" applyAlignment="1">
      <alignment horizontal="center"/>
    </xf>
    <xf numFmtId="165" fontId="3" fillId="14" borderId="0" xfId="0" applyNumberFormat="1" applyFont="1" applyFill="1" applyAlignment="1">
      <alignment horizontal="center"/>
    </xf>
    <xf numFmtId="164" fontId="33" fillId="7" borderId="80" xfId="0" applyNumberFormat="1" applyFont="1" applyFill="1" applyBorder="1" applyAlignment="1">
      <alignment horizontal="center" vertical="center" wrapText="1"/>
    </xf>
    <xf numFmtId="164" fontId="33" fillId="7" borderId="52" xfId="0" applyNumberFormat="1" applyFont="1" applyFill="1" applyBorder="1" applyAlignment="1">
      <alignment horizontal="center" vertical="center" wrapText="1"/>
    </xf>
    <xf numFmtId="44" fontId="2" fillId="0" borderId="83" xfId="1" applyFont="1" applyFill="1" applyBorder="1" applyAlignment="1">
      <alignment horizontal="center"/>
    </xf>
    <xf numFmtId="44" fontId="3" fillId="0" borderId="0" xfId="1" applyFont="1" applyFill="1" applyBorder="1" applyAlignment="1">
      <alignment horizontal="center"/>
    </xf>
    <xf numFmtId="44" fontId="19" fillId="0" borderId="49" xfId="1" applyFont="1" applyFill="1" applyBorder="1" applyAlignment="1">
      <alignment horizontal="left"/>
    </xf>
    <xf numFmtId="44" fontId="3" fillId="0" borderId="84" xfId="1" applyFont="1" applyFill="1" applyBorder="1" applyAlignment="1">
      <alignment horizontal="center"/>
    </xf>
    <xf numFmtId="44" fontId="3" fillId="0" borderId="20" xfId="1" applyFont="1" applyFill="1" applyBorder="1" applyAlignment="1">
      <alignment horizontal="center"/>
    </xf>
    <xf numFmtId="44" fontId="2" fillId="0" borderId="22" xfId="1" applyFont="1" applyFill="1" applyBorder="1" applyAlignment="1">
      <alignment horizontal="center"/>
    </xf>
    <xf numFmtId="44" fontId="46" fillId="6" borderId="26" xfId="1" applyFont="1" applyFill="1" applyBorder="1"/>
    <xf numFmtId="44" fontId="46" fillId="0" borderId="26" xfId="1" applyFont="1" applyFill="1" applyBorder="1"/>
    <xf numFmtId="44" fontId="41" fillId="0" borderId="26" xfId="1" applyFont="1" applyFill="1" applyBorder="1"/>
    <xf numFmtId="44" fontId="2" fillId="17" borderId="84" xfId="1" applyFont="1" applyFill="1" applyBorder="1" applyAlignment="1">
      <alignment horizontal="center"/>
    </xf>
    <xf numFmtId="44" fontId="3" fillId="17" borderId="84" xfId="1" applyFont="1" applyFill="1" applyBorder="1" applyAlignment="1">
      <alignment horizontal="center"/>
    </xf>
    <xf numFmtId="49" fontId="2" fillId="0" borderId="86" xfId="0" applyNumberFormat="1" applyFont="1" applyFill="1" applyBorder="1"/>
    <xf numFmtId="0" fontId="3" fillId="0" borderId="86" xfId="0" applyFont="1" applyFill="1" applyBorder="1" applyAlignment="1">
      <alignment horizontal="center"/>
    </xf>
    <xf numFmtId="44" fontId="3" fillId="0" borderId="86" xfId="1" applyFont="1" applyFill="1" applyBorder="1"/>
    <xf numFmtId="49" fontId="3" fillId="0" borderId="91" xfId="0" applyNumberFormat="1" applyFont="1" applyFill="1" applyBorder="1"/>
    <xf numFmtId="49" fontId="3" fillId="0" borderId="86" xfId="0" applyNumberFormat="1" applyFont="1" applyFill="1" applyBorder="1"/>
    <xf numFmtId="44" fontId="3" fillId="6" borderId="58" xfId="1" applyFont="1" applyFill="1" applyBorder="1"/>
    <xf numFmtId="165" fontId="2" fillId="18" borderId="25" xfId="0" applyNumberFormat="1" applyFont="1" applyFill="1" applyBorder="1" applyAlignment="1">
      <alignment horizontal="center"/>
    </xf>
    <xf numFmtId="44" fontId="2" fillId="18" borderId="25" xfId="1" applyFont="1" applyFill="1" applyBorder="1"/>
    <xf numFmtId="44" fontId="3" fillId="18" borderId="0" xfId="1" applyFont="1" applyFill="1"/>
    <xf numFmtId="165" fontId="2" fillId="18" borderId="21" xfId="0" applyNumberFormat="1" applyFont="1" applyFill="1" applyBorder="1"/>
    <xf numFmtId="165" fontId="2" fillId="18" borderId="25" xfId="0" applyNumberFormat="1" applyFont="1" applyFill="1" applyBorder="1"/>
    <xf numFmtId="44" fontId="2" fillId="18" borderId="86" xfId="1" applyFont="1" applyFill="1" applyBorder="1"/>
    <xf numFmtId="44" fontId="2" fillId="18" borderId="89" xfId="1" applyFont="1" applyFill="1" applyBorder="1"/>
    <xf numFmtId="44" fontId="2" fillId="18" borderId="88" xfId="1" applyFont="1" applyFill="1" applyBorder="1"/>
    <xf numFmtId="44" fontId="13" fillId="0" borderId="0" xfId="1" applyFont="1" applyBorder="1" applyAlignment="1">
      <alignment vertical="center"/>
    </xf>
    <xf numFmtId="165" fontId="3" fillId="0" borderId="86" xfId="0" applyNumberFormat="1" applyFont="1" applyFill="1" applyBorder="1"/>
    <xf numFmtId="165" fontId="47" fillId="0" borderId="86" xfId="0" applyNumberFormat="1" applyFont="1" applyFill="1" applyBorder="1"/>
    <xf numFmtId="165" fontId="13" fillId="6" borderId="58" xfId="1" applyNumberFormat="1" applyFont="1" applyFill="1" applyBorder="1"/>
    <xf numFmtId="1" fontId="39" fillId="0" borderId="21" xfId="0" applyNumberFormat="1" applyFont="1" applyFill="1" applyBorder="1" applyAlignment="1">
      <alignment horizontal="center"/>
    </xf>
    <xf numFmtId="164" fontId="2" fillId="0" borderId="21" xfId="0" applyNumberFormat="1" applyFont="1" applyFill="1" applyBorder="1" applyAlignment="1">
      <alignment horizontal="center"/>
    </xf>
    <xf numFmtId="44" fontId="3" fillId="0" borderId="89" xfId="1" applyFont="1" applyFill="1" applyBorder="1"/>
    <xf numFmtId="165" fontId="3" fillId="0" borderId="89" xfId="0" applyNumberFormat="1" applyFont="1" applyFill="1" applyBorder="1"/>
    <xf numFmtId="165" fontId="3" fillId="0" borderId="25" xfId="0" applyNumberFormat="1" applyFont="1" applyFill="1" applyBorder="1"/>
    <xf numFmtId="49" fontId="3" fillId="0" borderId="25" xfId="0" applyNumberFormat="1" applyFont="1" applyFill="1" applyBorder="1" applyAlignment="1">
      <alignment vertical="center" wrapText="1"/>
    </xf>
    <xf numFmtId="0" fontId="19" fillId="0" borderId="25" xfId="0" applyFont="1" applyFill="1" applyBorder="1" applyAlignment="1">
      <alignment wrapText="1"/>
    </xf>
    <xf numFmtId="0" fontId="2" fillId="0" borderId="0" xfId="0" applyFont="1" applyFill="1" applyBorder="1" applyAlignment="1">
      <alignment horizontal="center"/>
    </xf>
    <xf numFmtId="164" fontId="2" fillId="0" borderId="54" xfId="0" applyNumberFormat="1" applyFont="1" applyFill="1" applyBorder="1" applyAlignment="1">
      <alignment horizontal="center"/>
    </xf>
    <xf numFmtId="44" fontId="47" fillId="3" borderId="26" xfId="1" applyFont="1" applyFill="1" applyBorder="1"/>
    <xf numFmtId="44" fontId="3" fillId="3" borderId="26" xfId="1" applyFont="1" applyFill="1" applyBorder="1"/>
    <xf numFmtId="44" fontId="3" fillId="0" borderId="73" xfId="1" applyFont="1" applyFill="1" applyBorder="1"/>
    <xf numFmtId="44" fontId="2" fillId="17" borderId="85" xfId="1" applyFont="1" applyFill="1" applyBorder="1" applyAlignment="1">
      <alignment horizontal="center"/>
    </xf>
    <xf numFmtId="0" fontId="54" fillId="9" borderId="0" xfId="0" applyFont="1" applyFill="1"/>
    <xf numFmtId="0" fontId="2" fillId="9" borderId="0" xfId="0" applyFont="1" applyFill="1"/>
    <xf numFmtId="44" fontId="2" fillId="9" borderId="0" xfId="1" applyFont="1" applyFill="1"/>
    <xf numFmtId="44" fontId="55" fillId="0" borderId="15" xfId="0" applyNumberFormat="1" applyFont="1" applyBorder="1"/>
    <xf numFmtId="0" fontId="54" fillId="0" borderId="0" xfId="0" applyFont="1" applyFill="1"/>
    <xf numFmtId="0" fontId="2" fillId="0" borderId="0" xfId="0" applyFont="1" applyFill="1"/>
    <xf numFmtId="15" fontId="33" fillId="7" borderId="57" xfId="0" applyNumberFormat="1" applyFont="1" applyFill="1" applyBorder="1" applyAlignment="1">
      <alignment vertical="center"/>
    </xf>
    <xf numFmtId="15" fontId="3" fillId="0" borderId="47" xfId="0" applyNumberFormat="1" applyFont="1" applyBorder="1" applyAlignment="1">
      <alignment horizontal="center"/>
    </xf>
    <xf numFmtId="15" fontId="3" fillId="0" borderId="91" xfId="0" applyNumberFormat="1" applyFont="1" applyFill="1" applyBorder="1"/>
    <xf numFmtId="15" fontId="3" fillId="0" borderId="26" xfId="0" applyNumberFormat="1" applyFont="1" applyFill="1" applyBorder="1"/>
    <xf numFmtId="15" fontId="3" fillId="0" borderId="25" xfId="0" applyNumberFormat="1" applyFont="1" applyFill="1" applyBorder="1"/>
    <xf numFmtId="15" fontId="35" fillId="0" borderId="25" xfId="0" applyNumberFormat="1" applyFont="1" applyFill="1" applyBorder="1" applyAlignment="1">
      <alignment horizontal="center"/>
    </xf>
    <xf numFmtId="15" fontId="35" fillId="0" borderId="55" xfId="0" applyNumberFormat="1" applyFont="1" applyBorder="1" applyAlignment="1">
      <alignment horizontal="center"/>
    </xf>
    <xf numFmtId="15" fontId="2" fillId="0" borderId="0" xfId="0" applyNumberFormat="1" applyFont="1"/>
    <xf numFmtId="15" fontId="0" fillId="0" borderId="0" xfId="0" applyNumberFormat="1"/>
    <xf numFmtId="0" fontId="0" fillId="7" borderId="77" xfId="0" applyFill="1" applyBorder="1" applyAlignment="1">
      <alignment horizontal="center"/>
    </xf>
    <xf numFmtId="49" fontId="3" fillId="0" borderId="86" xfId="0" applyNumberFormat="1" applyFont="1" applyFill="1" applyBorder="1" applyAlignment="1">
      <alignment horizontal="center"/>
    </xf>
    <xf numFmtId="49" fontId="3" fillId="0" borderId="89" xfId="0" applyNumberFormat="1" applyFont="1" applyFill="1" applyBorder="1" applyAlignment="1">
      <alignment horizontal="center"/>
    </xf>
    <xf numFmtId="49" fontId="3" fillId="0" borderId="25" xfId="0" applyNumberFormat="1" applyFont="1" applyFill="1" applyBorder="1" applyAlignment="1">
      <alignment horizontal="center" vertical="center" wrapText="1"/>
    </xf>
    <xf numFmtId="0" fontId="2" fillId="0" borderId="57" xfId="0" applyFont="1" applyBorder="1" applyAlignment="1">
      <alignment horizontal="center"/>
    </xf>
    <xf numFmtId="0" fontId="2" fillId="0" borderId="33" xfId="0" applyFont="1" applyBorder="1" applyAlignment="1">
      <alignment horizontal="center"/>
    </xf>
    <xf numFmtId="16" fontId="0" fillId="0" borderId="0" xfId="0" applyNumberFormat="1" applyAlignment="1">
      <alignment horizontal="center"/>
    </xf>
    <xf numFmtId="165" fontId="10" fillId="3" borderId="86" xfId="0" applyNumberFormat="1" applyFont="1" applyFill="1" applyBorder="1"/>
    <xf numFmtId="44" fontId="10" fillId="3" borderId="86" xfId="1" applyFont="1" applyFill="1" applyBorder="1"/>
    <xf numFmtId="1" fontId="56" fillId="0" borderId="25" xfId="0" applyNumberFormat="1" applyFont="1" applyFill="1" applyBorder="1" applyAlignment="1">
      <alignment horizontal="center"/>
    </xf>
    <xf numFmtId="15" fontId="57" fillId="0" borderId="25" xfId="0" applyNumberFormat="1" applyFont="1" applyFill="1" applyBorder="1" applyAlignment="1">
      <alignment horizontal="center"/>
    </xf>
    <xf numFmtId="1" fontId="58" fillId="0" borderId="25" xfId="0" applyNumberFormat="1" applyFont="1" applyFill="1" applyBorder="1" applyAlignment="1">
      <alignment horizontal="center"/>
    </xf>
    <xf numFmtId="15" fontId="57" fillId="0" borderId="54" xfId="0" applyNumberFormat="1" applyFont="1" applyFill="1" applyBorder="1" applyAlignment="1">
      <alignment horizontal="center"/>
    </xf>
    <xf numFmtId="1" fontId="58" fillId="0" borderId="54" xfId="0" applyNumberFormat="1" applyFont="1" applyFill="1" applyBorder="1" applyAlignment="1">
      <alignment horizontal="center"/>
    </xf>
    <xf numFmtId="164" fontId="33" fillId="7" borderId="57" xfId="0" applyNumberFormat="1" applyFont="1" applyFill="1" applyBorder="1" applyAlignment="1">
      <alignment vertical="center"/>
    </xf>
    <xf numFmtId="164" fontId="3" fillId="0" borderId="47" xfId="0" applyNumberFormat="1" applyFont="1" applyBorder="1" applyAlignment="1">
      <alignment horizontal="center"/>
    </xf>
    <xf numFmtId="164" fontId="3" fillId="0" borderId="91" xfId="0" applyNumberFormat="1" applyFont="1" applyFill="1" applyBorder="1"/>
    <xf numFmtId="164" fontId="3" fillId="0" borderId="26" xfId="0" applyNumberFormat="1" applyFont="1" applyFill="1" applyBorder="1"/>
    <xf numFmtId="164" fontId="3" fillId="0" borderId="25" xfId="0" applyNumberFormat="1" applyFont="1" applyFill="1" applyBorder="1"/>
    <xf numFmtId="164" fontId="2" fillId="0" borderId="0" xfId="0" applyNumberFormat="1" applyFont="1"/>
    <xf numFmtId="164" fontId="0" fillId="0" borderId="0" xfId="0" applyNumberFormat="1"/>
    <xf numFmtId="44" fontId="0" fillId="0" borderId="0" xfId="0" applyNumberFormat="1"/>
    <xf numFmtId="165" fontId="18" fillId="0" borderId="21" xfId="1" applyNumberFormat="1" applyFont="1" applyFill="1" applyBorder="1" applyAlignment="1">
      <alignment horizontal="right"/>
    </xf>
    <xf numFmtId="0" fontId="19" fillId="6" borderId="25" xfId="0" applyFont="1" applyFill="1" applyBorder="1" applyAlignment="1">
      <alignment horizontal="center"/>
    </xf>
    <xf numFmtId="44" fontId="19" fillId="6" borderId="25" xfId="1" applyFont="1" applyFill="1" applyBorder="1" applyAlignment="1">
      <alignment horizontal="right"/>
    </xf>
    <xf numFmtId="0" fontId="2" fillId="15" borderId="0" xfId="0" applyFont="1" applyFill="1" applyAlignment="1">
      <alignment horizontal="left"/>
    </xf>
    <xf numFmtId="44" fontId="2" fillId="15" borderId="0" xfId="1" applyFont="1" applyFill="1"/>
    <xf numFmtId="165" fontId="0" fillId="15" borderId="0" xfId="0" applyNumberFormat="1" applyFill="1" applyAlignment="1">
      <alignment horizontal="center"/>
    </xf>
    <xf numFmtId="0" fontId="3" fillId="3" borderId="86" xfId="0" applyFont="1" applyFill="1" applyBorder="1" applyAlignment="1">
      <alignment horizontal="center"/>
    </xf>
    <xf numFmtId="165" fontId="2" fillId="6" borderId="28" xfId="0" applyNumberFormat="1" applyFont="1" applyFill="1" applyBorder="1" applyAlignment="1">
      <alignment horizontal="center"/>
    </xf>
    <xf numFmtId="165" fontId="2" fillId="0" borderId="21" xfId="0" applyNumberFormat="1" applyFont="1" applyFill="1" applyBorder="1" applyAlignment="1">
      <alignment horizontal="center"/>
    </xf>
    <xf numFmtId="165" fontId="0" fillId="9" borderId="77" xfId="0" applyNumberFormat="1" applyFill="1" applyBorder="1" applyAlignment="1">
      <alignment horizontal="center"/>
    </xf>
    <xf numFmtId="165" fontId="2" fillId="0" borderId="86" xfId="0" applyNumberFormat="1" applyFont="1" applyFill="1" applyBorder="1" applyAlignment="1">
      <alignment horizontal="center"/>
    </xf>
    <xf numFmtId="165" fontId="2" fillId="6" borderId="86" xfId="0" applyNumberFormat="1" applyFont="1" applyFill="1" applyBorder="1" applyAlignment="1">
      <alignment horizontal="center"/>
    </xf>
    <xf numFmtId="165" fontId="3" fillId="11" borderId="0" xfId="1" applyNumberFormat="1" applyFont="1" applyFill="1" applyAlignment="1">
      <alignment horizontal="center"/>
    </xf>
    <xf numFmtId="164" fontId="0" fillId="9" borderId="77" xfId="0" applyNumberFormat="1" applyFill="1" applyBorder="1"/>
    <xf numFmtId="164" fontId="3" fillId="0" borderId="79" xfId="0" applyNumberFormat="1" applyFont="1" applyBorder="1" applyAlignment="1">
      <alignment horizontal="center"/>
    </xf>
    <xf numFmtId="164" fontId="2" fillId="6" borderId="89" xfId="0" applyNumberFormat="1" applyFont="1" applyFill="1" applyBorder="1"/>
    <xf numFmtId="164" fontId="2" fillId="6" borderId="25" xfId="0" applyNumberFormat="1" applyFont="1" applyFill="1" applyBorder="1"/>
    <xf numFmtId="164" fontId="2" fillId="0" borderId="25" xfId="0" applyNumberFormat="1" applyFont="1" applyFill="1" applyBorder="1"/>
    <xf numFmtId="164" fontId="19" fillId="0" borderId="25" xfId="0" applyNumberFormat="1" applyFont="1" applyFill="1" applyBorder="1" applyAlignment="1">
      <alignment wrapText="1"/>
    </xf>
    <xf numFmtId="164" fontId="3" fillId="11" borderId="0" xfId="1" applyNumberFormat="1" applyFont="1" applyFill="1"/>
    <xf numFmtId="164" fontId="2" fillId="0" borderId="89" xfId="0" applyNumberFormat="1" applyFont="1" applyFill="1" applyBorder="1"/>
    <xf numFmtId="44" fontId="3" fillId="6" borderId="86" xfId="1" applyFont="1" applyFill="1" applyBorder="1"/>
    <xf numFmtId="44" fontId="1" fillId="20" borderId="0" xfId="1" applyFill="1"/>
    <xf numFmtId="0" fontId="3" fillId="15" borderId="0" xfId="0" applyFont="1" applyFill="1"/>
    <xf numFmtId="16" fontId="19" fillId="15" borderId="0" xfId="0" applyNumberFormat="1" applyFont="1" applyFill="1"/>
    <xf numFmtId="44" fontId="1" fillId="15" borderId="0" xfId="1" applyFill="1"/>
    <xf numFmtId="164" fontId="0" fillId="15" borderId="0" xfId="0" applyNumberFormat="1" applyFill="1"/>
    <xf numFmtId="165" fontId="3" fillId="20" borderId="86" xfId="0" applyNumberFormat="1" applyFont="1" applyFill="1" applyBorder="1"/>
    <xf numFmtId="44" fontId="3" fillId="20" borderId="86" xfId="1" applyFont="1" applyFill="1" applyBorder="1"/>
    <xf numFmtId="165" fontId="2" fillId="20" borderId="25" xfId="0" applyNumberFormat="1" applyFont="1" applyFill="1" applyBorder="1" applyAlignment="1">
      <alignment horizontal="center"/>
    </xf>
    <xf numFmtId="44" fontId="3" fillId="20" borderId="25" xfId="1" applyFont="1" applyFill="1" applyBorder="1"/>
    <xf numFmtId="44" fontId="3" fillId="20" borderId="0" xfId="1" applyFont="1" applyFill="1" applyBorder="1"/>
    <xf numFmtId="16" fontId="2" fillId="20" borderId="0" xfId="0" applyNumberFormat="1" applyFont="1" applyFill="1" applyAlignment="1">
      <alignment horizontal="left"/>
    </xf>
    <xf numFmtId="165" fontId="0" fillId="20" borderId="0" xfId="0" applyNumberFormat="1" applyFill="1"/>
    <xf numFmtId="164" fontId="3" fillId="20" borderId="91" xfId="0" applyNumberFormat="1" applyFont="1" applyFill="1" applyBorder="1"/>
    <xf numFmtId="49" fontId="3" fillId="20" borderId="89" xfId="0" applyNumberFormat="1" applyFont="1" applyFill="1" applyBorder="1" applyAlignment="1">
      <alignment horizontal="center"/>
    </xf>
    <xf numFmtId="44" fontId="3" fillId="20" borderId="89" xfId="1" applyFont="1" applyFill="1" applyBorder="1"/>
    <xf numFmtId="49" fontId="3" fillId="20" borderId="25" xfId="0" applyNumberFormat="1" applyFont="1" applyFill="1" applyBorder="1" applyAlignment="1">
      <alignment horizontal="center"/>
    </xf>
    <xf numFmtId="164" fontId="3" fillId="20" borderId="26" xfId="0" applyNumberFormat="1" applyFont="1" applyFill="1" applyBorder="1"/>
    <xf numFmtId="49" fontId="3" fillId="0" borderId="91" xfId="0" applyNumberFormat="1" applyFont="1" applyBorder="1"/>
    <xf numFmtId="0" fontId="3" fillId="0" borderId="86" xfId="0" applyFont="1" applyBorder="1" applyAlignment="1">
      <alignment horizontal="center"/>
    </xf>
    <xf numFmtId="44" fontId="3" fillId="0" borderId="86" xfId="1" applyFont="1" applyBorder="1"/>
    <xf numFmtId="49" fontId="3" fillId="21" borderId="91" xfId="0" applyNumberFormat="1" applyFont="1" applyFill="1" applyBorder="1"/>
    <xf numFmtId="0" fontId="3" fillId="21" borderId="86" xfId="0" applyFont="1" applyFill="1" applyBorder="1" applyAlignment="1">
      <alignment horizontal="center"/>
    </xf>
    <xf numFmtId="44" fontId="3" fillId="21" borderId="86" xfId="1" applyFont="1" applyFill="1" applyBorder="1"/>
    <xf numFmtId="16" fontId="19" fillId="0" borderId="0" xfId="0" applyNumberFormat="1" applyFont="1" applyFill="1"/>
    <xf numFmtId="0" fontId="15" fillId="0" borderId="25" xfId="0" applyFont="1" applyFill="1" applyBorder="1" applyAlignment="1">
      <alignment horizontal="left" wrapText="1"/>
    </xf>
    <xf numFmtId="44" fontId="2" fillId="0" borderId="15" xfId="1" applyFont="1" applyFill="1" applyBorder="1"/>
    <xf numFmtId="166" fontId="17" fillId="0" borderId="25" xfId="0" applyNumberFormat="1" applyFont="1" applyFill="1" applyBorder="1"/>
    <xf numFmtId="166" fontId="17" fillId="0" borderId="0" xfId="0" applyNumberFormat="1" applyFont="1" applyFill="1" applyBorder="1"/>
    <xf numFmtId="44" fontId="2" fillId="0" borderId="33" xfId="1" applyFont="1" applyFill="1" applyBorder="1" applyAlignment="1">
      <alignment horizontal="center"/>
    </xf>
    <xf numFmtId="164" fontId="0" fillId="0" borderId="0" xfId="0" applyNumberFormat="1" applyFill="1" applyBorder="1"/>
    <xf numFmtId="16" fontId="0" fillId="0" borderId="0" xfId="0" applyNumberFormat="1" applyFill="1" applyBorder="1" applyAlignment="1">
      <alignment horizontal="center"/>
    </xf>
    <xf numFmtId="164" fontId="3" fillId="0" borderId="0" xfId="0" applyNumberFormat="1" applyFont="1" applyFill="1" applyBorder="1"/>
    <xf numFmtId="49" fontId="3" fillId="0" borderId="0" xfId="0" applyNumberFormat="1" applyFont="1" applyFill="1" applyBorder="1" applyAlignment="1">
      <alignment horizontal="center"/>
    </xf>
    <xf numFmtId="16" fontId="11" fillId="20" borderId="0" xfId="0" applyNumberFormat="1" applyFont="1" applyFill="1" applyAlignment="1">
      <alignment horizontal="left"/>
    </xf>
    <xf numFmtId="16" fontId="14" fillId="20" borderId="0" xfId="0" applyNumberFormat="1" applyFont="1" applyFill="1" applyAlignment="1">
      <alignment horizontal="center"/>
    </xf>
    <xf numFmtId="44" fontId="14" fillId="20" borderId="0" xfId="1" applyFont="1" applyFill="1"/>
    <xf numFmtId="16" fontId="11" fillId="18" borderId="0" xfId="0" applyNumberFormat="1" applyFont="1" applyFill="1" applyAlignment="1">
      <alignment horizontal="left"/>
    </xf>
    <xf numFmtId="44" fontId="11" fillId="18" borderId="0" xfId="1" applyFont="1" applyFill="1"/>
    <xf numFmtId="165" fontId="11" fillId="18" borderId="0" xfId="0" applyNumberFormat="1" applyFont="1" applyFill="1"/>
    <xf numFmtId="44" fontId="1" fillId="18" borderId="0" xfId="1" applyFill="1"/>
    <xf numFmtId="0" fontId="3" fillId="0" borderId="86" xfId="0" applyFont="1" applyBorder="1"/>
    <xf numFmtId="0" fontId="3" fillId="21" borderId="86" xfId="0" applyFont="1" applyFill="1" applyBorder="1"/>
    <xf numFmtId="44" fontId="11" fillId="11" borderId="0" xfId="1" applyFont="1" applyFill="1"/>
    <xf numFmtId="165" fontId="3" fillId="3" borderId="6" xfId="0" applyNumberFormat="1" applyFont="1" applyFill="1" applyBorder="1" applyAlignment="1">
      <alignment horizontal="center" vertical="center"/>
    </xf>
    <xf numFmtId="44" fontId="2" fillId="3" borderId="6" xfId="1" applyFont="1" applyFill="1" applyBorder="1" applyAlignment="1">
      <alignment horizontal="center" vertical="center"/>
    </xf>
    <xf numFmtId="165" fontId="3" fillId="3" borderId="3" xfId="0" applyNumberFormat="1" applyFont="1" applyFill="1" applyBorder="1" applyAlignment="1">
      <alignment horizontal="center" wrapText="1"/>
    </xf>
    <xf numFmtId="0" fontId="10" fillId="14" borderId="0" xfId="0" applyFont="1" applyFill="1" applyAlignment="1">
      <alignment horizontal="center" vertical="center" wrapText="1"/>
    </xf>
    <xf numFmtId="165" fontId="11" fillId="14" borderId="15" xfId="0" applyNumberFormat="1" applyFont="1" applyFill="1" applyBorder="1" applyAlignment="1">
      <alignment horizontal="center"/>
    </xf>
    <xf numFmtId="44" fontId="11" fillId="14" borderId="15" xfId="1" applyFont="1" applyFill="1" applyBorder="1"/>
    <xf numFmtId="165" fontId="11" fillId="0" borderId="0" xfId="0" applyNumberFormat="1" applyFont="1" applyAlignment="1">
      <alignment horizontal="center"/>
    </xf>
    <xf numFmtId="165" fontId="3" fillId="20" borderId="0" xfId="0" applyNumberFormat="1" applyFont="1" applyFill="1" applyBorder="1" applyAlignment="1">
      <alignment horizontal="center" vertical="center"/>
    </xf>
    <xf numFmtId="165" fontId="3" fillId="20" borderId="82" xfId="0" applyNumberFormat="1" applyFont="1" applyFill="1" applyBorder="1" applyAlignment="1">
      <alignment horizontal="center" wrapText="1"/>
    </xf>
    <xf numFmtId="44" fontId="2" fillId="20" borderId="0" xfId="1" applyFont="1" applyFill="1" applyBorder="1" applyAlignment="1">
      <alignment horizontal="center" vertical="center"/>
    </xf>
    <xf numFmtId="44" fontId="16" fillId="16" borderId="23" xfId="1" applyFont="1" applyFill="1" applyBorder="1"/>
    <xf numFmtId="0" fontId="3" fillId="16" borderId="0" xfId="0" applyFont="1" applyFill="1"/>
    <xf numFmtId="0" fontId="44" fillId="16" borderId="0" xfId="0" applyFont="1" applyFill="1"/>
    <xf numFmtId="44" fontId="63" fillId="0" borderId="20" xfId="1" applyFont="1" applyFill="1" applyBorder="1"/>
    <xf numFmtId="44" fontId="63" fillId="0" borderId="22" xfId="1" applyFont="1" applyFill="1" applyBorder="1"/>
    <xf numFmtId="44" fontId="63" fillId="0" borderId="33" xfId="1" applyFont="1" applyFill="1" applyBorder="1" applyAlignment="1">
      <alignment horizontal="center"/>
    </xf>
    <xf numFmtId="44" fontId="63" fillId="0" borderId="34" xfId="1" applyFont="1" applyFill="1" applyBorder="1"/>
    <xf numFmtId="0" fontId="61" fillId="0" borderId="0" xfId="0" applyFont="1" applyFill="1" applyAlignment="1">
      <alignment horizontal="center"/>
    </xf>
    <xf numFmtId="164" fontId="2" fillId="0" borderId="0" xfId="1" applyNumberFormat="1" applyFont="1" applyFill="1" applyBorder="1"/>
    <xf numFmtId="44" fontId="2" fillId="0" borderId="17" xfId="1" applyFont="1" applyFill="1" applyBorder="1" applyAlignment="1">
      <alignment horizontal="center"/>
    </xf>
    <xf numFmtId="44" fontId="55" fillId="0" borderId="0" xfId="0" applyNumberFormat="1" applyFont="1" applyFill="1" applyBorder="1"/>
    <xf numFmtId="44" fontId="3" fillId="0" borderId="50" xfId="1" applyFont="1" applyFill="1" applyBorder="1"/>
    <xf numFmtId="164" fontId="3" fillId="0" borderId="97" xfId="0" applyNumberFormat="1" applyFont="1" applyBorder="1" applyAlignment="1">
      <alignment horizontal="center"/>
    </xf>
    <xf numFmtId="0" fontId="3" fillId="0" borderId="98" xfId="0" applyFont="1" applyBorder="1" applyAlignment="1">
      <alignment horizontal="center"/>
    </xf>
    <xf numFmtId="44" fontId="3" fillId="0" borderId="98" xfId="1" applyFont="1" applyBorder="1" applyAlignment="1">
      <alignment horizontal="center"/>
    </xf>
    <xf numFmtId="165" fontId="3" fillId="0" borderId="98" xfId="0" applyNumberFormat="1" applyFont="1" applyBorder="1" applyAlignment="1">
      <alignment horizontal="center"/>
    </xf>
    <xf numFmtId="44" fontId="3" fillId="0" borderId="99" xfId="1" applyFont="1" applyBorder="1" applyAlignment="1">
      <alignment horizontal="center"/>
    </xf>
    <xf numFmtId="164" fontId="2" fillId="0" borderId="43" xfId="0" applyNumberFormat="1" applyFont="1" applyBorder="1" applyAlignment="1">
      <alignment horizontal="center"/>
    </xf>
    <xf numFmtId="164" fontId="0" fillId="0" borderId="0" xfId="0" applyNumberFormat="1" applyFont="1" applyAlignment="1">
      <alignment horizontal="center"/>
    </xf>
    <xf numFmtId="0" fontId="0" fillId="0" borderId="0" xfId="0" applyFont="1"/>
    <xf numFmtId="0" fontId="33" fillId="0" borderId="5" xfId="0" applyFont="1" applyBorder="1" applyAlignment="1">
      <alignment vertical="center" wrapText="1"/>
    </xf>
    <xf numFmtId="0" fontId="0" fillId="0" borderId="0" xfId="0" applyFont="1" applyFill="1" applyBorder="1"/>
    <xf numFmtId="16" fontId="0" fillId="0" borderId="0" xfId="0" applyNumberFormat="1" applyFont="1"/>
    <xf numFmtId="165" fontId="11" fillId="0" borderId="9" xfId="0" applyNumberFormat="1" applyFont="1" applyBorder="1"/>
    <xf numFmtId="165" fontId="20" fillId="0" borderId="25" xfId="1" applyNumberFormat="1" applyFont="1" applyFill="1" applyBorder="1" applyAlignment="1">
      <alignment horizontal="center"/>
    </xf>
    <xf numFmtId="165" fontId="20" fillId="0" borderId="21" xfId="1" applyNumberFormat="1" applyFont="1" applyFill="1" applyBorder="1" applyAlignment="1">
      <alignment horizontal="center"/>
    </xf>
    <xf numFmtId="165" fontId="3" fillId="0" borderId="49" xfId="0" applyNumberFormat="1" applyFont="1" applyBorder="1" applyAlignment="1">
      <alignment horizontal="center" vertical="center" wrapText="1"/>
    </xf>
    <xf numFmtId="165" fontId="3" fillId="0" borderId="0" xfId="1" applyNumberFormat="1" applyFont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11" fillId="0" borderId="9" xfId="0" applyFont="1" applyBorder="1" applyAlignment="1">
      <alignment horizontal="center"/>
    </xf>
    <xf numFmtId="44" fontId="11" fillId="0" borderId="9" xfId="1" applyFont="1" applyBorder="1"/>
    <xf numFmtId="16" fontId="20" fillId="0" borderId="27" xfId="0" applyNumberFormat="1" applyFont="1" applyFill="1" applyBorder="1" applyAlignment="1">
      <alignment horizontal="center"/>
    </xf>
    <xf numFmtId="16" fontId="2" fillId="0" borderId="27" xfId="0" applyNumberFormat="1" applyFont="1" applyFill="1" applyBorder="1" applyAlignment="1">
      <alignment horizontal="center"/>
    </xf>
    <xf numFmtId="0" fontId="21" fillId="0" borderId="25" xfId="0" applyFont="1" applyFill="1" applyBorder="1" applyAlignment="1">
      <alignment horizontal="left" wrapText="1"/>
    </xf>
    <xf numFmtId="16" fontId="3" fillId="0" borderId="0" xfId="0" applyNumberFormat="1" applyFont="1" applyFill="1" applyAlignment="1">
      <alignment horizontal="center" wrapText="1"/>
    </xf>
    <xf numFmtId="16" fontId="3" fillId="0" borderId="25" xfId="0" applyNumberFormat="1" applyFont="1" applyFill="1" applyBorder="1" applyAlignment="1">
      <alignment horizontal="center"/>
    </xf>
    <xf numFmtId="16" fontId="2" fillId="0" borderId="0" xfId="0" applyNumberFormat="1" applyFont="1" applyFill="1" applyAlignment="1">
      <alignment horizontal="center"/>
    </xf>
    <xf numFmtId="0" fontId="64" fillId="0" borderId="25" xfId="0" applyFont="1" applyFill="1" applyBorder="1" applyAlignment="1">
      <alignment horizontal="left"/>
    </xf>
    <xf numFmtId="166" fontId="11" fillId="0" borderId="0" xfId="0" applyNumberFormat="1" applyFont="1" applyAlignment="1">
      <alignment horizontal="center"/>
    </xf>
    <xf numFmtId="0" fontId="0" fillId="0" borderId="0" xfId="0" applyFont="1" applyFill="1"/>
    <xf numFmtId="0" fontId="0" fillId="0" borderId="45" xfId="0" applyFont="1" applyBorder="1"/>
    <xf numFmtId="0" fontId="18" fillId="9" borderId="0" xfId="0" applyFont="1" applyFill="1" applyAlignment="1">
      <alignment horizontal="center"/>
    </xf>
    <xf numFmtId="0" fontId="65" fillId="0" borderId="0" xfId="0" applyFont="1" applyFill="1"/>
    <xf numFmtId="0" fontId="65" fillId="0" borderId="0" xfId="0" applyFont="1"/>
    <xf numFmtId="0" fontId="18" fillId="0" borderId="0" xfId="0" applyFont="1" applyFill="1" applyAlignment="1">
      <alignment horizontal="center"/>
    </xf>
    <xf numFmtId="0" fontId="65" fillId="0" borderId="0" xfId="0" applyFont="1" applyAlignment="1">
      <alignment vertical="center"/>
    </xf>
    <xf numFmtId="44" fontId="18" fillId="0" borderId="0" xfId="1" applyFont="1" applyBorder="1" applyAlignment="1">
      <alignment vertical="center"/>
    </xf>
    <xf numFmtId="49" fontId="3" fillId="0" borderId="25" xfId="0" applyNumberFormat="1" applyFont="1" applyFill="1" applyBorder="1" applyAlignment="1">
      <alignment horizontal="center" wrapText="1"/>
    </xf>
    <xf numFmtId="165" fontId="2" fillId="0" borderId="0" xfId="0" applyNumberFormat="1" applyFont="1"/>
    <xf numFmtId="165" fontId="3" fillId="9" borderId="25" xfId="0" applyNumberFormat="1" applyFont="1" applyFill="1" applyBorder="1"/>
    <xf numFmtId="44" fontId="3" fillId="9" borderId="25" xfId="1" applyFont="1" applyFill="1" applyBorder="1"/>
    <xf numFmtId="165" fontId="3" fillId="18" borderId="25" xfId="0" applyNumberFormat="1" applyFont="1" applyFill="1" applyBorder="1"/>
    <xf numFmtId="44" fontId="3" fillId="18" borderId="25" xfId="1" applyFont="1" applyFill="1" applyBorder="1"/>
    <xf numFmtId="44" fontId="3" fillId="9" borderId="0" xfId="1" applyFont="1" applyFill="1"/>
    <xf numFmtId="164" fontId="3" fillId="0" borderId="0" xfId="0" applyNumberFormat="1" applyFont="1"/>
    <xf numFmtId="44" fontId="3" fillId="11" borderId="25" xfId="1" applyFont="1" applyFill="1" applyBorder="1"/>
    <xf numFmtId="0" fontId="20" fillId="18" borderId="0" xfId="0" applyFont="1" applyFill="1"/>
    <xf numFmtId="0" fontId="20" fillId="18" borderId="0" xfId="0" applyFont="1" applyFill="1" applyAlignment="1">
      <alignment horizontal="center"/>
    </xf>
    <xf numFmtId="0" fontId="9" fillId="18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44" fontId="13" fillId="0" borderId="0" xfId="1" applyFont="1" applyFill="1" applyBorder="1" applyAlignment="1">
      <alignment horizontal="center" vertical="center"/>
    </xf>
    <xf numFmtId="44" fontId="13" fillId="0" borderId="0" xfId="1" applyFont="1" applyFill="1" applyBorder="1" applyAlignment="1">
      <alignment horizontal="center" vertical="center"/>
    </xf>
    <xf numFmtId="164" fontId="2" fillId="0" borderId="74" xfId="0" applyNumberFormat="1" applyFont="1" applyBorder="1" applyAlignment="1">
      <alignment horizontal="center"/>
    </xf>
    <xf numFmtId="44" fontId="2" fillId="0" borderId="41" xfId="1" applyFont="1" applyFill="1" applyBorder="1"/>
    <xf numFmtId="15" fontId="2" fillId="0" borderId="77" xfId="0" applyNumberFormat="1" applyFont="1" applyBorder="1"/>
    <xf numFmtId="15" fontId="2" fillId="0" borderId="0" xfId="0" applyNumberFormat="1" applyFont="1" applyBorder="1"/>
    <xf numFmtId="165" fontId="18" fillId="0" borderId="0" xfId="1" applyNumberFormat="1" applyFont="1" applyFill="1" applyBorder="1" applyAlignment="1">
      <alignment horizontal="center"/>
    </xf>
    <xf numFmtId="0" fontId="19" fillId="0" borderId="0" xfId="0" applyFont="1" applyFill="1" applyBorder="1" applyAlignment="1">
      <alignment horizontal="center"/>
    </xf>
    <xf numFmtId="165" fontId="2" fillId="0" borderId="21" xfId="1" applyNumberFormat="1" applyFont="1" applyFill="1" applyBorder="1" applyAlignment="1">
      <alignment horizontal="center"/>
    </xf>
    <xf numFmtId="44" fontId="2" fillId="18" borderId="18" xfId="1" applyFont="1" applyFill="1" applyBorder="1"/>
    <xf numFmtId="44" fontId="19" fillId="18" borderId="26" xfId="1" applyFont="1" applyFill="1" applyBorder="1"/>
    <xf numFmtId="0" fontId="21" fillId="0" borderId="0" xfId="0" applyFont="1" applyFill="1" applyBorder="1" applyAlignment="1">
      <alignment horizontal="center"/>
    </xf>
    <xf numFmtId="165" fontId="66" fillId="0" borderId="25" xfId="1" applyNumberFormat="1" applyFont="1" applyFill="1" applyBorder="1" applyAlignment="1">
      <alignment horizontal="center"/>
    </xf>
    <xf numFmtId="0" fontId="66" fillId="0" borderId="25" xfId="0" applyFont="1" applyFill="1" applyBorder="1" applyAlignment="1">
      <alignment horizontal="center"/>
    </xf>
    <xf numFmtId="44" fontId="66" fillId="0" borderId="26" xfId="1" applyFont="1" applyFill="1" applyBorder="1"/>
    <xf numFmtId="165" fontId="66" fillId="0" borderId="7" xfId="0" applyNumberFormat="1" applyFont="1" applyFill="1" applyBorder="1" applyAlignment="1">
      <alignment horizontal="center"/>
    </xf>
    <xf numFmtId="0" fontId="67" fillId="0" borderId="27" xfId="0" applyFont="1" applyFill="1" applyBorder="1" applyAlignment="1">
      <alignment horizontal="center"/>
    </xf>
    <xf numFmtId="44" fontId="66" fillId="0" borderId="31" xfId="1" applyFont="1" applyFill="1" applyBorder="1" applyAlignment="1">
      <alignment horizontal="right"/>
    </xf>
    <xf numFmtId="165" fontId="66" fillId="0" borderId="30" xfId="1" applyNumberFormat="1" applyFont="1" applyFill="1" applyBorder="1" applyAlignment="1">
      <alignment horizontal="center"/>
    </xf>
    <xf numFmtId="44" fontId="66" fillId="0" borderId="25" xfId="1" applyFont="1" applyFill="1" applyBorder="1" applyAlignment="1">
      <alignment horizontal="right"/>
    </xf>
    <xf numFmtId="44" fontId="2" fillId="18" borderId="0" xfId="1" applyFont="1" applyFill="1" applyBorder="1"/>
    <xf numFmtId="166" fontId="19" fillId="0" borderId="0" xfId="0" applyNumberFormat="1" applyFont="1" applyFill="1" applyBorder="1"/>
    <xf numFmtId="44" fontId="2" fillId="18" borderId="39" xfId="1" applyFont="1" applyFill="1" applyBorder="1"/>
    <xf numFmtId="44" fontId="2" fillId="18" borderId="26" xfId="1" applyFont="1" applyFill="1" applyBorder="1"/>
    <xf numFmtId="44" fontId="19" fillId="18" borderId="0" xfId="1" applyFont="1" applyFill="1" applyBorder="1"/>
    <xf numFmtId="44" fontId="19" fillId="18" borderId="0" xfId="1" applyFont="1" applyFill="1"/>
    <xf numFmtId="165" fontId="10" fillId="0" borderId="25" xfId="1" applyNumberFormat="1" applyFont="1" applyFill="1" applyBorder="1" applyAlignment="1">
      <alignment horizontal="center"/>
    </xf>
    <xf numFmtId="165" fontId="10" fillId="0" borderId="21" xfId="1" applyNumberFormat="1" applyFont="1" applyFill="1" applyBorder="1" applyAlignment="1">
      <alignment horizontal="center"/>
    </xf>
    <xf numFmtId="165" fontId="10" fillId="0" borderId="0" xfId="1" applyNumberFormat="1" applyFont="1" applyFill="1" applyBorder="1" applyAlignment="1">
      <alignment horizontal="center"/>
    </xf>
    <xf numFmtId="165" fontId="68" fillId="0" borderId="25" xfId="1" applyNumberFormat="1" applyFont="1" applyFill="1" applyBorder="1" applyAlignment="1">
      <alignment horizontal="center"/>
    </xf>
    <xf numFmtId="0" fontId="68" fillId="0" borderId="25" xfId="0" applyFont="1" applyFill="1" applyBorder="1" applyAlignment="1">
      <alignment horizontal="center"/>
    </xf>
    <xf numFmtId="44" fontId="68" fillId="0" borderId="26" xfId="1" applyFont="1" applyFill="1" applyBorder="1"/>
    <xf numFmtId="165" fontId="68" fillId="0" borderId="7" xfId="0" applyNumberFormat="1" applyFont="1" applyFill="1" applyBorder="1" applyAlignment="1">
      <alignment horizontal="center"/>
    </xf>
    <xf numFmtId="0" fontId="22" fillId="0" borderId="27" xfId="0" applyFont="1" applyFill="1" applyBorder="1" applyAlignment="1">
      <alignment horizontal="center"/>
    </xf>
    <xf numFmtId="44" fontId="68" fillId="0" borderId="31" xfId="1" applyFont="1" applyFill="1" applyBorder="1" applyAlignment="1">
      <alignment horizontal="right"/>
    </xf>
    <xf numFmtId="165" fontId="68" fillId="0" borderId="30" xfId="1" applyNumberFormat="1" applyFont="1" applyFill="1" applyBorder="1" applyAlignment="1">
      <alignment horizontal="center"/>
    </xf>
    <xf numFmtId="44" fontId="68" fillId="0" borderId="25" xfId="1" applyFont="1" applyFill="1" applyBorder="1" applyAlignment="1">
      <alignment horizontal="right"/>
    </xf>
    <xf numFmtId="0" fontId="69" fillId="0" borderId="25" xfId="0" applyFont="1" applyFill="1" applyBorder="1" applyAlignment="1">
      <alignment horizontal="left" wrapText="1"/>
    </xf>
    <xf numFmtId="165" fontId="19" fillId="18" borderId="25" xfId="1" applyNumberFormat="1" applyFont="1" applyFill="1" applyBorder="1" applyAlignment="1">
      <alignment horizontal="center"/>
    </xf>
    <xf numFmtId="166" fontId="18" fillId="18" borderId="0" xfId="0" applyNumberFormat="1" applyFont="1" applyFill="1" applyBorder="1"/>
    <xf numFmtId="166" fontId="10" fillId="18" borderId="0" xfId="0" applyNumberFormat="1" applyFont="1" applyFill="1" applyBorder="1"/>
    <xf numFmtId="165" fontId="19" fillId="18" borderId="21" xfId="1" applyNumberFormat="1" applyFont="1" applyFill="1" applyBorder="1" applyAlignment="1">
      <alignment horizontal="center"/>
    </xf>
    <xf numFmtId="165" fontId="18" fillId="18" borderId="21" xfId="1" applyNumberFormat="1" applyFont="1" applyFill="1" applyBorder="1" applyAlignment="1">
      <alignment horizontal="center"/>
    </xf>
    <xf numFmtId="0" fontId="68" fillId="0" borderId="25" xfId="0" applyFont="1" applyFill="1" applyBorder="1" applyAlignment="1">
      <alignment horizontal="center" wrapText="1"/>
    </xf>
    <xf numFmtId="44" fontId="2" fillId="18" borderId="31" xfId="1" applyFont="1" applyFill="1" applyBorder="1" applyAlignment="1">
      <alignment horizontal="right"/>
    </xf>
    <xf numFmtId="44" fontId="2" fillId="18" borderId="25" xfId="1" applyFont="1" applyFill="1" applyBorder="1" applyAlignment="1">
      <alignment horizontal="right"/>
    </xf>
    <xf numFmtId="49" fontId="48" fillId="0" borderId="102" xfId="0" applyNumberFormat="1" applyFont="1" applyBorder="1"/>
    <xf numFmtId="0" fontId="48" fillId="0" borderId="88" xfId="0" applyFont="1" applyBorder="1" applyAlignment="1">
      <alignment horizontal="center"/>
    </xf>
    <xf numFmtId="44" fontId="48" fillId="0" borderId="88" xfId="1" applyFont="1" applyBorder="1"/>
    <xf numFmtId="44" fontId="33" fillId="11" borderId="0" xfId="1" applyFont="1" applyFill="1"/>
    <xf numFmtId="44" fontId="13" fillId="0" borderId="0" xfId="1" applyFont="1" applyFill="1" applyBorder="1" applyAlignment="1">
      <alignment horizontal="center" vertical="center"/>
    </xf>
    <xf numFmtId="0" fontId="12" fillId="0" borderId="0" xfId="0" applyFont="1" applyFill="1"/>
    <xf numFmtId="0" fontId="20" fillId="0" borderId="0" xfId="0" applyFont="1" applyFill="1"/>
    <xf numFmtId="165" fontId="3" fillId="9" borderId="25" xfId="0" applyNumberFormat="1" applyFont="1" applyFill="1" applyBorder="1" applyAlignment="1">
      <alignment wrapText="1"/>
    </xf>
    <xf numFmtId="165" fontId="2" fillId="16" borderId="25" xfId="0" applyNumberFormat="1" applyFont="1" applyFill="1" applyBorder="1" applyAlignment="1">
      <alignment horizontal="center"/>
    </xf>
    <xf numFmtId="44" fontId="3" fillId="16" borderId="0" xfId="1" applyFont="1" applyFill="1"/>
    <xf numFmtId="16" fontId="11" fillId="0" borderId="0" xfId="0" applyNumberFormat="1" applyFont="1" applyFill="1" applyBorder="1" applyAlignment="1">
      <alignment horizontal="left"/>
    </xf>
    <xf numFmtId="165" fontId="11" fillId="0" borderId="0" xfId="0" applyNumberFormat="1" applyFont="1" applyFill="1" applyBorder="1"/>
    <xf numFmtId="165" fontId="0" fillId="0" borderId="0" xfId="0" applyNumberFormat="1" applyFill="1" applyBorder="1"/>
    <xf numFmtId="165" fontId="3" fillId="16" borderId="25" xfId="0" applyNumberFormat="1" applyFont="1" applyFill="1" applyBorder="1"/>
    <xf numFmtId="44" fontId="3" fillId="16" borderId="25" xfId="1" applyFont="1" applyFill="1" applyBorder="1"/>
    <xf numFmtId="44" fontId="18" fillId="0" borderId="0" xfId="1" applyFont="1" applyFill="1" applyBorder="1" applyAlignment="1">
      <alignment horizontal="center" vertical="center"/>
    </xf>
    <xf numFmtId="0" fontId="18" fillId="18" borderId="0" xfId="0" applyFont="1" applyFill="1" applyAlignment="1">
      <alignment horizontal="center"/>
    </xf>
    <xf numFmtId="0" fontId="17" fillId="18" borderId="0" xfId="0" applyFont="1" applyFill="1" applyAlignment="1">
      <alignment horizontal="center"/>
    </xf>
    <xf numFmtId="0" fontId="18" fillId="16" borderId="0" xfId="0" applyFont="1" applyFill="1" applyAlignment="1">
      <alignment horizontal="center"/>
    </xf>
    <xf numFmtId="0" fontId="0" fillId="18" borderId="0" xfId="0" applyFill="1"/>
    <xf numFmtId="49" fontId="3" fillId="18" borderId="0" xfId="0" applyNumberFormat="1" applyFont="1" applyFill="1" applyBorder="1" applyAlignment="1">
      <alignment horizontal="center"/>
    </xf>
    <xf numFmtId="0" fontId="18" fillId="14" borderId="0" xfId="0" applyFont="1" applyFill="1" applyAlignment="1">
      <alignment horizontal="center"/>
    </xf>
    <xf numFmtId="0" fontId="3" fillId="0" borderId="25" xfId="0" applyFont="1" applyFill="1" applyBorder="1" applyAlignment="1">
      <alignment horizontal="left"/>
    </xf>
    <xf numFmtId="0" fontId="1" fillId="0" borderId="0" xfId="0" applyFont="1" applyFill="1"/>
    <xf numFmtId="0" fontId="2" fillId="0" borderId="25" xfId="0" applyFont="1" applyFill="1" applyBorder="1" applyAlignment="1">
      <alignment horizontal="center" wrapText="1"/>
    </xf>
    <xf numFmtId="1" fontId="2" fillId="0" borderId="25" xfId="0" applyNumberFormat="1" applyFont="1" applyFill="1" applyBorder="1" applyAlignment="1">
      <alignment horizontal="center"/>
    </xf>
    <xf numFmtId="1" fontId="19" fillId="0" borderId="25" xfId="0" applyNumberFormat="1" applyFont="1" applyFill="1" applyBorder="1" applyAlignment="1">
      <alignment horizontal="center"/>
    </xf>
    <xf numFmtId="164" fontId="71" fillId="0" borderId="25" xfId="0" applyNumberFormat="1" applyFont="1" applyFill="1" applyBorder="1" applyAlignment="1">
      <alignment horizontal="center"/>
    </xf>
    <xf numFmtId="164" fontId="3" fillId="0" borderId="25" xfId="0" applyNumberFormat="1" applyFont="1" applyFill="1" applyBorder="1" applyAlignment="1">
      <alignment horizontal="center"/>
    </xf>
    <xf numFmtId="1" fontId="3" fillId="0" borderId="25" xfId="0" applyNumberFormat="1" applyFont="1" applyFill="1" applyBorder="1" applyAlignment="1">
      <alignment horizontal="center"/>
    </xf>
    <xf numFmtId="164" fontId="72" fillId="0" borderId="25" xfId="0" applyNumberFormat="1" applyFont="1" applyFill="1" applyBorder="1" applyAlignment="1">
      <alignment horizontal="center"/>
    </xf>
    <xf numFmtId="165" fontId="20" fillId="0" borderId="0" xfId="1" applyNumberFormat="1" applyFont="1" applyFill="1" applyBorder="1" applyAlignment="1">
      <alignment horizontal="center"/>
    </xf>
    <xf numFmtId="0" fontId="21" fillId="0" borderId="25" xfId="0" applyFont="1" applyFill="1" applyBorder="1" applyAlignment="1">
      <alignment horizontal="center"/>
    </xf>
    <xf numFmtId="49" fontId="13" fillId="0" borderId="91" xfId="0" applyNumberFormat="1" applyFont="1" applyBorder="1"/>
    <xf numFmtId="0" fontId="13" fillId="0" borderId="86" xfId="0" applyFont="1" applyBorder="1" applyAlignment="1">
      <alignment horizontal="center"/>
    </xf>
    <xf numFmtId="44" fontId="13" fillId="0" borderId="86" xfId="1" applyFont="1" applyBorder="1"/>
    <xf numFmtId="49" fontId="13" fillId="21" borderId="91" xfId="0" applyNumberFormat="1" applyFont="1" applyFill="1" applyBorder="1"/>
    <xf numFmtId="0" fontId="13" fillId="21" borderId="86" xfId="0" applyFont="1" applyFill="1" applyBorder="1" applyAlignment="1">
      <alignment horizontal="center"/>
    </xf>
    <xf numFmtId="44" fontId="13" fillId="21" borderId="86" xfId="1" applyFont="1" applyFill="1" applyBorder="1"/>
    <xf numFmtId="0" fontId="18" fillId="0" borderId="0" xfId="0" applyFont="1" applyFill="1" applyBorder="1" applyAlignment="1">
      <alignment horizontal="left"/>
    </xf>
    <xf numFmtId="0" fontId="18" fillId="0" borderId="0" xfId="0" applyFont="1" applyFill="1" applyBorder="1" applyAlignment="1">
      <alignment horizontal="center"/>
    </xf>
    <xf numFmtId="44" fontId="13" fillId="0" borderId="0" xfId="1" applyFont="1" applyFill="1" applyBorder="1" applyAlignment="1">
      <alignment horizontal="center" vertical="center"/>
    </xf>
    <xf numFmtId="0" fontId="17" fillId="14" borderId="0" xfId="0" applyFont="1" applyFill="1" applyAlignment="1">
      <alignment horizontal="center"/>
    </xf>
    <xf numFmtId="0" fontId="10" fillId="16" borderId="0" xfId="0" applyFont="1" applyFill="1" applyAlignment="1">
      <alignment horizontal="center"/>
    </xf>
    <xf numFmtId="165" fontId="73" fillId="14" borderId="25" xfId="0" applyNumberFormat="1" applyFont="1" applyFill="1" applyBorder="1"/>
    <xf numFmtId="44" fontId="73" fillId="14" borderId="25" xfId="1" applyFont="1" applyFill="1" applyBorder="1"/>
    <xf numFmtId="44" fontId="13" fillId="14" borderId="26" xfId="1" applyFont="1" applyFill="1" applyBorder="1"/>
    <xf numFmtId="0" fontId="3" fillId="17" borderId="27" xfId="0" applyFont="1" applyFill="1" applyBorder="1" applyAlignment="1">
      <alignment horizontal="center"/>
    </xf>
    <xf numFmtId="44" fontId="3" fillId="17" borderId="26" xfId="1" applyFont="1" applyFill="1" applyBorder="1" applyAlignment="1">
      <alignment horizontal="right"/>
    </xf>
    <xf numFmtId="16" fontId="3" fillId="0" borderId="0" xfId="0" applyNumberFormat="1" applyFont="1" applyFill="1" applyAlignment="1">
      <alignment horizontal="center"/>
    </xf>
    <xf numFmtId="0" fontId="18" fillId="16" borderId="0" xfId="0" applyFont="1" applyFill="1" applyAlignment="1">
      <alignment horizontal="left"/>
    </xf>
    <xf numFmtId="44" fontId="2" fillId="0" borderId="103" xfId="1" applyFont="1" applyFill="1" applyBorder="1"/>
    <xf numFmtId="44" fontId="2" fillId="0" borderId="104" xfId="1" applyFont="1" applyFill="1" applyBorder="1"/>
    <xf numFmtId="44" fontId="2" fillId="0" borderId="105" xfId="1" applyFont="1" applyFill="1" applyBorder="1"/>
    <xf numFmtId="44" fontId="2" fillId="0" borderId="106" xfId="1" applyFont="1" applyFill="1" applyBorder="1"/>
    <xf numFmtId="44" fontId="2" fillId="0" borderId="107" xfId="1" applyFont="1" applyFill="1" applyBorder="1"/>
    <xf numFmtId="166" fontId="10" fillId="0" borderId="50" xfId="0" applyNumberFormat="1" applyFont="1" applyFill="1" applyBorder="1"/>
    <xf numFmtId="166" fontId="23" fillId="0" borderId="50" xfId="0" applyNumberFormat="1" applyFont="1" applyFill="1" applyBorder="1"/>
    <xf numFmtId="166" fontId="23" fillId="0" borderId="0" xfId="0" applyNumberFormat="1" applyFont="1" applyFill="1" applyBorder="1"/>
    <xf numFmtId="165" fontId="2" fillId="0" borderId="7" xfId="1" applyNumberFormat="1" applyFont="1" applyFill="1" applyBorder="1" applyAlignment="1">
      <alignment horizontal="center"/>
    </xf>
    <xf numFmtId="165" fontId="68" fillId="0" borderId="21" xfId="1" applyNumberFormat="1" applyFont="1" applyFill="1" applyBorder="1" applyAlignment="1">
      <alignment horizontal="center"/>
    </xf>
    <xf numFmtId="0" fontId="74" fillId="0" borderId="25" xfId="0" applyFont="1" applyFill="1" applyBorder="1" applyAlignment="1">
      <alignment horizontal="center"/>
    </xf>
    <xf numFmtId="0" fontId="3" fillId="0" borderId="27" xfId="0" applyFont="1" applyFill="1" applyBorder="1" applyAlignment="1">
      <alignment horizontal="left"/>
    </xf>
    <xf numFmtId="44" fontId="2" fillId="0" borderId="31" xfId="1" applyFont="1" applyFill="1" applyBorder="1"/>
    <xf numFmtId="44" fontId="68" fillId="0" borderId="25" xfId="1" applyFont="1" applyFill="1" applyBorder="1"/>
    <xf numFmtId="49" fontId="13" fillId="0" borderId="91" xfId="0" applyNumberFormat="1" applyFont="1" applyFill="1" applyBorder="1"/>
    <xf numFmtId="0" fontId="13" fillId="0" borderId="86" xfId="0" applyFont="1" applyFill="1" applyBorder="1" applyAlignment="1">
      <alignment horizontal="center"/>
    </xf>
    <xf numFmtId="44" fontId="13" fillId="0" borderId="86" xfId="1" applyFont="1" applyFill="1" applyBorder="1"/>
    <xf numFmtId="44" fontId="3" fillId="24" borderId="25" xfId="1" applyFont="1" applyFill="1" applyBorder="1"/>
    <xf numFmtId="164" fontId="2" fillId="24" borderId="25" xfId="0" applyNumberFormat="1" applyFont="1" applyFill="1" applyBorder="1"/>
    <xf numFmtId="44" fontId="2" fillId="24" borderId="25" xfId="1" applyFont="1" applyFill="1" applyBorder="1"/>
    <xf numFmtId="44" fontId="3" fillId="24" borderId="86" xfId="1" applyFont="1" applyFill="1" applyBorder="1"/>
    <xf numFmtId="44" fontId="3" fillId="25" borderId="86" xfId="1" applyFont="1" applyFill="1" applyBorder="1"/>
    <xf numFmtId="165" fontId="3" fillId="24" borderId="86" xfId="0" applyNumberFormat="1" applyFont="1" applyFill="1" applyBorder="1"/>
    <xf numFmtId="165" fontId="3" fillId="11" borderId="0" xfId="1" applyNumberFormat="1" applyFont="1" applyFill="1"/>
    <xf numFmtId="165" fontId="0" fillId="0" borderId="0" xfId="0" applyNumberFormat="1" applyFill="1"/>
    <xf numFmtId="165" fontId="3" fillId="24" borderId="21" xfId="0" applyNumberFormat="1" applyFont="1" applyFill="1" applyBorder="1"/>
    <xf numFmtId="44" fontId="3" fillId="24" borderId="88" xfId="1" applyFont="1" applyFill="1" applyBorder="1"/>
    <xf numFmtId="44" fontId="3" fillId="26" borderId="25" xfId="1" applyFont="1" applyFill="1" applyBorder="1"/>
    <xf numFmtId="165" fontId="3" fillId="26" borderId="25" xfId="0" applyNumberFormat="1" applyFont="1" applyFill="1" applyBorder="1"/>
    <xf numFmtId="165" fontId="3" fillId="24" borderId="21" xfId="0" applyNumberFormat="1" applyFont="1" applyFill="1" applyBorder="1" applyAlignment="1">
      <alignment wrapText="1"/>
    </xf>
    <xf numFmtId="44" fontId="3" fillId="26" borderId="86" xfId="1" applyFont="1" applyFill="1" applyBorder="1"/>
    <xf numFmtId="165" fontId="3" fillId="26" borderId="21" xfId="0" applyNumberFormat="1" applyFont="1" applyFill="1" applyBorder="1"/>
    <xf numFmtId="44" fontId="3" fillId="27" borderId="86" xfId="1" applyFont="1" applyFill="1" applyBorder="1"/>
    <xf numFmtId="44" fontId="13" fillId="26" borderId="86" xfId="1" applyFont="1" applyFill="1" applyBorder="1"/>
    <xf numFmtId="44" fontId="13" fillId="27" borderId="86" xfId="1" applyFont="1" applyFill="1" applyBorder="1"/>
    <xf numFmtId="164" fontId="3" fillId="9" borderId="25" xfId="0" applyNumberFormat="1" applyFont="1" applyFill="1" applyBorder="1"/>
    <xf numFmtId="49" fontId="3" fillId="9" borderId="25" xfId="0" applyNumberFormat="1" applyFont="1" applyFill="1" applyBorder="1" applyAlignment="1">
      <alignment horizontal="center"/>
    </xf>
    <xf numFmtId="44" fontId="13" fillId="0" borderId="0" xfId="1" applyFont="1" applyFill="1" applyBorder="1" applyAlignment="1">
      <alignment horizontal="center" vertical="center"/>
    </xf>
    <xf numFmtId="0" fontId="3" fillId="0" borderId="27" xfId="0" applyFont="1" applyFill="1" applyBorder="1" applyAlignment="1">
      <alignment horizontal="center"/>
    </xf>
    <xf numFmtId="44" fontId="3" fillId="0" borderId="26" xfId="1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17" fillId="0" borderId="0" xfId="0" applyFont="1" applyFill="1" applyAlignment="1">
      <alignment horizontal="center"/>
    </xf>
    <xf numFmtId="165" fontId="3" fillId="0" borderId="21" xfId="0" applyNumberFormat="1" applyFont="1" applyFill="1" applyBorder="1"/>
    <xf numFmtId="0" fontId="2" fillId="24" borderId="25" xfId="0" applyFont="1" applyFill="1" applyBorder="1" applyAlignment="1">
      <alignment horizontal="left"/>
    </xf>
    <xf numFmtId="164" fontId="33" fillId="0" borderId="0" xfId="0" applyNumberFormat="1" applyFont="1" applyFill="1" applyBorder="1" applyAlignment="1">
      <alignment horizontal="center" vertical="center" wrapText="1"/>
    </xf>
    <xf numFmtId="164" fontId="33" fillId="0" borderId="0" xfId="0" applyNumberFormat="1" applyFont="1" applyFill="1" applyBorder="1" applyAlignment="1">
      <alignment vertical="center" wrapText="1"/>
    </xf>
    <xf numFmtId="165" fontId="3" fillId="26" borderId="25" xfId="0" applyNumberFormat="1" applyFont="1" applyFill="1" applyBorder="1" applyAlignment="1">
      <alignment wrapText="1"/>
    </xf>
    <xf numFmtId="165" fontId="3" fillId="15" borderId="25" xfId="0" applyNumberFormat="1" applyFont="1" applyFill="1" applyBorder="1"/>
    <xf numFmtId="44" fontId="3" fillId="15" borderId="25" xfId="1" applyFont="1" applyFill="1" applyBorder="1"/>
    <xf numFmtId="0" fontId="2" fillId="16" borderId="25" xfId="0" applyFont="1" applyFill="1" applyBorder="1" applyAlignment="1"/>
    <xf numFmtId="0" fontId="2" fillId="16" borderId="27" xfId="0" applyFont="1" applyFill="1" applyBorder="1" applyAlignment="1"/>
    <xf numFmtId="166" fontId="19" fillId="0" borderId="50" xfId="0" applyNumberFormat="1" applyFont="1" applyFill="1" applyBorder="1"/>
    <xf numFmtId="166" fontId="18" fillId="0" borderId="50" xfId="0" applyNumberFormat="1" applyFont="1" applyFill="1" applyBorder="1"/>
    <xf numFmtId="0" fontId="20" fillId="0" borderId="25" xfId="0" applyFont="1" applyFill="1" applyBorder="1" applyAlignment="1">
      <alignment horizontal="left"/>
    </xf>
    <xf numFmtId="49" fontId="2" fillId="0" borderId="91" xfId="0" applyNumberFormat="1" applyFont="1" applyBorder="1"/>
    <xf numFmtId="0" fontId="2" fillId="0" borderId="86" xfId="0" applyFont="1" applyBorder="1" applyAlignment="1">
      <alignment horizontal="center"/>
    </xf>
    <xf numFmtId="44" fontId="2" fillId="0" borderId="86" xfId="1" applyFont="1" applyBorder="1"/>
    <xf numFmtId="49" fontId="2" fillId="21" borderId="91" xfId="0" applyNumberFormat="1" applyFont="1" applyFill="1" applyBorder="1"/>
    <xf numFmtId="0" fontId="2" fillId="21" borderId="86" xfId="0" applyFont="1" applyFill="1" applyBorder="1" applyAlignment="1">
      <alignment horizontal="center"/>
    </xf>
    <xf numFmtId="44" fontId="2" fillId="21" borderId="86" xfId="1" applyFont="1" applyFill="1" applyBorder="1"/>
    <xf numFmtId="44" fontId="13" fillId="0" borderId="0" xfId="1" applyFont="1" applyFill="1" applyBorder="1" applyAlignment="1">
      <alignment horizontal="center" vertical="center"/>
    </xf>
    <xf numFmtId="0" fontId="2" fillId="0" borderId="25" xfId="0" applyFont="1" applyFill="1" applyBorder="1" applyAlignment="1"/>
    <xf numFmtId="0" fontId="2" fillId="0" borderId="27" xfId="0" applyFont="1" applyFill="1" applyBorder="1" applyAlignment="1"/>
    <xf numFmtId="0" fontId="22" fillId="0" borderId="0" xfId="0" applyFont="1" applyFill="1" applyAlignment="1">
      <alignment horizontal="center"/>
    </xf>
    <xf numFmtId="0" fontId="74" fillId="0" borderId="0" xfId="0" applyFont="1" applyFill="1" applyAlignment="1">
      <alignment horizontal="center"/>
    </xf>
    <xf numFmtId="0" fontId="19" fillId="0" borderId="77" xfId="0" applyFont="1" applyBorder="1"/>
    <xf numFmtId="0" fontId="0" fillId="0" borderId="58" xfId="0" applyBorder="1"/>
    <xf numFmtId="0" fontId="19" fillId="0" borderId="0" xfId="0" applyFont="1" applyBorder="1"/>
    <xf numFmtId="0" fontId="0" fillId="0" borderId="4" xfId="0" applyBorder="1"/>
    <xf numFmtId="0" fontId="68" fillId="0" borderId="0" xfId="0" applyFont="1" applyBorder="1"/>
    <xf numFmtId="0" fontId="0" fillId="0" borderId="0" xfId="0" applyBorder="1"/>
    <xf numFmtId="0" fontId="0" fillId="0" borderId="5" xfId="0" applyBorder="1"/>
    <xf numFmtId="0" fontId="0" fillId="0" borderId="59" xfId="0" applyBorder="1"/>
    <xf numFmtId="0" fontId="2" fillId="0" borderId="2" xfId="0" applyFont="1" applyFill="1" applyBorder="1"/>
    <xf numFmtId="0" fontId="2" fillId="0" borderId="33" xfId="0" applyFont="1" applyFill="1" applyBorder="1"/>
    <xf numFmtId="165" fontId="2" fillId="0" borderId="2" xfId="0" applyNumberFormat="1" applyFont="1" applyFill="1" applyBorder="1"/>
    <xf numFmtId="0" fontId="68" fillId="0" borderId="25" xfId="0" applyFont="1" applyBorder="1"/>
    <xf numFmtId="0" fontId="19" fillId="0" borderId="25" xfId="0" applyFont="1" applyBorder="1"/>
    <xf numFmtId="44" fontId="2" fillId="0" borderId="56" xfId="1" applyFont="1" applyBorder="1"/>
    <xf numFmtId="44" fontId="10" fillId="0" borderId="26" xfId="1" applyFont="1" applyFill="1" applyBorder="1"/>
    <xf numFmtId="44" fontId="2" fillId="17" borderId="17" xfId="1" applyFont="1" applyFill="1" applyBorder="1" applyAlignment="1">
      <alignment horizontal="center"/>
    </xf>
    <xf numFmtId="0" fontId="0" fillId="3" borderId="0" xfId="0" applyFont="1" applyFill="1"/>
    <xf numFmtId="44" fontId="11" fillId="15" borderId="0" xfId="1" applyFont="1" applyFill="1" applyBorder="1"/>
    <xf numFmtId="0" fontId="2" fillId="0" borderId="0" xfId="0" applyFont="1" applyFill="1" applyAlignment="1">
      <alignment horizontal="center" wrapText="1"/>
    </xf>
    <xf numFmtId="16" fontId="2" fillId="0" borderId="57" xfId="0" applyNumberFormat="1" applyFont="1" applyFill="1" applyBorder="1"/>
    <xf numFmtId="44" fontId="0" fillId="0" borderId="77" xfId="1" applyFont="1" applyBorder="1"/>
    <xf numFmtId="44" fontId="2" fillId="0" borderId="28" xfId="1" applyFont="1" applyBorder="1"/>
    <xf numFmtId="44" fontId="2" fillId="0" borderId="0" xfId="1" applyFont="1" applyBorder="1"/>
    <xf numFmtId="0" fontId="68" fillId="0" borderId="0" xfId="0" applyFont="1" applyFill="1" applyBorder="1" applyAlignment="1">
      <alignment horizontal="left"/>
    </xf>
    <xf numFmtId="44" fontId="11" fillId="3" borderId="0" xfId="1" applyFont="1" applyFill="1" applyBorder="1"/>
    <xf numFmtId="0" fontId="0" fillId="3" borderId="0" xfId="0" applyFill="1" applyBorder="1"/>
    <xf numFmtId="44" fontId="2" fillId="16" borderId="0" xfId="0" applyNumberFormat="1" applyFont="1" applyFill="1" applyBorder="1"/>
    <xf numFmtId="0" fontId="68" fillId="0" borderId="0" xfId="0" applyFont="1" applyFill="1" applyBorder="1"/>
    <xf numFmtId="0" fontId="2" fillId="16" borderId="27" xfId="0" applyFont="1" applyFill="1" applyBorder="1" applyAlignment="1">
      <alignment horizontal="center"/>
    </xf>
    <xf numFmtId="0" fontId="2" fillId="16" borderId="25" xfId="0" applyFont="1" applyFill="1" applyBorder="1" applyAlignment="1">
      <alignment horizontal="left" wrapText="1"/>
    </xf>
    <xf numFmtId="0" fontId="2" fillId="16" borderId="25" xfId="0" applyFont="1" applyFill="1" applyBorder="1" applyAlignment="1">
      <alignment horizontal="center"/>
    </xf>
    <xf numFmtId="166" fontId="15" fillId="0" borderId="50" xfId="0" applyNumberFormat="1" applyFont="1" applyFill="1" applyBorder="1"/>
    <xf numFmtId="0" fontId="2" fillId="16" borderId="25" xfId="0" applyFont="1" applyFill="1" applyBorder="1" applyAlignment="1">
      <alignment horizontal="center" wrapText="1"/>
    </xf>
    <xf numFmtId="44" fontId="3" fillId="17" borderId="0" xfId="1" applyFont="1" applyFill="1" applyAlignment="1">
      <alignment horizontal="center"/>
    </xf>
    <xf numFmtId="49" fontId="3" fillId="21" borderId="102" xfId="0" applyNumberFormat="1" applyFont="1" applyFill="1" applyBorder="1"/>
    <xf numFmtId="0" fontId="3" fillId="21" borderId="88" xfId="0" applyFont="1" applyFill="1" applyBorder="1" applyAlignment="1">
      <alignment horizontal="center"/>
    </xf>
    <xf numFmtId="44" fontId="3" fillId="21" borderId="88" xfId="1" applyFont="1" applyFill="1" applyBorder="1"/>
    <xf numFmtId="49" fontId="0" fillId="0" borderId="91" xfId="0" applyNumberFormat="1" applyFont="1" applyFill="1" applyBorder="1"/>
    <xf numFmtId="0" fontId="0" fillId="0" borderId="86" xfId="0" applyFont="1" applyFill="1" applyBorder="1"/>
    <xf numFmtId="44" fontId="0" fillId="0" borderId="86" xfId="1" applyFont="1" applyFill="1" applyBorder="1"/>
    <xf numFmtId="49" fontId="0" fillId="0" borderId="86" xfId="0" applyNumberFormat="1" applyFont="1" applyFill="1" applyBorder="1"/>
    <xf numFmtId="164" fontId="0" fillId="0" borderId="91" xfId="0" applyNumberFormat="1" applyFont="1" applyFill="1" applyBorder="1"/>
    <xf numFmtId="165" fontId="3" fillId="16" borderId="25" xfId="0" applyNumberFormat="1" applyFont="1" applyFill="1" applyBorder="1" applyAlignment="1">
      <alignment wrapText="1"/>
    </xf>
    <xf numFmtId="0" fontId="76" fillId="0" borderId="0" xfId="0" applyFont="1"/>
    <xf numFmtId="16" fontId="19" fillId="0" borderId="0" xfId="0" applyNumberFormat="1" applyFont="1" applyBorder="1"/>
    <xf numFmtId="164" fontId="0" fillId="0" borderId="0" xfId="0" applyNumberFormat="1" applyBorder="1"/>
    <xf numFmtId="165" fontId="64" fillId="0" borderId="25" xfId="1" applyNumberFormat="1" applyFont="1" applyFill="1" applyBorder="1" applyAlignment="1">
      <alignment horizontal="center"/>
    </xf>
    <xf numFmtId="0" fontId="21" fillId="0" borderId="25" xfId="0" applyFont="1" applyFill="1" applyBorder="1" applyAlignment="1">
      <alignment horizontal="left"/>
    </xf>
    <xf numFmtId="0" fontId="2" fillId="0" borderId="25" xfId="0" applyFont="1" applyFill="1" applyBorder="1" applyAlignment="1">
      <alignment horizontal="left"/>
    </xf>
    <xf numFmtId="0" fontId="68" fillId="0" borderId="25" xfId="0" applyFont="1" applyFill="1" applyBorder="1" applyAlignment="1">
      <alignment horizontal="left"/>
    </xf>
    <xf numFmtId="0" fontId="74" fillId="0" borderId="25" xfId="0" applyFont="1" applyFill="1" applyBorder="1" applyAlignment="1">
      <alignment horizontal="left"/>
    </xf>
    <xf numFmtId="165" fontId="3" fillId="18" borderId="25" xfId="0" applyNumberFormat="1" applyFont="1" applyFill="1" applyBorder="1" applyAlignment="1">
      <alignment wrapText="1"/>
    </xf>
    <xf numFmtId="165" fontId="3" fillId="24" borderId="25" xfId="0" applyNumberFormat="1" applyFont="1" applyFill="1" applyBorder="1"/>
    <xf numFmtId="165" fontId="3" fillId="6" borderId="25" xfId="0" applyNumberFormat="1" applyFont="1" applyFill="1" applyBorder="1"/>
    <xf numFmtId="165" fontId="3" fillId="6" borderId="25" xfId="0" applyNumberFormat="1" applyFont="1" applyFill="1" applyBorder="1" applyAlignment="1">
      <alignment horizontal="center" wrapText="1"/>
    </xf>
    <xf numFmtId="44" fontId="0" fillId="0" borderId="4" xfId="1" applyFont="1" applyBorder="1"/>
    <xf numFmtId="44" fontId="3" fillId="0" borderId="2" xfId="1" applyFont="1" applyFill="1" applyBorder="1"/>
    <xf numFmtId="44" fontId="3" fillId="0" borderId="33" xfId="1" applyFont="1" applyFill="1" applyBorder="1"/>
    <xf numFmtId="44" fontId="0" fillId="0" borderId="59" xfId="1" applyFont="1" applyBorder="1"/>
    <xf numFmtId="0" fontId="0" fillId="0" borderId="109" xfId="0" applyBorder="1"/>
    <xf numFmtId="0" fontId="0" fillId="0" borderId="110" xfId="0" applyBorder="1"/>
    <xf numFmtId="0" fontId="0" fillId="0" borderId="111" xfId="0" applyBorder="1"/>
    <xf numFmtId="0" fontId="0" fillId="0" borderId="30" xfId="0" applyBorder="1"/>
    <xf numFmtId="0" fontId="0" fillId="0" borderId="112" xfId="0" applyBorder="1"/>
    <xf numFmtId="0" fontId="0" fillId="0" borderId="113" xfId="0" applyBorder="1"/>
    <xf numFmtId="44" fontId="13" fillId="0" borderId="0" xfId="1" applyFont="1" applyFill="1" applyBorder="1" applyAlignment="1">
      <alignment horizontal="center" vertical="center"/>
    </xf>
    <xf numFmtId="0" fontId="2" fillId="0" borderId="25" xfId="0" applyFont="1" applyFill="1" applyBorder="1" applyAlignment="1">
      <alignment horizontal="left" wrapText="1"/>
    </xf>
    <xf numFmtId="166" fontId="19" fillId="0" borderId="0" xfId="0" applyNumberFormat="1" applyFont="1" applyFill="1" applyAlignment="1">
      <alignment horizontal="left"/>
    </xf>
    <xf numFmtId="15" fontId="2" fillId="0" borderId="30" xfId="0" applyNumberFormat="1" applyFont="1" applyFill="1" applyBorder="1"/>
    <xf numFmtId="164" fontId="2" fillId="0" borderId="74" xfId="0" applyNumberFormat="1" applyFont="1" applyFill="1" applyBorder="1" applyAlignment="1">
      <alignment horizontal="center"/>
    </xf>
    <xf numFmtId="15" fontId="2" fillId="0" borderId="77" xfId="0" applyNumberFormat="1" applyFont="1" applyFill="1" applyBorder="1"/>
    <xf numFmtId="164" fontId="3" fillId="0" borderId="1" xfId="0" applyNumberFormat="1" applyFont="1" applyFill="1" applyBorder="1" applyAlignment="1">
      <alignment horizontal="center" vertical="center" wrapText="1"/>
    </xf>
    <xf numFmtId="164" fontId="3" fillId="0" borderId="3" xfId="0" applyNumberFormat="1" applyFont="1" applyFill="1" applyBorder="1" applyAlignment="1">
      <alignment horizontal="center" vertical="center" wrapText="1"/>
    </xf>
    <xf numFmtId="0" fontId="40" fillId="0" borderId="2" xfId="0" applyFont="1" applyBorder="1" applyAlignment="1">
      <alignment horizontal="center"/>
    </xf>
    <xf numFmtId="0" fontId="40" fillId="0" borderId="0" xfId="0" applyFont="1" applyAlignment="1">
      <alignment horizontal="center"/>
    </xf>
    <xf numFmtId="44" fontId="4" fillId="0" borderId="0" xfId="1" applyFont="1" applyBorder="1" applyAlignment="1">
      <alignment horizontal="center"/>
    </xf>
    <xf numFmtId="44" fontId="4" fillId="0" borderId="4" xfId="1" applyFont="1" applyBorder="1" applyAlignment="1">
      <alignment horizontal="center"/>
    </xf>
    <xf numFmtId="0" fontId="7" fillId="2" borderId="6" xfId="0" applyFont="1" applyFill="1" applyBorder="1" applyAlignment="1">
      <alignment horizontal="center" vertical="center" wrapText="1"/>
    </xf>
    <xf numFmtId="0" fontId="11" fillId="0" borderId="11" xfId="0" applyFont="1" applyBorder="1" applyAlignment="1">
      <alignment horizontal="center"/>
    </xf>
    <xf numFmtId="0" fontId="11" fillId="0" borderId="12" xfId="0" applyFont="1" applyBorder="1" applyAlignment="1">
      <alignment horizontal="center"/>
    </xf>
    <xf numFmtId="0" fontId="12" fillId="0" borderId="13" xfId="0" applyFont="1" applyBorder="1" applyAlignment="1">
      <alignment horizontal="center"/>
    </xf>
    <xf numFmtId="0" fontId="12" fillId="0" borderId="14" xfId="0" applyFont="1" applyBorder="1" applyAlignment="1">
      <alignment horizontal="center"/>
    </xf>
    <xf numFmtId="0" fontId="27" fillId="0" borderId="49" xfId="0" applyFont="1" applyBorder="1" applyAlignment="1">
      <alignment horizontal="center"/>
    </xf>
    <xf numFmtId="0" fontId="27" fillId="0" borderId="50" xfId="0" applyFont="1" applyBorder="1" applyAlignment="1">
      <alignment horizontal="center"/>
    </xf>
    <xf numFmtId="44" fontId="11" fillId="6" borderId="13" xfId="1" applyFont="1" applyFill="1" applyBorder="1" applyAlignment="1">
      <alignment horizontal="center"/>
    </xf>
    <xf numFmtId="44" fontId="11" fillId="6" borderId="51" xfId="1" applyFont="1" applyFill="1" applyBorder="1" applyAlignment="1">
      <alignment horizontal="center"/>
    </xf>
    <xf numFmtId="166" fontId="11" fillId="6" borderId="51" xfId="1" applyNumberFormat="1" applyFont="1" applyFill="1" applyBorder="1" applyAlignment="1">
      <alignment horizontal="center"/>
    </xf>
    <xf numFmtId="0" fontId="14" fillId="5" borderId="7" xfId="0" applyFont="1" applyFill="1" applyBorder="1" applyAlignment="1">
      <alignment horizontal="center"/>
    </xf>
    <xf numFmtId="0" fontId="14" fillId="5" borderId="16" xfId="0" applyFont="1" applyFill="1" applyBorder="1" applyAlignment="1">
      <alignment horizontal="center"/>
    </xf>
    <xf numFmtId="44" fontId="13" fillId="0" borderId="35" xfId="1" applyFont="1" applyFill="1" applyBorder="1" applyAlignment="1">
      <alignment horizontal="center" vertical="center"/>
    </xf>
    <xf numFmtId="44" fontId="13" fillId="0" borderId="37" xfId="1" applyFont="1" applyFill="1" applyBorder="1" applyAlignment="1">
      <alignment horizontal="center" vertical="center"/>
    </xf>
    <xf numFmtId="44" fontId="13" fillId="0" borderId="36" xfId="1" applyFont="1" applyFill="1" applyBorder="1" applyAlignment="1">
      <alignment horizontal="center" vertical="center"/>
    </xf>
    <xf numFmtId="44" fontId="13" fillId="0" borderId="38" xfId="1" applyFont="1" applyFill="1" applyBorder="1" applyAlignment="1">
      <alignment horizontal="center" vertical="center"/>
    </xf>
    <xf numFmtId="166" fontId="10" fillId="0" borderId="26" xfId="0" applyNumberFormat="1" applyFont="1" applyBorder="1" applyAlignment="1">
      <alignment horizontal="center" vertical="center" wrapText="1"/>
    </xf>
    <xf numFmtId="166" fontId="10" fillId="0" borderId="49" xfId="0" applyNumberFormat="1" applyFont="1" applyBorder="1" applyAlignment="1">
      <alignment horizontal="center" vertical="center" wrapText="1"/>
    </xf>
    <xf numFmtId="166" fontId="10" fillId="0" borderId="49" xfId="0" applyNumberFormat="1" applyFont="1" applyBorder="1" applyAlignment="1">
      <alignment horizontal="center"/>
    </xf>
    <xf numFmtId="0" fontId="10" fillId="0" borderId="50" xfId="0" applyFont="1" applyBorder="1" applyAlignment="1">
      <alignment horizontal="center"/>
    </xf>
    <xf numFmtId="167" fontId="11" fillId="0" borderId="7" xfId="1" applyNumberFormat="1" applyFont="1" applyFill="1" applyBorder="1" applyAlignment="1">
      <alignment horizontal="center" vertical="center" wrapText="1"/>
    </xf>
    <xf numFmtId="167" fontId="11" fillId="0" borderId="16" xfId="1" applyNumberFormat="1" applyFont="1" applyFill="1" applyBorder="1" applyAlignment="1">
      <alignment horizontal="center" vertical="center" wrapText="1"/>
    </xf>
    <xf numFmtId="166" fontId="10" fillId="0" borderId="0" xfId="0" applyNumberFormat="1" applyFont="1" applyAlignment="1">
      <alignment horizontal="center" vertical="center" wrapText="1"/>
    </xf>
    <xf numFmtId="44" fontId="10" fillId="0" borderId="26" xfId="1" applyFont="1" applyBorder="1" applyAlignment="1">
      <alignment horizontal="center" vertical="center" wrapText="1"/>
    </xf>
    <xf numFmtId="44" fontId="10" fillId="0" borderId="49" xfId="1" applyFont="1" applyBorder="1" applyAlignment="1">
      <alignment horizontal="center" vertical="center" wrapText="1"/>
    </xf>
    <xf numFmtId="44" fontId="11" fillId="0" borderId="49" xfId="1" applyFont="1" applyBorder="1" applyAlignment="1">
      <alignment horizontal="center"/>
    </xf>
    <xf numFmtId="44" fontId="11" fillId="0" borderId="50" xfId="1" applyFont="1" applyBorder="1" applyAlignment="1">
      <alignment horizontal="center"/>
    </xf>
    <xf numFmtId="44" fontId="12" fillId="0" borderId="26" xfId="1" applyFont="1" applyBorder="1" applyAlignment="1">
      <alignment horizontal="center"/>
    </xf>
    <xf numFmtId="44" fontId="12" fillId="0" borderId="49" xfId="1" applyFont="1" applyBorder="1" applyAlignment="1">
      <alignment horizontal="center"/>
    </xf>
    <xf numFmtId="1" fontId="43" fillId="6" borderId="28" xfId="0" applyNumberFormat="1" applyFont="1" applyFill="1" applyBorder="1" applyAlignment="1">
      <alignment horizontal="center" vertical="center" wrapText="1"/>
    </xf>
    <xf numFmtId="1" fontId="43" fillId="6" borderId="21" xfId="0" applyNumberFormat="1" applyFont="1" applyFill="1" applyBorder="1" applyAlignment="1">
      <alignment horizontal="center" vertical="center" wrapText="1"/>
    </xf>
    <xf numFmtId="44" fontId="13" fillId="0" borderId="57" xfId="1" applyFont="1" applyBorder="1" applyAlignment="1">
      <alignment horizontal="center" vertical="center"/>
    </xf>
    <xf numFmtId="44" fontId="13" fillId="0" borderId="77" xfId="1" applyFont="1" applyBorder="1" applyAlignment="1">
      <alignment horizontal="center" vertical="center"/>
    </xf>
    <xf numFmtId="44" fontId="13" fillId="0" borderId="58" xfId="1" applyFont="1" applyBorder="1" applyAlignment="1">
      <alignment horizontal="center" vertical="center"/>
    </xf>
    <xf numFmtId="44" fontId="13" fillId="0" borderId="33" xfId="1" applyFont="1" applyBorder="1" applyAlignment="1">
      <alignment horizontal="center" vertical="center"/>
    </xf>
    <xf numFmtId="44" fontId="13" fillId="0" borderId="5" xfId="1" applyFont="1" applyBorder="1" applyAlignment="1">
      <alignment horizontal="center" vertical="center"/>
    </xf>
    <xf numFmtId="44" fontId="13" fillId="0" borderId="59" xfId="1" applyFont="1" applyBorder="1" applyAlignment="1">
      <alignment horizontal="center" vertical="center"/>
    </xf>
    <xf numFmtId="0" fontId="14" fillId="5" borderId="0" xfId="0" applyFont="1" applyFill="1" applyBorder="1" applyAlignment="1">
      <alignment horizontal="center" wrapText="1"/>
    </xf>
    <xf numFmtId="0" fontId="14" fillId="5" borderId="5" xfId="0" applyFont="1" applyFill="1" applyBorder="1" applyAlignment="1">
      <alignment horizontal="center" wrapText="1"/>
    </xf>
    <xf numFmtId="44" fontId="16" fillId="3" borderId="69" xfId="1" applyFont="1" applyFill="1" applyBorder="1" applyAlignment="1">
      <alignment horizontal="center" vertical="center"/>
    </xf>
    <xf numFmtId="44" fontId="16" fillId="3" borderId="71" xfId="1" applyFont="1" applyFill="1" applyBorder="1" applyAlignment="1">
      <alignment horizontal="center" vertical="center"/>
    </xf>
    <xf numFmtId="44" fontId="2" fillId="3" borderId="70" xfId="1" applyFont="1" applyFill="1" applyBorder="1" applyAlignment="1">
      <alignment horizontal="center" vertical="center"/>
    </xf>
    <xf numFmtId="44" fontId="2" fillId="3" borderId="72" xfId="1" applyFont="1" applyFill="1" applyBorder="1" applyAlignment="1">
      <alignment horizontal="center" vertical="center"/>
    </xf>
    <xf numFmtId="44" fontId="41" fillId="3" borderId="1" xfId="1" applyFont="1" applyFill="1" applyBorder="1" applyAlignment="1">
      <alignment horizontal="center" vertical="center"/>
    </xf>
    <xf numFmtId="44" fontId="41" fillId="3" borderId="3" xfId="1" applyFont="1" applyFill="1" applyBorder="1" applyAlignment="1">
      <alignment horizontal="center" vertical="center"/>
    </xf>
    <xf numFmtId="0" fontId="10" fillId="0" borderId="49" xfId="0" applyFont="1" applyBorder="1" applyAlignment="1">
      <alignment horizontal="center"/>
    </xf>
    <xf numFmtId="166" fontId="10" fillId="0" borderId="25" xfId="0" applyNumberFormat="1" applyFont="1" applyBorder="1" applyAlignment="1">
      <alignment horizontal="center" vertical="center" wrapText="1"/>
    </xf>
    <xf numFmtId="44" fontId="13" fillId="9" borderId="0" xfId="1" applyFont="1" applyFill="1" applyAlignment="1">
      <alignment horizontal="center" vertical="center"/>
    </xf>
    <xf numFmtId="7" fontId="33" fillId="0" borderId="0" xfId="1" applyNumberFormat="1" applyFont="1" applyFill="1" applyBorder="1" applyAlignment="1">
      <alignment horizontal="center"/>
    </xf>
    <xf numFmtId="44" fontId="33" fillId="0" borderId="0" xfId="1" applyFont="1" applyFill="1" applyBorder="1" applyAlignment="1">
      <alignment horizontal="center"/>
    </xf>
    <xf numFmtId="44" fontId="3" fillId="0" borderId="0" xfId="1" applyFont="1" applyFill="1" applyBorder="1" applyAlignment="1">
      <alignment horizontal="center" wrapText="1"/>
    </xf>
    <xf numFmtId="44" fontId="11" fillId="14" borderId="65" xfId="1" applyFont="1" applyFill="1" applyBorder="1" applyAlignment="1">
      <alignment horizontal="center" vertical="center"/>
    </xf>
    <xf numFmtId="44" fontId="11" fillId="14" borderId="41" xfId="1" applyFont="1" applyFill="1" applyBorder="1" applyAlignment="1">
      <alignment horizontal="center" vertical="center"/>
    </xf>
    <xf numFmtId="44" fontId="13" fillId="0" borderId="0" xfId="1" applyFont="1" applyFill="1" applyBorder="1" applyAlignment="1">
      <alignment horizontal="center"/>
    </xf>
    <xf numFmtId="166" fontId="33" fillId="0" borderId="0" xfId="1" applyNumberFormat="1" applyFont="1" applyFill="1" applyBorder="1" applyAlignment="1">
      <alignment horizontal="center" vertical="center"/>
    </xf>
    <xf numFmtId="7" fontId="11" fillId="0" borderId="0" xfId="1" applyNumberFormat="1" applyFont="1" applyFill="1" applyBorder="1" applyAlignment="1">
      <alignment horizontal="center"/>
    </xf>
    <xf numFmtId="44" fontId="3" fillId="3" borderId="74" xfId="1" applyFont="1" applyFill="1" applyBorder="1" applyAlignment="1">
      <alignment horizontal="center" vertical="center"/>
    </xf>
    <xf numFmtId="44" fontId="3" fillId="3" borderId="0" xfId="1" applyFont="1" applyFill="1" applyAlignment="1">
      <alignment horizontal="center" vertical="center"/>
    </xf>
    <xf numFmtId="44" fontId="2" fillId="17" borderId="1" xfId="1" applyFont="1" applyFill="1" applyBorder="1" applyAlignment="1">
      <alignment horizontal="center" vertical="center" wrapText="1"/>
    </xf>
    <xf numFmtId="44" fontId="2" fillId="17" borderId="82" xfId="1" applyFont="1" applyFill="1" applyBorder="1" applyAlignment="1">
      <alignment horizontal="center" vertical="center" wrapText="1"/>
    </xf>
    <xf numFmtId="0" fontId="53" fillId="0" borderId="2" xfId="0" applyFont="1" applyBorder="1" applyAlignment="1">
      <alignment horizontal="center"/>
    </xf>
    <xf numFmtId="0" fontId="53" fillId="0" borderId="0" xfId="0" applyFont="1" applyAlignment="1">
      <alignment horizontal="center"/>
    </xf>
    <xf numFmtId="49" fontId="3" fillId="17" borderId="92" xfId="0" applyNumberFormat="1" applyFont="1" applyFill="1" applyBorder="1" applyAlignment="1">
      <alignment horizontal="center" vertical="center" wrapText="1"/>
    </xf>
    <xf numFmtId="49" fontId="3" fillId="17" borderId="74" xfId="0" applyNumberFormat="1" applyFont="1" applyFill="1" applyBorder="1" applyAlignment="1">
      <alignment horizontal="center" vertical="center" wrapText="1"/>
    </xf>
    <xf numFmtId="49" fontId="3" fillId="17" borderId="73" xfId="0" applyNumberFormat="1" applyFont="1" applyFill="1" applyBorder="1" applyAlignment="1">
      <alignment horizontal="center" vertical="center" wrapText="1"/>
    </xf>
    <xf numFmtId="49" fontId="3" fillId="17" borderId="29" xfId="0" applyNumberFormat="1" applyFont="1" applyFill="1" applyBorder="1" applyAlignment="1">
      <alignment horizontal="center" vertical="center" wrapText="1"/>
    </xf>
    <xf numFmtId="49" fontId="3" fillId="17" borderId="0" xfId="0" applyNumberFormat="1" applyFont="1" applyFill="1" applyBorder="1" applyAlignment="1">
      <alignment horizontal="center" vertical="center" wrapText="1"/>
    </xf>
    <xf numFmtId="49" fontId="3" fillId="17" borderId="90" xfId="0" applyNumberFormat="1" applyFont="1" applyFill="1" applyBorder="1" applyAlignment="1">
      <alignment horizontal="center" vertical="center" wrapText="1"/>
    </xf>
    <xf numFmtId="49" fontId="3" fillId="17" borderId="76" xfId="0" applyNumberFormat="1" applyFont="1" applyFill="1" applyBorder="1" applyAlignment="1">
      <alignment horizontal="center" vertical="center" wrapText="1"/>
    </xf>
    <xf numFmtId="49" fontId="3" fillId="17" borderId="39" xfId="0" applyNumberFormat="1" applyFont="1" applyFill="1" applyBorder="1" applyAlignment="1">
      <alignment horizontal="center" vertical="center" wrapText="1"/>
    </xf>
    <xf numFmtId="49" fontId="3" fillId="17" borderId="53" xfId="0" applyNumberFormat="1" applyFont="1" applyFill="1" applyBorder="1" applyAlignment="1">
      <alignment horizontal="center" vertical="center" wrapText="1"/>
    </xf>
    <xf numFmtId="0" fontId="19" fillId="19" borderId="57" xfId="0" applyFont="1" applyFill="1" applyBorder="1" applyAlignment="1">
      <alignment horizontal="center" wrapText="1"/>
    </xf>
    <xf numFmtId="0" fontId="19" fillId="19" borderId="77" xfId="0" applyFont="1" applyFill="1" applyBorder="1" applyAlignment="1">
      <alignment horizontal="center" wrapText="1"/>
    </xf>
    <xf numFmtId="0" fontId="19" fillId="19" borderId="58" xfId="0" applyFont="1" applyFill="1" applyBorder="1" applyAlignment="1">
      <alignment horizontal="center" wrapText="1"/>
    </xf>
    <xf numFmtId="0" fontId="19" fillId="19" borderId="33" xfId="0" applyFont="1" applyFill="1" applyBorder="1" applyAlignment="1">
      <alignment horizontal="center" wrapText="1"/>
    </xf>
    <xf numFmtId="0" fontId="19" fillId="19" borderId="5" xfId="0" applyFont="1" applyFill="1" applyBorder="1" applyAlignment="1">
      <alignment horizontal="center" wrapText="1"/>
    </xf>
    <xf numFmtId="0" fontId="19" fillId="19" borderId="59" xfId="0" applyFont="1" applyFill="1" applyBorder="1" applyAlignment="1">
      <alignment horizontal="center" wrapText="1"/>
    </xf>
    <xf numFmtId="49" fontId="59" fillId="3" borderId="92" xfId="0" applyNumberFormat="1" applyFont="1" applyFill="1" applyBorder="1" applyAlignment="1">
      <alignment horizontal="center"/>
    </xf>
    <xf numFmtId="49" fontId="59" fillId="3" borderId="73" xfId="0" applyNumberFormat="1" applyFont="1" applyFill="1" applyBorder="1" applyAlignment="1">
      <alignment horizontal="center"/>
    </xf>
    <xf numFmtId="49" fontId="59" fillId="3" borderId="76" xfId="0" applyNumberFormat="1" applyFont="1" applyFill="1" applyBorder="1" applyAlignment="1">
      <alignment horizontal="center"/>
    </xf>
    <xf numFmtId="49" fontId="59" fillId="3" borderId="53" xfId="0" applyNumberFormat="1" applyFont="1" applyFill="1" applyBorder="1" applyAlignment="1">
      <alignment horizontal="center"/>
    </xf>
    <xf numFmtId="164" fontId="60" fillId="15" borderId="29" xfId="0" applyNumberFormat="1" applyFont="1" applyFill="1" applyBorder="1" applyAlignment="1">
      <alignment horizontal="center" vertical="center"/>
    </xf>
    <xf numFmtId="164" fontId="60" fillId="15" borderId="90" xfId="0" applyNumberFormat="1" applyFont="1" applyFill="1" applyBorder="1" applyAlignment="1">
      <alignment horizontal="center" vertical="center"/>
    </xf>
    <xf numFmtId="164" fontId="60" fillId="15" borderId="93" xfId="0" applyNumberFormat="1" applyFont="1" applyFill="1" applyBorder="1" applyAlignment="1">
      <alignment horizontal="center" vertical="center"/>
    </xf>
    <xf numFmtId="164" fontId="60" fillId="15" borderId="87" xfId="0" applyNumberFormat="1" applyFont="1" applyFill="1" applyBorder="1" applyAlignment="1">
      <alignment horizontal="center" vertical="center"/>
    </xf>
    <xf numFmtId="44" fontId="11" fillId="3" borderId="1" xfId="1" applyFont="1" applyFill="1" applyBorder="1" applyAlignment="1">
      <alignment horizontal="center" vertical="center"/>
    </xf>
    <xf numFmtId="44" fontId="11" fillId="3" borderId="3" xfId="1" applyFont="1" applyFill="1" applyBorder="1" applyAlignment="1">
      <alignment horizontal="center" vertical="center"/>
    </xf>
    <xf numFmtId="7" fontId="13" fillId="6" borderId="7" xfId="1" applyNumberFormat="1" applyFont="1" applyFill="1" applyBorder="1" applyAlignment="1">
      <alignment horizontal="center" vertical="center"/>
    </xf>
    <xf numFmtId="7" fontId="13" fillId="6" borderId="16" xfId="1" applyNumberFormat="1" applyFont="1" applyFill="1" applyBorder="1" applyAlignment="1">
      <alignment horizontal="center" vertical="center"/>
    </xf>
    <xf numFmtId="16" fontId="11" fillId="0" borderId="0" xfId="0" applyNumberFormat="1" applyFont="1" applyAlignment="1">
      <alignment horizontal="center"/>
    </xf>
    <xf numFmtId="164" fontId="60" fillId="15" borderId="92" xfId="0" applyNumberFormat="1" applyFont="1" applyFill="1" applyBorder="1" applyAlignment="1">
      <alignment horizontal="center" vertical="center"/>
    </xf>
    <xf numFmtId="164" fontId="60" fillId="15" borderId="73" xfId="0" applyNumberFormat="1" applyFont="1" applyFill="1" applyBorder="1" applyAlignment="1">
      <alignment horizontal="center" vertical="center"/>
    </xf>
    <xf numFmtId="164" fontId="60" fillId="15" borderId="76" xfId="0" applyNumberFormat="1" applyFont="1" applyFill="1" applyBorder="1" applyAlignment="1">
      <alignment horizontal="center" vertical="center"/>
    </xf>
    <xf numFmtId="164" fontId="60" fillId="15" borderId="53" xfId="0" applyNumberFormat="1" applyFont="1" applyFill="1" applyBorder="1" applyAlignment="1">
      <alignment horizontal="center" vertical="center"/>
    </xf>
    <xf numFmtId="0" fontId="33" fillId="6" borderId="57" xfId="0" applyFont="1" applyFill="1" applyBorder="1" applyAlignment="1">
      <alignment horizontal="center" vertical="center"/>
    </xf>
    <xf numFmtId="0" fontId="33" fillId="6" borderId="58" xfId="0" applyFont="1" applyFill="1" applyBorder="1" applyAlignment="1">
      <alignment horizontal="center" vertical="center"/>
    </xf>
    <xf numFmtId="0" fontId="33" fillId="6" borderId="33" xfId="0" applyFont="1" applyFill="1" applyBorder="1" applyAlignment="1">
      <alignment horizontal="center" vertical="center"/>
    </xf>
    <xf numFmtId="0" fontId="33" fillId="6" borderId="59" xfId="0" applyFont="1" applyFill="1" applyBorder="1" applyAlignment="1">
      <alignment horizontal="center" vertical="center"/>
    </xf>
    <xf numFmtId="49" fontId="29" fillId="24" borderId="92" xfId="0" applyNumberFormat="1" applyFont="1" applyFill="1" applyBorder="1" applyAlignment="1">
      <alignment horizontal="center" vertical="center"/>
    </xf>
    <xf numFmtId="49" fontId="29" fillId="24" borderId="73" xfId="0" applyNumberFormat="1" applyFont="1" applyFill="1" applyBorder="1" applyAlignment="1">
      <alignment horizontal="center" vertical="center"/>
    </xf>
    <xf numFmtId="49" fontId="29" fillId="24" borderId="29" xfId="0" applyNumberFormat="1" applyFont="1" applyFill="1" applyBorder="1" applyAlignment="1">
      <alignment horizontal="center" vertical="center"/>
    </xf>
    <xf numFmtId="49" fontId="29" fillId="24" borderId="90" xfId="0" applyNumberFormat="1" applyFont="1" applyFill="1" applyBorder="1" applyAlignment="1">
      <alignment horizontal="center" vertical="center"/>
    </xf>
    <xf numFmtId="49" fontId="29" fillId="24" borderId="76" xfId="0" applyNumberFormat="1" applyFont="1" applyFill="1" applyBorder="1" applyAlignment="1">
      <alignment horizontal="center" vertical="center"/>
    </xf>
    <xf numFmtId="49" fontId="29" fillId="24" borderId="53" xfId="0" applyNumberFormat="1" applyFont="1" applyFill="1" applyBorder="1" applyAlignment="1">
      <alignment horizontal="center" vertical="center"/>
    </xf>
    <xf numFmtId="44" fontId="61" fillId="16" borderId="1" xfId="1" applyFont="1" applyFill="1" applyBorder="1" applyAlignment="1">
      <alignment horizontal="center" vertical="center"/>
    </xf>
    <xf numFmtId="44" fontId="61" fillId="16" borderId="3" xfId="1" applyFont="1" applyFill="1" applyBorder="1" applyAlignment="1">
      <alignment horizontal="center" vertical="center"/>
    </xf>
    <xf numFmtId="166" fontId="13" fillId="6" borderId="7" xfId="1" applyNumberFormat="1" applyFont="1" applyFill="1" applyBorder="1" applyAlignment="1">
      <alignment horizontal="center" vertical="center"/>
    </xf>
    <xf numFmtId="166" fontId="13" fillId="6" borderId="16" xfId="1" applyNumberFormat="1" applyFont="1" applyFill="1" applyBorder="1" applyAlignment="1">
      <alignment horizontal="center" vertical="center"/>
    </xf>
    <xf numFmtId="44" fontId="33" fillId="0" borderId="7" xfId="1" applyFont="1" applyBorder="1" applyAlignment="1">
      <alignment horizontal="center"/>
    </xf>
    <xf numFmtId="44" fontId="33" fillId="0" borderId="16" xfId="1" applyFont="1" applyBorder="1" applyAlignment="1">
      <alignment horizontal="center"/>
    </xf>
    <xf numFmtId="165" fontId="11" fillId="22" borderId="96" xfId="0" applyNumberFormat="1" applyFont="1" applyFill="1" applyBorder="1" applyAlignment="1">
      <alignment horizontal="center"/>
    </xf>
    <xf numFmtId="165" fontId="62" fillId="3" borderId="57" xfId="0" applyNumberFormat="1" applyFont="1" applyFill="1" applyBorder="1" applyAlignment="1">
      <alignment horizontal="center" vertical="center" wrapText="1"/>
    </xf>
    <xf numFmtId="165" fontId="62" fillId="3" borderId="77" xfId="0" applyNumberFormat="1" applyFont="1" applyFill="1" applyBorder="1" applyAlignment="1">
      <alignment horizontal="center" vertical="center" wrapText="1"/>
    </xf>
    <xf numFmtId="165" fontId="62" fillId="3" borderId="58" xfId="0" applyNumberFormat="1" applyFont="1" applyFill="1" applyBorder="1" applyAlignment="1">
      <alignment horizontal="center" vertical="center" wrapText="1"/>
    </xf>
    <xf numFmtId="165" fontId="62" fillId="3" borderId="33" xfId="0" applyNumberFormat="1" applyFont="1" applyFill="1" applyBorder="1" applyAlignment="1">
      <alignment horizontal="center" vertical="center" wrapText="1"/>
    </xf>
    <xf numFmtId="165" fontId="62" fillId="3" borderId="5" xfId="0" applyNumberFormat="1" applyFont="1" applyFill="1" applyBorder="1" applyAlignment="1">
      <alignment horizontal="center" vertical="center" wrapText="1"/>
    </xf>
    <xf numFmtId="165" fontId="62" fillId="3" borderId="59" xfId="0" applyNumberFormat="1" applyFont="1" applyFill="1" applyBorder="1" applyAlignment="1">
      <alignment horizontal="center" vertical="center" wrapText="1"/>
    </xf>
    <xf numFmtId="44" fontId="33" fillId="3" borderId="7" xfId="0" applyNumberFormat="1" applyFont="1" applyFill="1" applyBorder="1" applyAlignment="1">
      <alignment horizontal="center"/>
    </xf>
    <xf numFmtId="44" fontId="33" fillId="3" borderId="16" xfId="0" applyNumberFormat="1" applyFont="1" applyFill="1" applyBorder="1" applyAlignment="1">
      <alignment horizontal="center"/>
    </xf>
    <xf numFmtId="44" fontId="61" fillId="0" borderId="96" xfId="1" applyFont="1" applyBorder="1" applyAlignment="1">
      <alignment horizontal="center" vertical="center"/>
    </xf>
    <xf numFmtId="44" fontId="61" fillId="0" borderId="108" xfId="1" applyFont="1" applyBorder="1" applyAlignment="1">
      <alignment horizontal="center" vertical="center"/>
    </xf>
    <xf numFmtId="165" fontId="11" fillId="0" borderId="94" xfId="0" applyNumberFormat="1" applyFont="1" applyBorder="1" applyAlignment="1">
      <alignment horizontal="center" vertical="center"/>
    </xf>
    <xf numFmtId="165" fontId="11" fillId="0" borderId="95" xfId="0" applyNumberFormat="1" applyFont="1" applyBorder="1" applyAlignment="1">
      <alignment horizontal="center" vertical="center"/>
    </xf>
    <xf numFmtId="165" fontId="62" fillId="16" borderId="57" xfId="0" applyNumberFormat="1" applyFont="1" applyFill="1" applyBorder="1" applyAlignment="1">
      <alignment horizontal="center" vertical="center" wrapText="1"/>
    </xf>
    <xf numFmtId="165" fontId="62" fillId="16" borderId="77" xfId="0" applyNumberFormat="1" applyFont="1" applyFill="1" applyBorder="1" applyAlignment="1">
      <alignment horizontal="center" vertical="center" wrapText="1"/>
    </xf>
    <xf numFmtId="165" fontId="62" fillId="16" borderId="58" xfId="0" applyNumberFormat="1" applyFont="1" applyFill="1" applyBorder="1" applyAlignment="1">
      <alignment horizontal="center" vertical="center" wrapText="1"/>
    </xf>
    <xf numFmtId="165" fontId="62" fillId="16" borderId="33" xfId="0" applyNumberFormat="1" applyFont="1" applyFill="1" applyBorder="1" applyAlignment="1">
      <alignment horizontal="center" vertical="center" wrapText="1"/>
    </xf>
    <xf numFmtId="165" fontId="62" fillId="16" borderId="5" xfId="0" applyNumberFormat="1" applyFont="1" applyFill="1" applyBorder="1" applyAlignment="1">
      <alignment horizontal="center" vertical="center" wrapText="1"/>
    </xf>
    <xf numFmtId="165" fontId="62" fillId="16" borderId="59" xfId="0" applyNumberFormat="1" applyFont="1" applyFill="1" applyBorder="1" applyAlignment="1">
      <alignment horizontal="center" vertical="center" wrapText="1"/>
    </xf>
    <xf numFmtId="0" fontId="75" fillId="24" borderId="57" xfId="0" applyFont="1" applyFill="1" applyBorder="1" applyAlignment="1">
      <alignment horizontal="center" vertical="center" wrapText="1"/>
    </xf>
    <xf numFmtId="0" fontId="75" fillId="24" borderId="77" xfId="0" applyFont="1" applyFill="1" applyBorder="1" applyAlignment="1">
      <alignment horizontal="center" vertical="center" wrapText="1"/>
    </xf>
    <xf numFmtId="0" fontId="75" fillId="24" borderId="58" xfId="0" applyFont="1" applyFill="1" applyBorder="1" applyAlignment="1">
      <alignment horizontal="center" vertical="center" wrapText="1"/>
    </xf>
    <xf numFmtId="0" fontId="75" fillId="24" borderId="33" xfId="0" applyFont="1" applyFill="1" applyBorder="1" applyAlignment="1">
      <alignment horizontal="center" vertical="center" wrapText="1"/>
    </xf>
    <xf numFmtId="0" fontId="75" fillId="24" borderId="5" xfId="0" applyFont="1" applyFill="1" applyBorder="1" applyAlignment="1">
      <alignment horizontal="center" vertical="center" wrapText="1"/>
    </xf>
    <xf numFmtId="0" fontId="75" fillId="24" borderId="59" xfId="0" applyFont="1" applyFill="1" applyBorder="1" applyAlignment="1">
      <alignment horizontal="center" vertical="center" wrapText="1"/>
    </xf>
    <xf numFmtId="44" fontId="13" fillId="0" borderId="0" xfId="1" applyFont="1" applyFill="1" applyBorder="1" applyAlignment="1">
      <alignment horizontal="center" vertical="center"/>
    </xf>
    <xf numFmtId="44" fontId="11" fillId="0" borderId="0" xfId="1" applyFont="1" applyFill="1" applyBorder="1" applyAlignment="1">
      <alignment horizontal="center" vertical="center"/>
    </xf>
    <xf numFmtId="44" fontId="11" fillId="0" borderId="26" xfId="1" applyFont="1" applyBorder="1" applyAlignment="1">
      <alignment horizontal="center"/>
    </xf>
    <xf numFmtId="44" fontId="11" fillId="14" borderId="13" xfId="1" applyFont="1" applyFill="1" applyBorder="1" applyAlignment="1">
      <alignment horizontal="center"/>
    </xf>
    <xf numFmtId="44" fontId="11" fillId="14" borderId="51" xfId="1" applyFont="1" applyFill="1" applyBorder="1" applyAlignment="1">
      <alignment horizontal="center"/>
    </xf>
    <xf numFmtId="166" fontId="11" fillId="14" borderId="51" xfId="1" applyNumberFormat="1" applyFont="1" applyFill="1" applyBorder="1" applyAlignment="1">
      <alignment horizontal="center"/>
    </xf>
    <xf numFmtId="166" fontId="3" fillId="0" borderId="49" xfId="0" applyNumberFormat="1" applyFont="1" applyBorder="1" applyAlignment="1">
      <alignment horizontal="center"/>
    </xf>
    <xf numFmtId="0" fontId="3" fillId="0" borderId="49" xfId="0" applyFont="1" applyBorder="1" applyAlignment="1">
      <alignment horizontal="center"/>
    </xf>
    <xf numFmtId="44" fontId="11" fillId="18" borderId="74" xfId="0" applyNumberFormat="1" applyFont="1" applyFill="1" applyBorder="1" applyAlignment="1">
      <alignment horizontal="center"/>
    </xf>
    <xf numFmtId="0" fontId="11" fillId="18" borderId="0" xfId="0" applyFont="1" applyFill="1" applyAlignment="1">
      <alignment horizontal="center"/>
    </xf>
    <xf numFmtId="164" fontId="11" fillId="7" borderId="100" xfId="0" applyNumberFormat="1" applyFont="1" applyFill="1" applyBorder="1" applyAlignment="1">
      <alignment horizontal="center" vertical="center" wrapText="1"/>
    </xf>
    <xf numFmtId="164" fontId="11" fillId="7" borderId="101" xfId="0" applyNumberFormat="1" applyFont="1" applyFill="1" applyBorder="1" applyAlignment="1">
      <alignment horizontal="center" vertical="center" wrapText="1"/>
    </xf>
    <xf numFmtId="49" fontId="11" fillId="23" borderId="26" xfId="0" applyNumberFormat="1" applyFont="1" applyFill="1" applyBorder="1" applyAlignment="1">
      <alignment horizontal="center"/>
    </xf>
    <xf numFmtId="49" fontId="11" fillId="23" borderId="50" xfId="0" applyNumberFormat="1" applyFont="1" applyFill="1" applyBorder="1" applyAlignment="1">
      <alignment horizontal="center"/>
    </xf>
    <xf numFmtId="44" fontId="12" fillId="0" borderId="25" xfId="1" applyFont="1" applyBorder="1" applyAlignment="1">
      <alignment horizontal="center"/>
    </xf>
    <xf numFmtId="7" fontId="34" fillId="18" borderId="2" xfId="1" applyNumberFormat="1" applyFont="1" applyFill="1" applyBorder="1" applyAlignment="1">
      <alignment horizontal="center"/>
    </xf>
    <xf numFmtId="7" fontId="34" fillId="18" borderId="4" xfId="1" applyNumberFormat="1" applyFont="1" applyFill="1" applyBorder="1" applyAlignment="1">
      <alignment horizontal="center"/>
    </xf>
    <xf numFmtId="166" fontId="59" fillId="14" borderId="7" xfId="0" applyNumberFormat="1" applyFont="1" applyFill="1" applyBorder="1" applyAlignment="1">
      <alignment horizontal="center"/>
    </xf>
    <xf numFmtId="166" fontId="59" fillId="14" borderId="8" xfId="0" applyNumberFormat="1" applyFont="1" applyFill="1" applyBorder="1" applyAlignment="1">
      <alignment horizontal="center"/>
    </xf>
    <xf numFmtId="166" fontId="59" fillId="14" borderId="16" xfId="0" applyNumberFormat="1" applyFont="1" applyFill="1" applyBorder="1" applyAlignment="1">
      <alignment horizontal="center"/>
    </xf>
    <xf numFmtId="0" fontId="11" fillId="0" borderId="30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0" borderId="112" xfId="0" applyFont="1" applyBorder="1" applyAlignment="1">
      <alignment horizontal="center" vertical="center"/>
    </xf>
    <xf numFmtId="0" fontId="11" fillId="0" borderId="114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115" xfId="0" applyFont="1" applyBorder="1" applyAlignment="1">
      <alignment horizontal="center" vertical="center"/>
    </xf>
    <xf numFmtId="44" fontId="77" fillId="0" borderId="57" xfId="1" applyFont="1" applyFill="1" applyBorder="1" applyAlignment="1">
      <alignment horizontal="center" vertical="center"/>
    </xf>
    <xf numFmtId="44" fontId="77" fillId="0" borderId="58" xfId="1" applyFont="1" applyFill="1" applyBorder="1" applyAlignment="1">
      <alignment horizontal="center" vertical="center"/>
    </xf>
    <xf numFmtId="44" fontId="77" fillId="0" borderId="33" xfId="1" applyFont="1" applyFill="1" applyBorder="1" applyAlignment="1">
      <alignment horizontal="center" vertical="center"/>
    </xf>
    <xf numFmtId="44" fontId="77" fillId="0" borderId="59" xfId="1" applyFont="1" applyFill="1" applyBorder="1" applyAlignment="1">
      <alignment horizontal="center" vertical="center"/>
    </xf>
    <xf numFmtId="44" fontId="11" fillId="9" borderId="13" xfId="1" applyFont="1" applyFill="1" applyBorder="1" applyAlignment="1">
      <alignment horizontal="center"/>
    </xf>
    <xf numFmtId="44" fontId="11" fillId="9" borderId="51" xfId="1" applyFont="1" applyFill="1" applyBorder="1" applyAlignment="1">
      <alignment horizontal="center"/>
    </xf>
    <xf numFmtId="166" fontId="11" fillId="9" borderId="51" xfId="1" applyNumberFormat="1" applyFont="1" applyFill="1" applyBorder="1" applyAlignment="1">
      <alignment horizontal="center"/>
    </xf>
    <xf numFmtId="44" fontId="19" fillId="0" borderId="0" xfId="1" applyFont="1" applyFill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CCFF66"/>
      <color rgb="FF66FFFF"/>
      <color rgb="FFCC99FF"/>
      <color rgb="FFFFCCFF"/>
      <color rgb="FF99CCFF"/>
      <color rgb="FF990033"/>
      <color rgb="FF00FF00"/>
      <color rgb="FFFF00FF"/>
      <color rgb="FF00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 rot="10800000" flipV="1">
          <a:off x="5105400" y="110108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5019675" y="105156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 rot="10800000" flipV="1">
          <a:off x="5105400" y="110108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2181225" y="104965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49</xdr:row>
      <xdr:rowOff>200023</xdr:rowOff>
    </xdr:from>
    <xdr:to>
      <xdr:col>11</xdr:col>
      <xdr:colOff>133352</xdr:colOff>
      <xdr:row>50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 rot="16200000">
          <a:off x="7677151" y="96297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 rot="18916712">
          <a:off x="0" y="113228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 flipV="1">
          <a:off x="5029200" y="113442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62</xdr:row>
      <xdr:rowOff>200024</xdr:rowOff>
    </xdr:from>
    <xdr:to>
      <xdr:col>6</xdr:col>
      <xdr:colOff>285750</xdr:colOff>
      <xdr:row>63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22396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60</xdr:row>
      <xdr:rowOff>123825</xdr:rowOff>
    </xdr:from>
    <xdr:to>
      <xdr:col>7</xdr:col>
      <xdr:colOff>295275</xdr:colOff>
      <xdr:row>62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1744325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62</xdr:row>
      <xdr:rowOff>200024</xdr:rowOff>
    </xdr:from>
    <xdr:to>
      <xdr:col>6</xdr:col>
      <xdr:colOff>285750</xdr:colOff>
      <xdr:row>63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22396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60</xdr:row>
      <xdr:rowOff>104775</xdr:rowOff>
    </xdr:from>
    <xdr:to>
      <xdr:col>5</xdr:col>
      <xdr:colOff>85725</xdr:colOff>
      <xdr:row>62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172527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61</xdr:row>
      <xdr:rowOff>47623</xdr:rowOff>
    </xdr:from>
    <xdr:to>
      <xdr:col>11</xdr:col>
      <xdr:colOff>133352</xdr:colOff>
      <xdr:row>62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481888" y="10863260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64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25420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64</xdr:row>
      <xdr:rowOff>85725</xdr:rowOff>
    </xdr:from>
    <xdr:to>
      <xdr:col>7</xdr:col>
      <xdr:colOff>695325</xdr:colOff>
      <xdr:row>68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2563475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46494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41541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46494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5</xdr:col>
      <xdr:colOff>85725</xdr:colOff>
      <xdr:row>68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41351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67</xdr:row>
      <xdr:rowOff>47623</xdr:rowOff>
    </xdr:from>
    <xdr:to>
      <xdr:col>11</xdr:col>
      <xdr:colOff>133352</xdr:colOff>
      <xdr:row>68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481888" y="132730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70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495182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70</xdr:row>
      <xdr:rowOff>85725</xdr:rowOff>
    </xdr:from>
    <xdr:to>
      <xdr:col>7</xdr:col>
      <xdr:colOff>695325</xdr:colOff>
      <xdr:row>74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4973300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58495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53543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58495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5</xdr:col>
      <xdr:colOff>85725</xdr:colOff>
      <xdr:row>68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53352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67</xdr:row>
      <xdr:rowOff>47623</xdr:rowOff>
    </xdr:from>
    <xdr:to>
      <xdr:col>11</xdr:col>
      <xdr:colOff>133352</xdr:colOff>
      <xdr:row>68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481888" y="144732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70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61519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70</xdr:row>
      <xdr:rowOff>85725</xdr:rowOff>
    </xdr:from>
    <xdr:to>
      <xdr:col>7</xdr:col>
      <xdr:colOff>695325</xdr:colOff>
      <xdr:row>74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6173450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485775</xdr:colOff>
      <xdr:row>24</xdr:row>
      <xdr:rowOff>0</xdr:rowOff>
    </xdr:from>
    <xdr:to>
      <xdr:col>5</xdr:col>
      <xdr:colOff>323850</xdr:colOff>
      <xdr:row>24</xdr:row>
      <xdr:rowOff>19050</xdr:rowOff>
    </xdr:to>
    <xdr:cxnSp macro="">
      <xdr:nvCxnSpPr>
        <xdr:cNvPr id="3" name="Conector recto 2"/>
        <xdr:cNvCxnSpPr/>
      </xdr:nvCxnSpPr>
      <xdr:spPr>
        <a:xfrm>
          <a:off x="1381125" y="5838825"/>
          <a:ext cx="3857625" cy="190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809625</xdr:colOff>
      <xdr:row>69</xdr:row>
      <xdr:rowOff>104775</xdr:rowOff>
    </xdr:from>
    <xdr:to>
      <xdr:col>6</xdr:col>
      <xdr:colOff>361229</xdr:colOff>
      <xdr:row>93</xdr:row>
      <xdr:rowOff>18463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9625" y="11887200"/>
          <a:ext cx="5771429" cy="4695238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596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54686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596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5</xdr:col>
      <xdr:colOff>85725</xdr:colOff>
      <xdr:row>68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54495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67</xdr:row>
      <xdr:rowOff>47623</xdr:rowOff>
    </xdr:from>
    <xdr:to>
      <xdr:col>11</xdr:col>
      <xdr:colOff>133352</xdr:colOff>
      <xdr:row>68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481888" y="145875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70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62662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70</xdr:row>
      <xdr:rowOff>85725</xdr:rowOff>
    </xdr:from>
    <xdr:to>
      <xdr:col>7</xdr:col>
      <xdr:colOff>695325</xdr:colOff>
      <xdr:row>74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6287750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39160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3420725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39160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5</xdr:col>
      <xdr:colOff>85725</xdr:colOff>
      <xdr:row>68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340167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67</xdr:row>
      <xdr:rowOff>47623</xdr:rowOff>
    </xdr:from>
    <xdr:to>
      <xdr:col>11</xdr:col>
      <xdr:colOff>133352</xdr:colOff>
      <xdr:row>68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481888" y="12539660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70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42184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70</xdr:row>
      <xdr:rowOff>85725</xdr:rowOff>
    </xdr:from>
    <xdr:to>
      <xdr:col>7</xdr:col>
      <xdr:colOff>695325</xdr:colOff>
      <xdr:row>74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4239875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438775" y="152114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400675" y="14716125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438775" y="152114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5</xdr:col>
      <xdr:colOff>85725</xdr:colOff>
      <xdr:row>68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686050" y="1469707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67</xdr:row>
      <xdr:rowOff>47623</xdr:rowOff>
    </xdr:from>
    <xdr:to>
      <xdr:col>11</xdr:col>
      <xdr:colOff>133352</xdr:colOff>
      <xdr:row>68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024813" y="13835060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70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55138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70</xdr:row>
      <xdr:rowOff>85725</xdr:rowOff>
    </xdr:from>
    <xdr:to>
      <xdr:col>7</xdr:col>
      <xdr:colOff>695325</xdr:colOff>
      <xdr:row>74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400675" y="15535275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CxnSpPr/>
      </xdr:nvCxnSpPr>
      <xdr:spPr>
        <a:xfrm rot="10800000" flipV="1">
          <a:off x="4886325" y="7334249"/>
          <a:ext cx="85725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>
          <a:off x="4848225" y="68389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CxnSpPr/>
      </xdr:nvCxnSpPr>
      <xdr:spPr>
        <a:xfrm rot="10800000" flipV="1">
          <a:off x="4886325" y="7334249"/>
          <a:ext cx="85725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>
          <a:off x="2133600" y="68199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 rot="16200000">
          <a:off x="7339013" y="80914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 rot="18916712">
          <a:off x="0" y="76461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CxnSpPr/>
      </xdr:nvCxnSpPr>
      <xdr:spPr>
        <a:xfrm flipV="1">
          <a:off x="4848225" y="7667625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94678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89725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94678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89535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80914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97797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9801225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96392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91440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96392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91249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82629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99512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9972675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409575</xdr:colOff>
      <xdr:row>2</xdr:row>
      <xdr:rowOff>19050</xdr:rowOff>
    </xdr:from>
    <xdr:to>
      <xdr:col>6</xdr:col>
      <xdr:colOff>95250</xdr:colOff>
      <xdr:row>37</xdr:row>
      <xdr:rowOff>38100</xdr:rowOff>
    </xdr:to>
    <xdr:sp macro="" textlink="">
      <xdr:nvSpPr>
        <xdr:cNvPr id="2" name="Cerrar llave 1"/>
        <xdr:cNvSpPr/>
      </xdr:nvSpPr>
      <xdr:spPr>
        <a:xfrm>
          <a:off x="4286250" y="847725"/>
          <a:ext cx="2028825" cy="7172325"/>
        </a:xfrm>
        <a:prstGeom prst="rightBrace">
          <a:avLst>
            <a:gd name="adj1" fmla="val 8333"/>
            <a:gd name="adj2" fmla="val 49867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12</xdr:col>
      <xdr:colOff>523874</xdr:colOff>
      <xdr:row>2</xdr:row>
      <xdr:rowOff>19050</xdr:rowOff>
    </xdr:from>
    <xdr:to>
      <xdr:col>14</xdr:col>
      <xdr:colOff>28574</xdr:colOff>
      <xdr:row>29</xdr:row>
      <xdr:rowOff>85724</xdr:rowOff>
    </xdr:to>
    <xdr:sp macro="" textlink="">
      <xdr:nvSpPr>
        <xdr:cNvPr id="3" name="Cerrar llave 2"/>
        <xdr:cNvSpPr/>
      </xdr:nvSpPr>
      <xdr:spPr>
        <a:xfrm>
          <a:off x="11601449" y="847725"/>
          <a:ext cx="1819275" cy="5581649"/>
        </a:xfrm>
        <a:prstGeom prst="rightBrace">
          <a:avLst>
            <a:gd name="adj1" fmla="val 8333"/>
            <a:gd name="adj2" fmla="val 49662"/>
          </a:avLst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21729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16776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21729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16586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107965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247532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2496800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67</xdr:row>
      <xdr:rowOff>200024</xdr:rowOff>
    </xdr:from>
    <xdr:to>
      <xdr:col>6</xdr:col>
      <xdr:colOff>285750</xdr:colOff>
      <xdr:row>68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215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65</xdr:row>
      <xdr:rowOff>123825</xdr:rowOff>
    </xdr:from>
    <xdr:to>
      <xdr:col>7</xdr:col>
      <xdr:colOff>295275</xdr:colOff>
      <xdr:row>67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16586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67</xdr:row>
      <xdr:rowOff>200024</xdr:rowOff>
    </xdr:from>
    <xdr:to>
      <xdr:col>6</xdr:col>
      <xdr:colOff>285750</xdr:colOff>
      <xdr:row>68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215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65</xdr:row>
      <xdr:rowOff>104775</xdr:rowOff>
    </xdr:from>
    <xdr:to>
      <xdr:col>5</xdr:col>
      <xdr:colOff>85725</xdr:colOff>
      <xdr:row>67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16395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66</xdr:row>
      <xdr:rowOff>47623</xdr:rowOff>
    </xdr:from>
    <xdr:to>
      <xdr:col>11</xdr:col>
      <xdr:colOff>133352</xdr:colOff>
      <xdr:row>67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107775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69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24562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69</xdr:row>
      <xdr:rowOff>85725</xdr:rowOff>
    </xdr:from>
    <xdr:to>
      <xdr:col>7</xdr:col>
      <xdr:colOff>695325</xdr:colOff>
      <xdr:row>73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2477750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69</xdr:row>
      <xdr:rowOff>200024</xdr:rowOff>
    </xdr:from>
    <xdr:to>
      <xdr:col>6</xdr:col>
      <xdr:colOff>285750</xdr:colOff>
      <xdr:row>70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215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67</xdr:row>
      <xdr:rowOff>123825</xdr:rowOff>
    </xdr:from>
    <xdr:to>
      <xdr:col>7</xdr:col>
      <xdr:colOff>295275</xdr:colOff>
      <xdr:row>69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16586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69</xdr:row>
      <xdr:rowOff>200024</xdr:rowOff>
    </xdr:from>
    <xdr:to>
      <xdr:col>6</xdr:col>
      <xdr:colOff>285750</xdr:colOff>
      <xdr:row>70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215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67</xdr:row>
      <xdr:rowOff>104775</xdr:rowOff>
    </xdr:from>
    <xdr:to>
      <xdr:col>5</xdr:col>
      <xdr:colOff>85725</xdr:colOff>
      <xdr:row>69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16395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68</xdr:row>
      <xdr:rowOff>47623</xdr:rowOff>
    </xdr:from>
    <xdr:to>
      <xdr:col>11</xdr:col>
      <xdr:colOff>133352</xdr:colOff>
      <xdr:row>69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107775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71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24562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71</xdr:row>
      <xdr:rowOff>85725</xdr:rowOff>
    </xdr:from>
    <xdr:to>
      <xdr:col>7</xdr:col>
      <xdr:colOff>695325</xdr:colOff>
      <xdr:row>75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2477750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10</xdr:row>
      <xdr:rowOff>266700</xdr:rowOff>
    </xdr:from>
    <xdr:to>
      <xdr:col>5</xdr:col>
      <xdr:colOff>742950</xdr:colOff>
      <xdr:row>11</xdr:row>
      <xdr:rowOff>0</xdr:rowOff>
    </xdr:to>
    <xdr:cxnSp macro="">
      <xdr:nvCxnSpPr>
        <xdr:cNvPr id="3" name="Conector recto de flecha 2"/>
        <xdr:cNvCxnSpPr/>
      </xdr:nvCxnSpPr>
      <xdr:spPr>
        <a:xfrm>
          <a:off x="4000500" y="3695700"/>
          <a:ext cx="1628775" cy="19050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828675</xdr:colOff>
      <xdr:row>11</xdr:row>
      <xdr:rowOff>57150</xdr:rowOff>
    </xdr:from>
    <xdr:to>
      <xdr:col>6</xdr:col>
      <xdr:colOff>466725</xdr:colOff>
      <xdr:row>14</xdr:row>
      <xdr:rowOff>104775</xdr:rowOff>
    </xdr:to>
    <xdr:cxnSp macro="">
      <xdr:nvCxnSpPr>
        <xdr:cNvPr id="5" name="Conector recto de flecha 4"/>
        <xdr:cNvCxnSpPr/>
      </xdr:nvCxnSpPr>
      <xdr:spPr>
        <a:xfrm flipH="1">
          <a:off x="3038475" y="3933825"/>
          <a:ext cx="2600325" cy="7239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7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6.bin"/><Relationship Id="rId4" Type="http://schemas.openxmlformats.org/officeDocument/2006/relationships/comments" Target="../comments8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8.bin"/><Relationship Id="rId4" Type="http://schemas.openxmlformats.org/officeDocument/2006/relationships/comments" Target="../comments9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20.bin"/><Relationship Id="rId4" Type="http://schemas.openxmlformats.org/officeDocument/2006/relationships/comments" Target="../comments10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22.bin"/><Relationship Id="rId4" Type="http://schemas.openxmlformats.org/officeDocument/2006/relationships/comments" Target="../comments1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24.bin"/><Relationship Id="rId4" Type="http://schemas.openxmlformats.org/officeDocument/2006/relationships/comments" Target="../comments12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26.bin"/><Relationship Id="rId4" Type="http://schemas.openxmlformats.org/officeDocument/2006/relationships/comments" Target="../comments1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800000"/>
  </sheetPr>
  <dimension ref="A1:S80"/>
  <sheetViews>
    <sheetView topLeftCell="A10" zoomScale="85" zoomScaleNormal="85" workbookViewId="0">
      <selection activeCell="F24" sqref="F24"/>
    </sheetView>
  </sheetViews>
  <sheetFormatPr baseColWidth="10" defaultRowHeight="15" x14ac:dyDescent="0.25"/>
  <cols>
    <col min="1" max="1" width="4.42578125" customWidth="1"/>
    <col min="2" max="2" width="12.42578125" style="97" customWidth="1"/>
    <col min="3" max="3" width="13.8554687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5.5703125" style="4" bestFit="1" customWidth="1"/>
    <col min="14" max="14" width="15.5703125" style="1" bestFit="1" customWidth="1"/>
    <col min="15" max="15" width="9.140625" customWidth="1"/>
    <col min="16" max="16" width="12.5703125" bestFit="1" customWidth="1"/>
    <col min="17" max="17" width="18.140625" style="2" customWidth="1"/>
    <col min="18" max="18" width="15.28515625" style="163" customWidth="1"/>
  </cols>
  <sheetData>
    <row r="1" spans="1:19" ht="23.25" x14ac:dyDescent="0.35">
      <c r="B1" s="826"/>
      <c r="C1" s="828" t="s">
        <v>25</v>
      </c>
      <c r="D1" s="829"/>
      <c r="E1" s="829"/>
      <c r="F1" s="829"/>
      <c r="G1" s="829"/>
      <c r="H1" s="829"/>
      <c r="I1" s="829"/>
      <c r="J1" s="829"/>
      <c r="K1" s="829"/>
      <c r="L1" s="829"/>
      <c r="M1" s="829"/>
    </row>
    <row r="2" spans="1:19" ht="16.5" thickBot="1" x14ac:dyDescent="0.3">
      <c r="B2" s="827"/>
      <c r="C2" s="3"/>
      <c r="H2" s="5"/>
      <c r="I2" s="6"/>
      <c r="J2" s="7"/>
      <c r="L2" s="8"/>
      <c r="M2" s="6"/>
      <c r="N2" s="9"/>
    </row>
    <row r="3" spans="1:19" ht="21.75" thickBot="1" x14ac:dyDescent="0.35">
      <c r="B3" s="830" t="s">
        <v>0</v>
      </c>
      <c r="C3" s="831"/>
      <c r="D3" s="10"/>
      <c r="E3" s="11"/>
      <c r="F3" s="11"/>
      <c r="H3" s="832" t="s">
        <v>26</v>
      </c>
      <c r="I3" s="832"/>
      <c r="K3" s="165"/>
      <c r="L3" s="13"/>
      <c r="M3" s="14"/>
    </row>
    <row r="4" spans="1:19" ht="20.25" thickTop="1" thickBot="1" x14ac:dyDescent="0.35">
      <c r="A4" s="15" t="s">
        <v>1</v>
      </c>
      <c r="B4" s="16"/>
      <c r="C4" s="17">
        <v>0</v>
      </c>
      <c r="D4" s="18"/>
      <c r="E4" s="833" t="s">
        <v>2</v>
      </c>
      <c r="F4" s="834"/>
      <c r="H4" s="835" t="s">
        <v>3</v>
      </c>
      <c r="I4" s="836"/>
      <c r="J4" s="19"/>
      <c r="K4" s="166"/>
      <c r="L4" s="20"/>
      <c r="M4" s="21" t="s">
        <v>4</v>
      </c>
      <c r="N4" s="22" t="s">
        <v>5</v>
      </c>
      <c r="P4" s="842" t="s">
        <v>6</v>
      </c>
      <c r="Q4" s="843"/>
    </row>
    <row r="5" spans="1:19" ht="18" thickBot="1" x14ac:dyDescent="0.35">
      <c r="A5" s="23" t="s">
        <v>7</v>
      </c>
      <c r="B5" s="24">
        <v>44488</v>
      </c>
      <c r="C5" s="161">
        <v>0</v>
      </c>
      <c r="D5" s="26"/>
      <c r="E5" s="27">
        <v>44488</v>
      </c>
      <c r="F5" s="159">
        <v>0</v>
      </c>
      <c r="G5" s="2"/>
      <c r="H5" s="29">
        <v>44488</v>
      </c>
      <c r="I5" s="160">
        <v>0</v>
      </c>
      <c r="J5" s="37" t="s">
        <v>29</v>
      </c>
      <c r="K5" s="31"/>
      <c r="L5" s="9"/>
      <c r="M5" s="32">
        <v>0</v>
      </c>
      <c r="N5" s="33">
        <v>0</v>
      </c>
      <c r="O5" s="2"/>
      <c r="P5" s="34">
        <f>N5+M5+L5+I5+C5</f>
        <v>0</v>
      </c>
      <c r="Q5" s="13">
        <f>P5-F5</f>
        <v>0</v>
      </c>
      <c r="R5" s="31"/>
    </row>
    <row r="6" spans="1:19" ht="19.5" thickBot="1" x14ac:dyDescent="0.35">
      <c r="A6" s="23"/>
      <c r="B6" s="24">
        <v>44489</v>
      </c>
      <c r="C6" s="25">
        <v>0</v>
      </c>
      <c r="D6" s="35"/>
      <c r="E6" s="27">
        <v>44489</v>
      </c>
      <c r="F6" s="28">
        <v>23537</v>
      </c>
      <c r="G6" s="2"/>
      <c r="H6" s="36">
        <v>44489</v>
      </c>
      <c r="I6" s="30">
        <v>360</v>
      </c>
      <c r="J6" s="37">
        <v>44489</v>
      </c>
      <c r="K6" s="38" t="s">
        <v>30</v>
      </c>
      <c r="L6" s="39">
        <v>3000</v>
      </c>
      <c r="M6" s="32">
        <v>17500</v>
      </c>
      <c r="N6" s="33">
        <v>0</v>
      </c>
      <c r="O6" s="2"/>
      <c r="P6" s="69">
        <f t="shared" ref="P6:P32" si="0">N6+M6+L6+I6+C6</f>
        <v>20860</v>
      </c>
      <c r="Q6" s="202">
        <f t="shared" ref="Q6:Q38" si="1">P6-F6</f>
        <v>-2677</v>
      </c>
      <c r="R6" s="200" t="s">
        <v>28</v>
      </c>
      <c r="S6" s="147">
        <v>44489</v>
      </c>
    </row>
    <row r="7" spans="1:19" ht="19.5" thickBot="1" x14ac:dyDescent="0.35">
      <c r="A7" s="23"/>
      <c r="B7" s="24">
        <v>44490</v>
      </c>
      <c r="C7" s="25">
        <v>0</v>
      </c>
      <c r="D7" s="40"/>
      <c r="E7" s="27">
        <v>44490</v>
      </c>
      <c r="F7" s="28">
        <v>25791</v>
      </c>
      <c r="G7" s="2"/>
      <c r="H7" s="36">
        <v>44490</v>
      </c>
      <c r="I7" s="30">
        <v>305</v>
      </c>
      <c r="J7" s="37">
        <v>44489</v>
      </c>
      <c r="K7" s="38" t="s">
        <v>30</v>
      </c>
      <c r="L7" s="39">
        <v>3000</v>
      </c>
      <c r="M7" s="32">
        <v>15670</v>
      </c>
      <c r="N7" s="33">
        <v>8843</v>
      </c>
      <c r="O7" s="199" t="s">
        <v>31</v>
      </c>
      <c r="P7" s="69">
        <f t="shared" si="0"/>
        <v>27818</v>
      </c>
      <c r="Q7" s="203">
        <f t="shared" si="1"/>
        <v>2027</v>
      </c>
      <c r="R7" s="201" t="s">
        <v>39</v>
      </c>
      <c r="S7" s="147">
        <v>44490</v>
      </c>
    </row>
    <row r="8" spans="1:19" ht="18" thickBot="1" x14ac:dyDescent="0.35">
      <c r="A8" s="23"/>
      <c r="B8" s="24">
        <v>44491</v>
      </c>
      <c r="C8" s="25">
        <v>206.5</v>
      </c>
      <c r="D8" s="42" t="s">
        <v>32</v>
      </c>
      <c r="E8" s="27">
        <v>44491</v>
      </c>
      <c r="F8" s="28">
        <v>28671</v>
      </c>
      <c r="G8" s="2"/>
      <c r="H8" s="36">
        <v>44491</v>
      </c>
      <c r="I8" s="30">
        <v>78</v>
      </c>
      <c r="J8" s="43">
        <v>44491</v>
      </c>
      <c r="K8" s="38" t="s">
        <v>30</v>
      </c>
      <c r="L8" s="39">
        <v>3300</v>
      </c>
      <c r="M8" s="32">
        <v>15650</v>
      </c>
      <c r="N8" s="33">
        <v>6044</v>
      </c>
      <c r="O8" s="2"/>
      <c r="P8" s="69">
        <f t="shared" si="0"/>
        <v>25278.5</v>
      </c>
      <c r="Q8" s="204">
        <f t="shared" si="1"/>
        <v>-3392.5</v>
      </c>
      <c r="R8" s="200" t="s">
        <v>28</v>
      </c>
      <c r="S8" s="147">
        <v>44491</v>
      </c>
    </row>
    <row r="9" spans="1:19" ht="18" thickBot="1" x14ac:dyDescent="0.35">
      <c r="A9" s="23"/>
      <c r="B9" s="24">
        <v>44492</v>
      </c>
      <c r="C9" s="25">
        <v>0</v>
      </c>
      <c r="D9" s="42"/>
      <c r="E9" s="27">
        <v>44492</v>
      </c>
      <c r="F9" s="28">
        <v>34076</v>
      </c>
      <c r="G9" s="2"/>
      <c r="H9" s="36">
        <v>44492</v>
      </c>
      <c r="I9" s="30">
        <v>336.5</v>
      </c>
      <c r="J9" s="37">
        <v>44492</v>
      </c>
      <c r="K9" s="180" t="s">
        <v>33</v>
      </c>
      <c r="L9" s="181">
        <v>1800</v>
      </c>
      <c r="M9" s="32">
        <f>18050+3600</f>
        <v>21650</v>
      </c>
      <c r="N9" s="33">
        <v>12838</v>
      </c>
      <c r="O9" s="2"/>
      <c r="P9" s="69">
        <f t="shared" ref="P9:P14" si="2">N9+M9+L9+I9+C9</f>
        <v>36624.5</v>
      </c>
      <c r="Q9" s="205" t="s">
        <v>52</v>
      </c>
      <c r="R9" s="201" t="s">
        <v>34</v>
      </c>
      <c r="S9" s="147">
        <v>44492</v>
      </c>
    </row>
    <row r="10" spans="1:19" ht="18" thickBot="1" x14ac:dyDescent="0.35">
      <c r="A10" s="23"/>
      <c r="B10" s="24">
        <v>44493</v>
      </c>
      <c r="C10" s="25">
        <v>326</v>
      </c>
      <c r="D10" s="40" t="s">
        <v>35</v>
      </c>
      <c r="E10" s="27">
        <v>44493</v>
      </c>
      <c r="F10" s="28">
        <v>28074</v>
      </c>
      <c r="G10" s="2"/>
      <c r="H10" s="36">
        <v>44493</v>
      </c>
      <c r="I10" s="30">
        <v>580</v>
      </c>
      <c r="J10" s="37">
        <v>44493</v>
      </c>
      <c r="K10" s="167" t="s">
        <v>36</v>
      </c>
      <c r="L10" s="45">
        <v>7500</v>
      </c>
      <c r="M10" s="32">
        <v>8500</v>
      </c>
      <c r="N10" s="33">
        <v>9392</v>
      </c>
      <c r="O10" s="2"/>
      <c r="P10" s="69">
        <f t="shared" si="2"/>
        <v>26298</v>
      </c>
      <c r="Q10" s="204">
        <f t="shared" si="1"/>
        <v>-1776</v>
      </c>
      <c r="R10" s="200" t="s">
        <v>28</v>
      </c>
      <c r="S10" s="147">
        <v>44493</v>
      </c>
    </row>
    <row r="11" spans="1:19" ht="18" thickBot="1" x14ac:dyDescent="0.35">
      <c r="A11" s="23"/>
      <c r="B11" s="24">
        <v>44494</v>
      </c>
      <c r="C11" s="25">
        <f>11509+3550+6269</f>
        <v>21328</v>
      </c>
      <c r="D11" s="35" t="s">
        <v>37</v>
      </c>
      <c r="E11" s="27">
        <v>44494</v>
      </c>
      <c r="F11" s="28">
        <v>28522</v>
      </c>
      <c r="G11" s="2"/>
      <c r="H11" s="36">
        <v>44494</v>
      </c>
      <c r="I11" s="30">
        <v>1476</v>
      </c>
      <c r="J11" s="43"/>
      <c r="K11" s="168"/>
      <c r="L11" s="39"/>
      <c r="M11" s="32">
        <v>0</v>
      </c>
      <c r="N11" s="33">
        <v>5718</v>
      </c>
      <c r="O11" s="2"/>
      <c r="P11" s="69">
        <f t="shared" si="2"/>
        <v>28522</v>
      </c>
      <c r="Q11" s="206">
        <f t="shared" si="1"/>
        <v>0</v>
      </c>
      <c r="R11" s="38" t="s">
        <v>24</v>
      </c>
      <c r="S11" s="147">
        <v>44494</v>
      </c>
    </row>
    <row r="12" spans="1:19" ht="18" thickBot="1" x14ac:dyDescent="0.35">
      <c r="A12" s="23"/>
      <c r="B12" s="24">
        <v>44495</v>
      </c>
      <c r="C12" s="25">
        <f>13731+330</f>
        <v>14061</v>
      </c>
      <c r="D12" s="35" t="s">
        <v>38</v>
      </c>
      <c r="E12" s="27">
        <v>44495</v>
      </c>
      <c r="F12" s="28">
        <v>31646</v>
      </c>
      <c r="G12" s="2"/>
      <c r="H12" s="36">
        <v>44495</v>
      </c>
      <c r="I12" s="30">
        <v>0</v>
      </c>
      <c r="J12" s="37"/>
      <c r="K12" s="169"/>
      <c r="L12" s="39"/>
      <c r="M12" s="32">
        <v>7341</v>
      </c>
      <c r="N12" s="33">
        <v>10244</v>
      </c>
      <c r="O12" s="2"/>
      <c r="P12" s="69">
        <f t="shared" si="2"/>
        <v>31646</v>
      </c>
      <c r="Q12" s="206">
        <f t="shared" si="1"/>
        <v>0</v>
      </c>
      <c r="R12" s="38" t="s">
        <v>24</v>
      </c>
      <c r="S12" s="147">
        <v>44495</v>
      </c>
    </row>
    <row r="13" spans="1:19" ht="19.5" thickBot="1" x14ac:dyDescent="0.35">
      <c r="A13" s="23"/>
      <c r="B13" s="24">
        <v>44496</v>
      </c>
      <c r="C13" s="25">
        <v>2890</v>
      </c>
      <c r="D13" s="42" t="s">
        <v>40</v>
      </c>
      <c r="E13" s="27">
        <v>44496</v>
      </c>
      <c r="F13" s="28">
        <v>27800</v>
      </c>
      <c r="G13" s="2" t="s">
        <v>7</v>
      </c>
      <c r="H13" s="36">
        <v>44496</v>
      </c>
      <c r="I13" s="30">
        <v>1186.3499999999999</v>
      </c>
      <c r="J13" s="37"/>
      <c r="K13" s="38"/>
      <c r="L13" s="39"/>
      <c r="M13" s="32">
        <f>17000+3300</f>
        <v>20300</v>
      </c>
      <c r="N13" s="33">
        <v>4440</v>
      </c>
      <c r="O13" s="2"/>
      <c r="P13" s="69">
        <f t="shared" si="2"/>
        <v>28816.35</v>
      </c>
      <c r="Q13" s="203">
        <f t="shared" si="1"/>
        <v>1016.3499999999985</v>
      </c>
      <c r="R13" s="201" t="s">
        <v>39</v>
      </c>
      <c r="S13" s="147">
        <v>44496</v>
      </c>
    </row>
    <row r="14" spans="1:19" ht="18" thickBot="1" x14ac:dyDescent="0.35">
      <c r="A14" s="23"/>
      <c r="B14" s="24">
        <v>44497</v>
      </c>
      <c r="C14" s="25">
        <v>4910</v>
      </c>
      <c r="D14" s="40" t="s">
        <v>41</v>
      </c>
      <c r="E14" s="27">
        <v>44497</v>
      </c>
      <c r="F14" s="28">
        <v>32444</v>
      </c>
      <c r="G14" s="2"/>
      <c r="H14" s="36">
        <v>44497</v>
      </c>
      <c r="I14" s="30">
        <v>53</v>
      </c>
      <c r="J14" s="37"/>
      <c r="K14" s="38"/>
      <c r="L14" s="39"/>
      <c r="M14" s="32">
        <v>24300</v>
      </c>
      <c r="N14" s="33">
        <v>3358</v>
      </c>
      <c r="O14" s="2"/>
      <c r="P14" s="69">
        <f t="shared" si="2"/>
        <v>32621</v>
      </c>
      <c r="Q14" s="205">
        <f t="shared" si="1"/>
        <v>177</v>
      </c>
      <c r="R14" s="201" t="s">
        <v>39</v>
      </c>
      <c r="S14" s="147">
        <v>44497</v>
      </c>
    </row>
    <row r="15" spans="1:19" ht="19.5" thickBot="1" x14ac:dyDescent="0.35">
      <c r="A15" s="23"/>
      <c r="B15" s="24">
        <v>44498</v>
      </c>
      <c r="C15" s="25">
        <v>9347.5</v>
      </c>
      <c r="D15" s="40" t="s">
        <v>42</v>
      </c>
      <c r="E15" s="27">
        <v>44498</v>
      </c>
      <c r="F15" s="28">
        <v>31261</v>
      </c>
      <c r="G15" s="2"/>
      <c r="H15" s="36">
        <v>44498</v>
      </c>
      <c r="I15" s="30">
        <v>110</v>
      </c>
      <c r="J15" s="37"/>
      <c r="K15" s="38"/>
      <c r="L15" s="39"/>
      <c r="M15" s="32">
        <v>11000</v>
      </c>
      <c r="N15" s="33">
        <v>8331</v>
      </c>
      <c r="P15" s="69">
        <f t="shared" si="0"/>
        <v>28788.5</v>
      </c>
      <c r="Q15" s="202">
        <f t="shared" si="1"/>
        <v>-2472.5</v>
      </c>
      <c r="R15" s="200" t="s">
        <v>28</v>
      </c>
      <c r="S15" s="147">
        <v>44498</v>
      </c>
    </row>
    <row r="16" spans="1:19" ht="28.5" customHeight="1" thickBot="1" x14ac:dyDescent="0.35">
      <c r="A16" s="23"/>
      <c r="B16" s="24">
        <v>44499</v>
      </c>
      <c r="C16" s="25">
        <v>1588</v>
      </c>
      <c r="D16" s="35" t="s">
        <v>43</v>
      </c>
      <c r="E16" s="27">
        <v>44499</v>
      </c>
      <c r="F16" s="28">
        <v>47941</v>
      </c>
      <c r="G16" s="2"/>
      <c r="H16" s="36">
        <v>44499</v>
      </c>
      <c r="I16" s="30">
        <v>0</v>
      </c>
      <c r="J16" s="37"/>
      <c r="K16" s="169"/>
      <c r="L16" s="9"/>
      <c r="M16" s="32">
        <v>33550</v>
      </c>
      <c r="N16" s="33">
        <v>14745</v>
      </c>
      <c r="P16" s="69">
        <f t="shared" si="0"/>
        <v>49883</v>
      </c>
      <c r="Q16" s="207">
        <f t="shared" si="1"/>
        <v>1942</v>
      </c>
      <c r="R16" s="201" t="s">
        <v>39</v>
      </c>
      <c r="S16" s="147">
        <v>44499</v>
      </c>
    </row>
    <row r="17" spans="1:19" ht="18" thickBot="1" x14ac:dyDescent="0.35">
      <c r="A17" s="23"/>
      <c r="B17" s="24">
        <v>44500</v>
      </c>
      <c r="C17" s="25">
        <v>0</v>
      </c>
      <c r="D17" s="42"/>
      <c r="E17" s="27">
        <v>44500</v>
      </c>
      <c r="F17" s="28">
        <v>38493</v>
      </c>
      <c r="G17" s="2"/>
      <c r="H17" s="36">
        <v>44500</v>
      </c>
      <c r="I17" s="30">
        <v>2153.5</v>
      </c>
      <c r="J17" s="37"/>
      <c r="K17" s="38"/>
      <c r="L17" s="45"/>
      <c r="M17" s="32">
        <v>21600</v>
      </c>
      <c r="N17" s="33">
        <v>15118</v>
      </c>
      <c r="P17" s="69">
        <f t="shared" si="0"/>
        <v>38871.5</v>
      </c>
      <c r="Q17" s="207">
        <f t="shared" si="1"/>
        <v>378.5</v>
      </c>
      <c r="R17" s="201" t="s">
        <v>39</v>
      </c>
      <c r="S17" s="147">
        <v>44500</v>
      </c>
    </row>
    <row r="18" spans="1:19" ht="18" thickBot="1" x14ac:dyDescent="0.35">
      <c r="A18" s="23"/>
      <c r="B18" s="24">
        <v>44501</v>
      </c>
      <c r="C18" s="25">
        <v>1225</v>
      </c>
      <c r="D18" s="35" t="s">
        <v>44</v>
      </c>
      <c r="E18" s="27">
        <v>44501</v>
      </c>
      <c r="F18" s="28">
        <v>43190</v>
      </c>
      <c r="G18" s="2"/>
      <c r="H18" s="36">
        <v>44501</v>
      </c>
      <c r="I18" s="30">
        <v>119</v>
      </c>
      <c r="J18" s="37">
        <v>44501</v>
      </c>
      <c r="K18" s="170" t="s">
        <v>46</v>
      </c>
      <c r="L18" s="39">
        <v>1440</v>
      </c>
      <c r="M18" s="32">
        <f>2220+25000</f>
        <v>27220</v>
      </c>
      <c r="N18" s="33">
        <v>9734</v>
      </c>
      <c r="P18" s="69">
        <f t="shared" si="0"/>
        <v>39738</v>
      </c>
      <c r="Q18" s="204">
        <f t="shared" si="1"/>
        <v>-3452</v>
      </c>
      <c r="R18" s="200" t="s">
        <v>28</v>
      </c>
      <c r="S18" s="147">
        <v>44501</v>
      </c>
    </row>
    <row r="19" spans="1:19" ht="18" thickBot="1" x14ac:dyDescent="0.35">
      <c r="A19" s="23"/>
      <c r="B19" s="24">
        <v>44502</v>
      </c>
      <c r="C19" s="25">
        <f>18318+4846</f>
        <v>23164</v>
      </c>
      <c r="D19" s="35" t="s">
        <v>45</v>
      </c>
      <c r="E19" s="27">
        <v>44502</v>
      </c>
      <c r="F19" s="28">
        <v>38179</v>
      </c>
      <c r="G19" s="2"/>
      <c r="H19" s="36">
        <v>44502</v>
      </c>
      <c r="I19" s="30">
        <v>231.5</v>
      </c>
      <c r="J19" s="37"/>
      <c r="K19" s="46"/>
      <c r="L19" s="47"/>
      <c r="M19" s="32">
        <v>5700</v>
      </c>
      <c r="N19" s="33">
        <v>8261</v>
      </c>
      <c r="P19" s="69">
        <f t="shared" si="0"/>
        <v>37356.5</v>
      </c>
      <c r="Q19" s="204">
        <f t="shared" si="1"/>
        <v>-822.5</v>
      </c>
      <c r="R19" s="200" t="s">
        <v>28</v>
      </c>
      <c r="S19" s="147">
        <v>44502</v>
      </c>
    </row>
    <row r="20" spans="1:19" ht="18" thickBot="1" x14ac:dyDescent="0.35">
      <c r="A20" s="23"/>
      <c r="B20" s="24">
        <v>44503</v>
      </c>
      <c r="C20" s="25">
        <f>28379.9+5070</f>
        <v>33449.9</v>
      </c>
      <c r="D20" s="35" t="s">
        <v>47</v>
      </c>
      <c r="E20" s="27">
        <v>44503</v>
      </c>
      <c r="F20" s="28">
        <v>39315</v>
      </c>
      <c r="G20" s="2"/>
      <c r="H20" s="36">
        <v>44503</v>
      </c>
      <c r="I20" s="30">
        <v>0</v>
      </c>
      <c r="J20" s="37"/>
      <c r="K20" s="171"/>
      <c r="L20" s="45"/>
      <c r="M20" s="32">
        <v>0</v>
      </c>
      <c r="N20" s="33">
        <v>5866</v>
      </c>
      <c r="P20" s="69">
        <f t="shared" si="0"/>
        <v>39315.9</v>
      </c>
      <c r="Q20" s="206">
        <f t="shared" si="1"/>
        <v>0.90000000000145519</v>
      </c>
      <c r="R20" s="38"/>
      <c r="S20" s="147">
        <v>44503</v>
      </c>
    </row>
    <row r="21" spans="1:19" ht="18" thickBot="1" x14ac:dyDescent="0.35">
      <c r="A21" s="23"/>
      <c r="B21" s="24">
        <v>44504</v>
      </c>
      <c r="C21" s="25">
        <f>29452+692+5469</f>
        <v>35613</v>
      </c>
      <c r="D21" s="35" t="s">
        <v>48</v>
      </c>
      <c r="E21" s="27">
        <v>44504</v>
      </c>
      <c r="F21" s="28">
        <v>43752</v>
      </c>
      <c r="G21" s="2"/>
      <c r="H21" s="36">
        <v>44504</v>
      </c>
      <c r="I21" s="30">
        <v>15</v>
      </c>
      <c r="J21" s="37"/>
      <c r="K21" s="48"/>
      <c r="L21" s="45"/>
      <c r="M21" s="32">
        <v>0</v>
      </c>
      <c r="N21" s="33">
        <v>8124</v>
      </c>
      <c r="P21" s="69">
        <f t="shared" si="0"/>
        <v>43752</v>
      </c>
      <c r="Q21" s="206">
        <f t="shared" si="1"/>
        <v>0</v>
      </c>
      <c r="R21" s="38"/>
      <c r="S21" s="147">
        <v>44504</v>
      </c>
    </row>
    <row r="22" spans="1:19" ht="18" thickBot="1" x14ac:dyDescent="0.35">
      <c r="A22" s="23"/>
      <c r="B22" s="24">
        <v>44505</v>
      </c>
      <c r="C22" s="25">
        <v>1777</v>
      </c>
      <c r="D22" s="35" t="s">
        <v>49</v>
      </c>
      <c r="E22" s="27">
        <v>44505</v>
      </c>
      <c r="F22" s="28">
        <v>30961</v>
      </c>
      <c r="G22" s="2"/>
      <c r="H22" s="36">
        <v>44505</v>
      </c>
      <c r="I22" s="30">
        <v>30</v>
      </c>
      <c r="J22" s="37"/>
      <c r="K22" s="31"/>
      <c r="L22" s="49"/>
      <c r="M22" s="32">
        <v>17080</v>
      </c>
      <c r="N22" s="33">
        <v>10617</v>
      </c>
      <c r="P22" s="69">
        <f t="shared" si="0"/>
        <v>29504</v>
      </c>
      <c r="Q22" s="204">
        <f t="shared" si="1"/>
        <v>-1457</v>
      </c>
      <c r="R22" s="200" t="s">
        <v>28</v>
      </c>
      <c r="S22" s="147">
        <v>44505</v>
      </c>
    </row>
    <row r="23" spans="1:19" ht="18" thickBot="1" x14ac:dyDescent="0.35">
      <c r="A23" s="23"/>
      <c r="B23" s="24">
        <v>44506</v>
      </c>
      <c r="C23" s="25">
        <f>2354+252</f>
        <v>2606</v>
      </c>
      <c r="D23" s="35" t="s">
        <v>50</v>
      </c>
      <c r="E23" s="27">
        <v>44506</v>
      </c>
      <c r="F23" s="28">
        <v>69547</v>
      </c>
      <c r="G23" s="2"/>
      <c r="H23" s="36">
        <v>44506</v>
      </c>
      <c r="I23" s="30">
        <v>2992</v>
      </c>
      <c r="J23" s="50">
        <v>44506</v>
      </c>
      <c r="K23" s="172" t="s">
        <v>51</v>
      </c>
      <c r="L23" s="45">
        <v>23657.14</v>
      </c>
      <c r="M23" s="182">
        <v>0</v>
      </c>
      <c r="N23" s="33">
        <v>21472</v>
      </c>
      <c r="P23" s="69">
        <f t="shared" si="0"/>
        <v>50727.14</v>
      </c>
      <c r="Q23" s="204">
        <f t="shared" si="1"/>
        <v>-18819.86</v>
      </c>
      <c r="R23" s="200" t="s">
        <v>28</v>
      </c>
      <c r="S23" s="147">
        <v>44506</v>
      </c>
    </row>
    <row r="24" spans="1:19" ht="18" thickBot="1" x14ac:dyDescent="0.35">
      <c r="A24" s="23"/>
      <c r="B24" s="24">
        <v>44507</v>
      </c>
      <c r="C24" s="25">
        <v>0</v>
      </c>
      <c r="D24" s="35"/>
      <c r="E24" s="27">
        <v>44507</v>
      </c>
      <c r="F24" s="28">
        <v>34204</v>
      </c>
      <c r="G24" s="2"/>
      <c r="H24" s="36">
        <v>44507</v>
      </c>
      <c r="I24" s="30">
        <v>150.5</v>
      </c>
      <c r="J24" s="51"/>
      <c r="K24" s="173"/>
      <c r="L24" s="52"/>
      <c r="M24" s="182">
        <v>0</v>
      </c>
      <c r="N24" s="33">
        <v>9718</v>
      </c>
      <c r="P24" s="69">
        <f t="shared" si="0"/>
        <v>9868.5</v>
      </c>
      <c r="Q24" s="204">
        <f t="shared" si="1"/>
        <v>-24335.5</v>
      </c>
      <c r="R24" s="200" t="s">
        <v>28</v>
      </c>
      <c r="S24" s="147">
        <v>44507</v>
      </c>
    </row>
    <row r="25" spans="1:19" ht="18" thickBot="1" x14ac:dyDescent="0.35">
      <c r="A25" s="23"/>
      <c r="B25" s="24"/>
      <c r="C25" s="25"/>
      <c r="D25" s="35"/>
      <c r="E25" s="27"/>
      <c r="F25" s="28"/>
      <c r="G25" s="2"/>
      <c r="H25" s="36"/>
      <c r="I25" s="30"/>
      <c r="J25" s="53"/>
      <c r="K25" s="38"/>
      <c r="L25" s="54"/>
      <c r="M25" s="32">
        <v>0</v>
      </c>
      <c r="N25" s="33">
        <v>0</v>
      </c>
      <c r="P25" s="216">
        <f t="shared" si="0"/>
        <v>0</v>
      </c>
      <c r="Q25" s="217">
        <f t="shared" si="1"/>
        <v>0</v>
      </c>
      <c r="R25" s="31"/>
      <c r="S25" t="s">
        <v>7</v>
      </c>
    </row>
    <row r="26" spans="1:19" ht="18" hidden="1" thickBot="1" x14ac:dyDescent="0.35">
      <c r="A26" s="23"/>
      <c r="B26" s="24"/>
      <c r="C26" s="25"/>
      <c r="D26" s="35"/>
      <c r="E26" s="27"/>
      <c r="F26" s="28"/>
      <c r="G26" s="2"/>
      <c r="H26" s="36"/>
      <c r="I26" s="30"/>
      <c r="J26" s="37"/>
      <c r="K26" s="173"/>
      <c r="L26" s="45"/>
      <c r="M26" s="32">
        <v>0</v>
      </c>
      <c r="N26" s="33">
        <v>0</v>
      </c>
      <c r="P26" s="215">
        <f t="shared" si="0"/>
        <v>0</v>
      </c>
      <c r="Q26" s="9">
        <f t="shared" si="1"/>
        <v>0</v>
      </c>
      <c r="R26" s="31"/>
    </row>
    <row r="27" spans="1:19" ht="18" hidden="1" thickBot="1" x14ac:dyDescent="0.35">
      <c r="A27" s="23"/>
      <c r="B27" s="24"/>
      <c r="C27" s="25"/>
      <c r="D27" s="42"/>
      <c r="E27" s="27"/>
      <c r="F27" s="28"/>
      <c r="G27" s="2"/>
      <c r="H27" s="36"/>
      <c r="I27" s="30"/>
      <c r="J27" s="55"/>
      <c r="K27" s="174"/>
      <c r="L27" s="54"/>
      <c r="M27" s="32">
        <v>0</v>
      </c>
      <c r="N27" s="33">
        <v>0</v>
      </c>
      <c r="P27" s="69">
        <f t="shared" si="0"/>
        <v>0</v>
      </c>
      <c r="Q27" s="9">
        <f t="shared" si="1"/>
        <v>0</v>
      </c>
      <c r="R27" s="31"/>
    </row>
    <row r="28" spans="1:19" ht="18" hidden="1" thickBot="1" x14ac:dyDescent="0.35">
      <c r="A28" s="23"/>
      <c r="B28" s="24"/>
      <c r="C28" s="25"/>
      <c r="D28" s="42"/>
      <c r="E28" s="27"/>
      <c r="F28" s="28"/>
      <c r="G28" s="2"/>
      <c r="H28" s="36"/>
      <c r="I28" s="30"/>
      <c r="J28" s="56"/>
      <c r="K28" s="57"/>
      <c r="L28" s="54"/>
      <c r="M28" s="32">
        <v>0</v>
      </c>
      <c r="N28" s="33">
        <v>0</v>
      </c>
      <c r="P28" s="34">
        <f t="shared" si="0"/>
        <v>0</v>
      </c>
      <c r="Q28" s="9">
        <f t="shared" si="1"/>
        <v>0</v>
      </c>
      <c r="R28" s="31"/>
    </row>
    <row r="29" spans="1:19" ht="18" hidden="1" thickBot="1" x14ac:dyDescent="0.35">
      <c r="A29" s="23"/>
      <c r="B29" s="24"/>
      <c r="C29" s="25"/>
      <c r="D29" s="58"/>
      <c r="E29" s="27"/>
      <c r="F29" s="28"/>
      <c r="G29" s="2"/>
      <c r="H29" s="36"/>
      <c r="I29" s="30"/>
      <c r="J29" s="59"/>
      <c r="K29" s="175"/>
      <c r="L29" s="54"/>
      <c r="M29" s="32">
        <v>0</v>
      </c>
      <c r="N29" s="33">
        <v>0</v>
      </c>
      <c r="P29" s="34">
        <f t="shared" si="0"/>
        <v>0</v>
      </c>
      <c r="Q29" s="9">
        <f t="shared" si="1"/>
        <v>0</v>
      </c>
      <c r="R29" s="31"/>
    </row>
    <row r="30" spans="1:19" ht="18" hidden="1" thickBot="1" x14ac:dyDescent="0.35">
      <c r="A30" s="23"/>
      <c r="B30" s="24"/>
      <c r="C30" s="25"/>
      <c r="D30" s="58"/>
      <c r="E30" s="27"/>
      <c r="F30" s="28"/>
      <c r="G30" s="2"/>
      <c r="H30" s="36"/>
      <c r="I30" s="30"/>
      <c r="J30" s="60"/>
      <c r="K30" s="41"/>
      <c r="L30" s="61"/>
      <c r="M30" s="32">
        <v>0</v>
      </c>
      <c r="N30" s="33">
        <v>0</v>
      </c>
      <c r="P30" s="34">
        <f t="shared" si="0"/>
        <v>0</v>
      </c>
      <c r="Q30" s="9">
        <f t="shared" si="1"/>
        <v>0</v>
      </c>
      <c r="R30" s="31"/>
    </row>
    <row r="31" spans="1:19" ht="18" hidden="1" thickBot="1" x14ac:dyDescent="0.35">
      <c r="A31" s="23"/>
      <c r="B31" s="24"/>
      <c r="C31" s="25"/>
      <c r="D31" s="62"/>
      <c r="E31" s="27"/>
      <c r="F31" s="28"/>
      <c r="G31" s="2"/>
      <c r="H31" s="36"/>
      <c r="I31" s="30"/>
      <c r="J31" s="60"/>
      <c r="K31" s="41"/>
      <c r="L31" s="63"/>
      <c r="M31" s="32">
        <v>0</v>
      </c>
      <c r="N31" s="33">
        <v>0</v>
      </c>
      <c r="P31" s="34">
        <f t="shared" si="0"/>
        <v>0</v>
      </c>
      <c r="Q31" s="9">
        <f t="shared" si="1"/>
        <v>0</v>
      </c>
      <c r="R31" s="31"/>
    </row>
    <row r="32" spans="1:19" ht="18" hidden="1" thickBot="1" x14ac:dyDescent="0.35">
      <c r="A32" s="23"/>
      <c r="B32" s="24"/>
      <c r="C32" s="25"/>
      <c r="D32" s="64"/>
      <c r="E32" s="27"/>
      <c r="F32" s="28"/>
      <c r="G32" s="2"/>
      <c r="H32" s="36"/>
      <c r="I32" s="30"/>
      <c r="J32" s="60"/>
      <c r="K32" s="41"/>
      <c r="L32" s="61"/>
      <c r="M32" s="32">
        <v>0</v>
      </c>
      <c r="N32" s="33">
        <v>0</v>
      </c>
      <c r="P32" s="34">
        <f t="shared" si="0"/>
        <v>0</v>
      </c>
      <c r="Q32" s="9">
        <f t="shared" si="1"/>
        <v>0</v>
      </c>
      <c r="R32" s="31"/>
    </row>
    <row r="33" spans="1:18" ht="18" hidden="1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41"/>
      <c r="L33" s="66"/>
      <c r="M33" s="32">
        <v>0</v>
      </c>
      <c r="N33" s="33">
        <v>0</v>
      </c>
      <c r="P33" s="34">
        <v>0</v>
      </c>
      <c r="Q33" s="9">
        <f t="shared" si="1"/>
        <v>0</v>
      </c>
      <c r="R33" s="31"/>
    </row>
    <row r="34" spans="1:18" ht="18" hidden="1" thickBot="1" x14ac:dyDescent="0.35">
      <c r="A34" s="23"/>
      <c r="B34" s="24"/>
      <c r="C34" s="25">
        <v>0</v>
      </c>
      <c r="D34" s="64"/>
      <c r="E34" s="27"/>
      <c r="F34" s="28">
        <v>0</v>
      </c>
      <c r="G34" s="2"/>
      <c r="H34" s="36"/>
      <c r="I34" s="30">
        <v>0</v>
      </c>
      <c r="J34" s="60"/>
      <c r="K34" s="68"/>
      <c r="L34" s="44"/>
      <c r="M34" s="32">
        <v>0</v>
      </c>
      <c r="N34" s="33">
        <v>0</v>
      </c>
      <c r="P34" s="34">
        <v>0</v>
      </c>
      <c r="Q34" s="9">
        <f t="shared" si="1"/>
        <v>0</v>
      </c>
      <c r="R34" s="31"/>
    </row>
    <row r="35" spans="1:18" ht="18" hidden="1" thickBot="1" x14ac:dyDescent="0.35">
      <c r="A35" s="23"/>
      <c r="B35" s="24"/>
      <c r="C35" s="25">
        <v>0</v>
      </c>
      <c r="D35" s="67"/>
      <c r="E35" s="27"/>
      <c r="F35" s="28">
        <v>0</v>
      </c>
      <c r="G35" s="2"/>
      <c r="H35" s="36"/>
      <c r="I35" s="30">
        <v>0</v>
      </c>
      <c r="J35" s="60"/>
      <c r="K35" s="41"/>
      <c r="L35" s="66"/>
      <c r="M35" s="32">
        <v>0</v>
      </c>
      <c r="N35" s="33">
        <v>0</v>
      </c>
      <c r="P35" s="34">
        <v>0</v>
      </c>
      <c r="Q35" s="9">
        <f t="shared" si="1"/>
        <v>0</v>
      </c>
      <c r="R35" s="31"/>
    </row>
    <row r="36" spans="1:18" ht="18" hidden="1" thickBot="1" x14ac:dyDescent="0.35">
      <c r="A36" s="23"/>
      <c r="B36" s="24"/>
      <c r="C36" s="25">
        <v>0</v>
      </c>
      <c r="D36" s="62"/>
      <c r="E36" s="27"/>
      <c r="F36" s="28">
        <v>0</v>
      </c>
      <c r="G36" s="2"/>
      <c r="H36" s="36"/>
      <c r="I36" s="30">
        <v>0</v>
      </c>
      <c r="J36" s="60"/>
      <c r="K36" s="176"/>
      <c r="L36" s="44"/>
      <c r="M36" s="32"/>
      <c r="N36" s="33"/>
      <c r="P36" s="34">
        <v>0</v>
      </c>
      <c r="Q36" s="9">
        <f t="shared" si="1"/>
        <v>0</v>
      </c>
      <c r="R36" s="31"/>
    </row>
    <row r="37" spans="1:18" ht="18" hidden="1" thickBot="1" x14ac:dyDescent="0.35">
      <c r="A37" s="23"/>
      <c r="B37" s="24"/>
      <c r="C37" s="25">
        <v>0</v>
      </c>
      <c r="D37" s="64"/>
      <c r="E37" s="27"/>
      <c r="F37" s="28">
        <v>0</v>
      </c>
      <c r="G37" s="2"/>
      <c r="H37" s="36"/>
      <c r="I37" s="30">
        <v>0</v>
      </c>
      <c r="J37" s="60"/>
      <c r="K37" s="68"/>
      <c r="L37" s="44"/>
      <c r="M37" s="32"/>
      <c r="N37" s="33"/>
      <c r="P37" s="34">
        <v>0</v>
      </c>
      <c r="Q37" s="9">
        <f t="shared" si="1"/>
        <v>0</v>
      </c>
    </row>
    <row r="38" spans="1:18" ht="18" hidden="1" thickBot="1" x14ac:dyDescent="0.35">
      <c r="A38" s="23"/>
      <c r="B38" s="24"/>
      <c r="C38" s="25">
        <v>0</v>
      </c>
      <c r="D38" s="65"/>
      <c r="E38" s="27"/>
      <c r="F38" s="28">
        <v>0</v>
      </c>
      <c r="G38" s="2"/>
      <c r="H38" s="36"/>
      <c r="I38" s="30">
        <v>0</v>
      </c>
      <c r="J38" s="60"/>
      <c r="K38" s="41"/>
      <c r="L38" s="66"/>
      <c r="M38" s="32"/>
      <c r="N38" s="33"/>
      <c r="P38" s="151">
        <v>0</v>
      </c>
      <c r="Q38" s="151">
        <f t="shared" si="1"/>
        <v>0</v>
      </c>
    </row>
    <row r="39" spans="1:18" ht="18.75" thickTop="1" thickBot="1" x14ac:dyDescent="0.35">
      <c r="A39" s="23"/>
      <c r="B39" s="24"/>
      <c r="C39" s="69"/>
      <c r="D39" s="62"/>
      <c r="E39" s="27"/>
      <c r="F39" s="70"/>
      <c r="G39" s="2"/>
      <c r="H39" s="36"/>
      <c r="I39" s="71"/>
      <c r="J39" s="60"/>
      <c r="K39" s="177"/>
      <c r="L39" s="61"/>
      <c r="M39" s="844">
        <f>SUM(M5:M38)</f>
        <v>247061</v>
      </c>
      <c r="N39" s="846">
        <f>SUM(N5:N38)</f>
        <v>172863</v>
      </c>
      <c r="P39" s="34">
        <f>SUM(P5:P38)</f>
        <v>626289.39</v>
      </c>
      <c r="Q39" s="218">
        <f>SUM(Q5:Q38)</f>
        <v>-53663.11</v>
      </c>
    </row>
    <row r="40" spans="1:18" ht="18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845"/>
      <c r="N40" s="847"/>
      <c r="P40" s="34"/>
      <c r="Q40" s="9"/>
    </row>
    <row r="41" spans="1:18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6"/>
      <c r="M41" s="78"/>
      <c r="N41" s="79"/>
      <c r="P41" s="34"/>
      <c r="Q41" s="9"/>
    </row>
    <row r="42" spans="1:18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60"/>
      <c r="K42" s="41"/>
      <c r="L42" s="66"/>
      <c r="M42" s="78"/>
      <c r="N42" s="79"/>
      <c r="P42" s="34"/>
      <c r="Q42" s="9"/>
    </row>
    <row r="43" spans="1:18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0"/>
      <c r="K43" s="41"/>
      <c r="L43" s="66"/>
      <c r="M43" s="78"/>
      <c r="N43" s="79"/>
      <c r="P43" s="34"/>
      <c r="Q43" s="9"/>
    </row>
    <row r="44" spans="1:18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6"/>
      <c r="M44" s="78"/>
      <c r="N44" s="79"/>
      <c r="P44" s="34"/>
      <c r="Q44" s="9"/>
    </row>
    <row r="45" spans="1:18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6"/>
      <c r="M45" s="78"/>
      <c r="N45" s="79"/>
      <c r="P45" s="34"/>
      <c r="Q45" s="9"/>
    </row>
    <row r="46" spans="1:18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6"/>
      <c r="M46" s="78"/>
      <c r="N46" s="79"/>
      <c r="P46" s="34"/>
      <c r="Q46" s="9"/>
    </row>
    <row r="47" spans="1:18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6"/>
      <c r="M47" s="78"/>
      <c r="N47" s="79"/>
      <c r="P47" s="34"/>
      <c r="Q47" s="9"/>
    </row>
    <row r="48" spans="1:18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6"/>
      <c r="M48" s="78"/>
      <c r="N48" s="79"/>
      <c r="P48" s="34"/>
      <c r="Q48" s="9"/>
    </row>
    <row r="49" spans="1:17" ht="15.7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85"/>
      <c r="N49" s="33"/>
      <c r="P49" s="34"/>
      <c r="Q49" s="9"/>
    </row>
    <row r="50" spans="1:17" ht="16.5" thickBot="1" x14ac:dyDescent="0.3">
      <c r="B50" s="86" t="s">
        <v>8</v>
      </c>
      <c r="C50" s="87">
        <f>SUM(C5:C49)</f>
        <v>152491.9</v>
      </c>
      <c r="D50" s="88"/>
      <c r="E50" s="89" t="s">
        <v>8</v>
      </c>
      <c r="F50" s="90">
        <f>SUM(F5:F49)</f>
        <v>677404</v>
      </c>
      <c r="G50" s="88"/>
      <c r="H50" s="91" t="s">
        <v>9</v>
      </c>
      <c r="I50" s="92">
        <f>SUM(I5:I49)</f>
        <v>10176.35</v>
      </c>
      <c r="J50" s="93"/>
      <c r="K50" s="94" t="s">
        <v>10</v>
      </c>
      <c r="L50" s="95">
        <f>SUM(L5:L49)</f>
        <v>43697.14</v>
      </c>
      <c r="M50" s="96"/>
      <c r="N50" s="96"/>
      <c r="P50" s="34"/>
      <c r="Q50" s="9"/>
    </row>
    <row r="51" spans="1:17" ht="16.5" thickTop="1" thickBot="1" x14ac:dyDescent="0.3">
      <c r="C51" s="3" t="s">
        <v>7</v>
      </c>
      <c r="P51" s="34"/>
      <c r="Q51" s="9"/>
    </row>
    <row r="52" spans="1:17" ht="19.5" thickBot="1" x14ac:dyDescent="0.3">
      <c r="A52" s="98"/>
      <c r="B52" s="99"/>
      <c r="C52" s="1"/>
      <c r="H52" s="848" t="s">
        <v>11</v>
      </c>
      <c r="I52" s="849"/>
      <c r="J52" s="100"/>
      <c r="K52" s="850">
        <f>I50+L50</f>
        <v>53873.49</v>
      </c>
      <c r="L52" s="851"/>
      <c r="M52" s="852">
        <f>N39+M39</f>
        <v>419924</v>
      </c>
      <c r="N52" s="853"/>
      <c r="P52" s="34"/>
      <c r="Q52" s="9"/>
    </row>
    <row r="53" spans="1:17" ht="15.75" x14ac:dyDescent="0.25">
      <c r="D53" s="854" t="s">
        <v>12</v>
      </c>
      <c r="E53" s="854"/>
      <c r="F53" s="101">
        <f>F50-K52-C50</f>
        <v>471038.61</v>
      </c>
      <c r="I53" s="102"/>
      <c r="J53" s="103"/>
      <c r="P53" s="34"/>
      <c r="Q53" s="9"/>
    </row>
    <row r="54" spans="1:17" ht="18.75" x14ac:dyDescent="0.3">
      <c r="D54" s="854" t="s">
        <v>95</v>
      </c>
      <c r="E54" s="854"/>
      <c r="F54" s="96">
        <v>-549976.4</v>
      </c>
      <c r="I54" s="855" t="s">
        <v>13</v>
      </c>
      <c r="J54" s="856"/>
      <c r="K54" s="857">
        <f>F56+F57+F58</f>
        <v>-24577.400000000023</v>
      </c>
      <c r="L54" s="858"/>
      <c r="P54" s="34"/>
      <c r="Q54" s="9"/>
    </row>
    <row r="55" spans="1:17" ht="19.5" thickBot="1" x14ac:dyDescent="0.35">
      <c r="D55" s="189" t="s">
        <v>94</v>
      </c>
      <c r="E55" s="98"/>
      <c r="F55" s="104">
        <v>-513028.96</v>
      </c>
      <c r="I55" s="105"/>
      <c r="J55" s="106"/>
      <c r="K55" s="178"/>
      <c r="L55" s="107"/>
    </row>
    <row r="56" spans="1:17" ht="19.5" thickTop="1" x14ac:dyDescent="0.3">
      <c r="C56" s="4" t="s">
        <v>7</v>
      </c>
      <c r="E56" s="98" t="s">
        <v>14</v>
      </c>
      <c r="F56" s="96">
        <f>SUM(F53:F55)</f>
        <v>-591966.75</v>
      </c>
      <c r="H56" s="23"/>
      <c r="I56" s="108" t="s">
        <v>15</v>
      </c>
      <c r="J56" s="109"/>
      <c r="K56" s="859">
        <f>-C4</f>
        <v>0</v>
      </c>
      <c r="L56" s="860"/>
    </row>
    <row r="57" spans="1:17" ht="16.5" thickBot="1" x14ac:dyDescent="0.3">
      <c r="D57" s="110" t="s">
        <v>16</v>
      </c>
      <c r="E57" s="98" t="s">
        <v>17</v>
      </c>
      <c r="F57" s="111">
        <v>0</v>
      </c>
    </row>
    <row r="58" spans="1:17" ht="20.25" thickTop="1" thickBot="1" x14ac:dyDescent="0.35">
      <c r="C58" s="112">
        <v>44507</v>
      </c>
      <c r="D58" s="837" t="s">
        <v>18</v>
      </c>
      <c r="E58" s="838"/>
      <c r="F58" s="113">
        <v>567389.35</v>
      </c>
      <c r="I58" s="839" t="s">
        <v>97</v>
      </c>
      <c r="J58" s="840"/>
      <c r="K58" s="841">
        <f>K54+K56</f>
        <v>-24577.400000000023</v>
      </c>
      <c r="L58" s="841"/>
    </row>
    <row r="59" spans="1:17" ht="17.25" x14ac:dyDescent="0.3">
      <c r="C59" s="114"/>
      <c r="D59" s="115"/>
      <c r="E59" s="116"/>
      <c r="F59" s="117"/>
      <c r="J59" s="118"/>
    </row>
    <row r="60" spans="1:17" ht="1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ht="15.75" x14ac:dyDescent="0.25">
      <c r="B62" s="121"/>
      <c r="C62" s="125"/>
      <c r="E62" s="34"/>
      <c r="M62" s="124"/>
      <c r="N62" s="98"/>
    </row>
    <row r="63" spans="1:17" ht="15.75" x14ac:dyDescent="0.25">
      <c r="B63" s="121"/>
      <c r="C63" s="125"/>
      <c r="E63" s="34"/>
      <c r="F63" s="126"/>
      <c r="L63" s="127"/>
      <c r="M63" s="1"/>
    </row>
    <row r="64" spans="1:17" ht="15.75" x14ac:dyDescent="0.25">
      <c r="B64" s="121"/>
      <c r="C64" s="125"/>
      <c r="E64" s="34"/>
      <c r="M64" s="1"/>
    </row>
    <row r="65" spans="2:13" ht="15.75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20">
    <mergeCell ref="D58:E58"/>
    <mergeCell ref="I58:J58"/>
    <mergeCell ref="K58:L58"/>
    <mergeCell ref="P4:Q4"/>
    <mergeCell ref="M39:M40"/>
    <mergeCell ref="N39:N40"/>
    <mergeCell ref="H52:I52"/>
    <mergeCell ref="K52:L52"/>
    <mergeCell ref="M52:N52"/>
    <mergeCell ref="D53:E53"/>
    <mergeCell ref="D54:E54"/>
    <mergeCell ref="I54:J54"/>
    <mergeCell ref="K54:L54"/>
    <mergeCell ref="K56:L56"/>
    <mergeCell ref="B1:B2"/>
    <mergeCell ref="C1:M1"/>
    <mergeCell ref="B3:C3"/>
    <mergeCell ref="H3:I3"/>
    <mergeCell ref="E4:F4"/>
    <mergeCell ref="H4:I4"/>
  </mergeCells>
  <pageMargins left="0.39370078740157483" right="0.15748031496062992" top="0.35433070866141736" bottom="0.31496062992125984" header="0.31496062992125984" footer="0.31496062992125984"/>
  <pageSetup scale="75" orientation="landscape" horizontalDpi="0" verticalDpi="0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N115"/>
  <sheetViews>
    <sheetView topLeftCell="B43" zoomScale="130" zoomScaleNormal="130" workbookViewId="0">
      <selection activeCell="A75" sqref="A75:C75"/>
    </sheetView>
  </sheetViews>
  <sheetFormatPr baseColWidth="10" defaultRowHeight="15" x14ac:dyDescent="0.25"/>
  <cols>
    <col min="1" max="1" width="13.42578125" style="434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6.1406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456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427" t="s">
        <v>317</v>
      </c>
      <c r="B1" s="436"/>
      <c r="C1" s="292"/>
      <c r="D1" s="371"/>
      <c r="E1" s="292"/>
      <c r="F1" s="378" t="s">
        <v>314</v>
      </c>
      <c r="I1" s="301" t="s">
        <v>318</v>
      </c>
      <c r="J1" s="302"/>
      <c r="K1" s="303"/>
      <c r="L1" s="471"/>
      <c r="M1" s="303"/>
      <c r="N1" s="377" t="s">
        <v>314</v>
      </c>
    </row>
    <row r="2" spans="1:14" ht="21.75" customHeight="1" thickTop="1" thickBot="1" x14ac:dyDescent="0.35">
      <c r="A2" s="428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472" t="s">
        <v>22</v>
      </c>
      <c r="M2" s="299" t="s">
        <v>23</v>
      </c>
      <c r="N2" s="309" t="s">
        <v>210</v>
      </c>
    </row>
    <row r="3" spans="1:14" ht="15.75" x14ac:dyDescent="0.25">
      <c r="A3" s="429">
        <v>44592</v>
      </c>
      <c r="B3" s="437" t="s">
        <v>472</v>
      </c>
      <c r="C3" s="392">
        <v>2742.6</v>
      </c>
      <c r="D3" s="405">
        <v>44617</v>
      </c>
      <c r="E3" s="392">
        <v>2742.6</v>
      </c>
      <c r="F3" s="392">
        <f>C3-E3</f>
        <v>0</v>
      </c>
      <c r="I3" s="394" t="s">
        <v>373</v>
      </c>
      <c r="J3" s="391">
        <v>8445</v>
      </c>
      <c r="K3" s="392">
        <v>1315</v>
      </c>
      <c r="L3" s="473">
        <v>44643</v>
      </c>
      <c r="M3" s="392">
        <v>1315</v>
      </c>
      <c r="N3" s="183">
        <f>K3-M3</f>
        <v>0</v>
      </c>
    </row>
    <row r="4" spans="1:14" ht="18.75" x14ac:dyDescent="0.3">
      <c r="A4" s="429">
        <v>44593</v>
      </c>
      <c r="B4" s="437" t="s">
        <v>473</v>
      </c>
      <c r="C4" s="392">
        <v>139150.76</v>
      </c>
      <c r="D4" s="405">
        <v>44617</v>
      </c>
      <c r="E4" s="392">
        <v>139150.76</v>
      </c>
      <c r="F4" s="392">
        <f t="shared" ref="F4:F67" si="0">C4-E4</f>
        <v>0</v>
      </c>
      <c r="G4" s="138"/>
      <c r="I4" s="394" t="s">
        <v>373</v>
      </c>
      <c r="J4" s="391">
        <v>8449</v>
      </c>
      <c r="K4" s="392">
        <v>272.8</v>
      </c>
      <c r="L4" s="474">
        <v>44643</v>
      </c>
      <c r="M4" s="392">
        <v>272.8</v>
      </c>
      <c r="N4" s="137">
        <f>N3+K4-M4</f>
        <v>0</v>
      </c>
    </row>
    <row r="5" spans="1:14" ht="15.75" x14ac:dyDescent="0.25">
      <c r="A5" s="429">
        <v>44593</v>
      </c>
      <c r="B5" s="437" t="s">
        <v>474</v>
      </c>
      <c r="C5" s="392">
        <v>4949</v>
      </c>
      <c r="D5" s="405">
        <v>44617</v>
      </c>
      <c r="E5" s="392">
        <v>4949</v>
      </c>
      <c r="F5" s="392">
        <f t="shared" si="0"/>
        <v>0</v>
      </c>
      <c r="I5" s="394" t="s">
        <v>349</v>
      </c>
      <c r="J5" s="391">
        <v>8457</v>
      </c>
      <c r="K5" s="392">
        <v>84434.880000000005</v>
      </c>
      <c r="L5" s="474">
        <v>44643</v>
      </c>
      <c r="M5" s="392">
        <v>84434.880000000005</v>
      </c>
      <c r="N5" s="137">
        <f t="shared" ref="N5:N68" si="1">N4+K5-M5</f>
        <v>0</v>
      </c>
    </row>
    <row r="6" spans="1:14" ht="15.75" x14ac:dyDescent="0.25">
      <c r="A6" s="429">
        <v>44593</v>
      </c>
      <c r="B6" s="437" t="s">
        <v>475</v>
      </c>
      <c r="C6" s="392">
        <v>1080</v>
      </c>
      <c r="D6" s="405">
        <v>44617</v>
      </c>
      <c r="E6" s="392">
        <v>1080</v>
      </c>
      <c r="F6" s="392">
        <f t="shared" si="0"/>
        <v>0</v>
      </c>
      <c r="I6" s="394" t="s">
        <v>548</v>
      </c>
      <c r="J6" s="391">
        <v>8461</v>
      </c>
      <c r="K6" s="392">
        <v>10050.200000000001</v>
      </c>
      <c r="L6" s="474">
        <v>44643</v>
      </c>
      <c r="M6" s="392">
        <v>10050.200000000001</v>
      </c>
      <c r="N6" s="137">
        <f t="shared" si="1"/>
        <v>0</v>
      </c>
    </row>
    <row r="7" spans="1:14" ht="15.75" x14ac:dyDescent="0.25">
      <c r="A7" s="429">
        <v>44593</v>
      </c>
      <c r="B7" s="437" t="s">
        <v>476</v>
      </c>
      <c r="C7" s="392">
        <v>29260.799999999999</v>
      </c>
      <c r="D7" s="405">
        <v>44617</v>
      </c>
      <c r="E7" s="392">
        <v>29260.799999999999</v>
      </c>
      <c r="F7" s="392">
        <f t="shared" si="0"/>
        <v>0</v>
      </c>
      <c r="I7" s="394" t="s">
        <v>549</v>
      </c>
      <c r="J7" s="391">
        <v>8474</v>
      </c>
      <c r="K7" s="392">
        <v>1412.2</v>
      </c>
      <c r="L7" s="474">
        <v>44643</v>
      </c>
      <c r="M7" s="392">
        <v>1412.2</v>
      </c>
      <c r="N7" s="137">
        <f t="shared" si="1"/>
        <v>0</v>
      </c>
    </row>
    <row r="8" spans="1:14" ht="15.75" x14ac:dyDescent="0.25">
      <c r="A8" s="429">
        <v>44594</v>
      </c>
      <c r="B8" s="437" t="s">
        <v>477</v>
      </c>
      <c r="C8" s="392">
        <v>4790.8</v>
      </c>
      <c r="D8" s="405">
        <v>44617</v>
      </c>
      <c r="E8" s="392">
        <v>4790.8</v>
      </c>
      <c r="F8" s="392">
        <f t="shared" si="0"/>
        <v>0</v>
      </c>
      <c r="I8" s="394" t="s">
        <v>550</v>
      </c>
      <c r="J8" s="391">
        <v>8485</v>
      </c>
      <c r="K8" s="392">
        <v>12456.4</v>
      </c>
      <c r="L8" s="474">
        <v>44643</v>
      </c>
      <c r="M8" s="392">
        <v>12456.4</v>
      </c>
      <c r="N8" s="137">
        <f t="shared" si="1"/>
        <v>0</v>
      </c>
    </row>
    <row r="9" spans="1:14" ht="15.75" x14ac:dyDescent="0.25">
      <c r="A9" s="429">
        <v>44594</v>
      </c>
      <c r="B9" s="437" t="s">
        <v>478</v>
      </c>
      <c r="C9" s="392">
        <v>31559.200000000001</v>
      </c>
      <c r="D9" s="405">
        <v>44617</v>
      </c>
      <c r="E9" s="392">
        <v>31559.200000000001</v>
      </c>
      <c r="F9" s="392">
        <f t="shared" si="0"/>
        <v>0</v>
      </c>
      <c r="I9" s="394" t="s">
        <v>551</v>
      </c>
      <c r="J9" s="391">
        <v>8490</v>
      </c>
      <c r="K9" s="392">
        <v>69960</v>
      </c>
      <c r="L9" s="474">
        <v>44643</v>
      </c>
      <c r="M9" s="392">
        <v>69960</v>
      </c>
      <c r="N9" s="137">
        <f t="shared" si="1"/>
        <v>0</v>
      </c>
    </row>
    <row r="10" spans="1:14" ht="18.75" x14ac:dyDescent="0.3">
      <c r="A10" s="429">
        <v>44595</v>
      </c>
      <c r="B10" s="437" t="s">
        <v>479</v>
      </c>
      <c r="C10" s="392">
        <v>43550.76</v>
      </c>
      <c r="D10" s="405">
        <v>44617</v>
      </c>
      <c r="E10" s="392">
        <v>43550.76</v>
      </c>
      <c r="F10" s="392">
        <f t="shared" si="0"/>
        <v>0</v>
      </c>
      <c r="G10" s="138"/>
      <c r="I10" s="394" t="s">
        <v>552</v>
      </c>
      <c r="J10" s="391">
        <v>8497</v>
      </c>
      <c r="K10" s="392">
        <v>2609.4</v>
      </c>
      <c r="L10" s="474">
        <v>44643</v>
      </c>
      <c r="M10" s="392">
        <v>2609.4</v>
      </c>
      <c r="N10" s="137">
        <f t="shared" si="1"/>
        <v>0</v>
      </c>
    </row>
    <row r="11" spans="1:14" ht="15.75" x14ac:dyDescent="0.25">
      <c r="A11" s="429">
        <v>44595</v>
      </c>
      <c r="B11" s="437" t="s">
        <v>481</v>
      </c>
      <c r="C11" s="392">
        <v>9720</v>
      </c>
      <c r="D11" s="405">
        <v>44617</v>
      </c>
      <c r="E11" s="392">
        <v>9720</v>
      </c>
      <c r="F11" s="392">
        <f t="shared" si="0"/>
        <v>0</v>
      </c>
      <c r="I11" s="394" t="s">
        <v>552</v>
      </c>
      <c r="J11" s="391">
        <v>8501</v>
      </c>
      <c r="K11" s="392">
        <v>26863.200000000001</v>
      </c>
      <c r="L11" s="474">
        <v>44643</v>
      </c>
      <c r="M11" s="392">
        <v>26863.200000000001</v>
      </c>
      <c r="N11" s="137">
        <f t="shared" si="1"/>
        <v>0</v>
      </c>
    </row>
    <row r="12" spans="1:14" ht="15.75" x14ac:dyDescent="0.25">
      <c r="A12" s="429">
        <v>44595</v>
      </c>
      <c r="B12" s="437" t="s">
        <v>480</v>
      </c>
      <c r="C12" s="392">
        <v>2646</v>
      </c>
      <c r="D12" s="405">
        <v>44617</v>
      </c>
      <c r="E12" s="392">
        <v>2646</v>
      </c>
      <c r="F12" s="392">
        <f t="shared" si="0"/>
        <v>0</v>
      </c>
      <c r="I12" s="394" t="s">
        <v>552</v>
      </c>
      <c r="J12" s="391">
        <v>8502</v>
      </c>
      <c r="K12" s="392">
        <v>1443.2</v>
      </c>
      <c r="L12" s="474">
        <v>44643</v>
      </c>
      <c r="M12" s="392">
        <v>1443.2</v>
      </c>
      <c r="N12" s="137">
        <f t="shared" si="1"/>
        <v>0</v>
      </c>
    </row>
    <row r="13" spans="1:14" ht="15.75" x14ac:dyDescent="0.25">
      <c r="A13" s="429">
        <v>44595</v>
      </c>
      <c r="B13" s="437" t="s">
        <v>482</v>
      </c>
      <c r="C13" s="392">
        <v>3166.5</v>
      </c>
      <c r="D13" s="405">
        <v>44617</v>
      </c>
      <c r="E13" s="392">
        <v>3166.5</v>
      </c>
      <c r="F13" s="392">
        <f t="shared" si="0"/>
        <v>0</v>
      </c>
      <c r="I13" s="394" t="s">
        <v>553</v>
      </c>
      <c r="J13" s="391">
        <v>8504</v>
      </c>
      <c r="K13" s="392">
        <v>1760.2</v>
      </c>
      <c r="L13" s="474">
        <v>44643</v>
      </c>
      <c r="M13" s="392">
        <v>1760.2</v>
      </c>
      <c r="N13" s="137">
        <f t="shared" si="1"/>
        <v>0</v>
      </c>
    </row>
    <row r="14" spans="1:14" ht="15.75" x14ac:dyDescent="0.25">
      <c r="A14" s="429">
        <v>44596</v>
      </c>
      <c r="B14" s="437" t="s">
        <v>483</v>
      </c>
      <c r="C14" s="392">
        <v>47607.24</v>
      </c>
      <c r="D14" s="405">
        <v>44617</v>
      </c>
      <c r="E14" s="392">
        <v>47607.24</v>
      </c>
      <c r="F14" s="392">
        <f t="shared" si="0"/>
        <v>0</v>
      </c>
      <c r="I14" s="394" t="s">
        <v>553</v>
      </c>
      <c r="J14" s="391">
        <v>8505</v>
      </c>
      <c r="K14" s="392">
        <v>103232.8</v>
      </c>
      <c r="L14" s="474">
        <v>44643</v>
      </c>
      <c r="M14" s="392">
        <v>103232.8</v>
      </c>
      <c r="N14" s="137">
        <f t="shared" si="1"/>
        <v>0</v>
      </c>
    </row>
    <row r="15" spans="1:14" ht="15.75" x14ac:dyDescent="0.25">
      <c r="A15" s="429">
        <v>44596</v>
      </c>
      <c r="B15" s="437" t="s">
        <v>484</v>
      </c>
      <c r="C15" s="392">
        <v>65351.82</v>
      </c>
      <c r="D15" s="405">
        <v>44617</v>
      </c>
      <c r="E15" s="392">
        <v>65351.82</v>
      </c>
      <c r="F15" s="392">
        <f t="shared" si="0"/>
        <v>0</v>
      </c>
      <c r="I15" s="394" t="s">
        <v>553</v>
      </c>
      <c r="J15" s="391">
        <v>8506</v>
      </c>
      <c r="K15" s="392">
        <v>16973.599999999999</v>
      </c>
      <c r="L15" s="474">
        <v>44643</v>
      </c>
      <c r="M15" s="392">
        <v>16973.599999999999</v>
      </c>
      <c r="N15" s="137">
        <f t="shared" si="1"/>
        <v>0</v>
      </c>
    </row>
    <row r="16" spans="1:14" ht="15.75" x14ac:dyDescent="0.25">
      <c r="A16" s="429">
        <v>44596</v>
      </c>
      <c r="B16" s="437" t="s">
        <v>485</v>
      </c>
      <c r="C16" s="392">
        <v>175.2</v>
      </c>
      <c r="D16" s="405">
        <v>44617</v>
      </c>
      <c r="E16" s="392">
        <v>175.2</v>
      </c>
      <c r="F16" s="392">
        <f t="shared" si="0"/>
        <v>0</v>
      </c>
      <c r="I16" s="394" t="s">
        <v>554</v>
      </c>
      <c r="J16" s="391">
        <v>8512</v>
      </c>
      <c r="K16" s="392">
        <v>31269.200000000001</v>
      </c>
      <c r="L16" s="474">
        <v>44643</v>
      </c>
      <c r="M16" s="392">
        <v>31269.200000000001</v>
      </c>
      <c r="N16" s="137">
        <f t="shared" si="1"/>
        <v>0</v>
      </c>
    </row>
    <row r="17" spans="1:14" ht="15.75" x14ac:dyDescent="0.25">
      <c r="A17" s="429">
        <v>44597</v>
      </c>
      <c r="B17" s="437" t="s">
        <v>486</v>
      </c>
      <c r="C17" s="392">
        <v>62468.800000000003</v>
      </c>
      <c r="D17" s="405">
        <v>44617</v>
      </c>
      <c r="E17" s="392">
        <v>62468.800000000003</v>
      </c>
      <c r="F17" s="392">
        <f t="shared" si="0"/>
        <v>0</v>
      </c>
      <c r="I17" s="394" t="s">
        <v>555</v>
      </c>
      <c r="J17" s="391">
        <v>8520</v>
      </c>
      <c r="K17" s="392">
        <v>940</v>
      </c>
      <c r="L17" s="474">
        <v>44643</v>
      </c>
      <c r="M17" s="392">
        <v>940</v>
      </c>
      <c r="N17" s="137">
        <f t="shared" si="1"/>
        <v>0</v>
      </c>
    </row>
    <row r="18" spans="1:14" ht="15.75" x14ac:dyDescent="0.25">
      <c r="A18" s="429">
        <v>44597</v>
      </c>
      <c r="B18" s="437" t="s">
        <v>487</v>
      </c>
      <c r="C18" s="392">
        <v>2476.5</v>
      </c>
      <c r="D18" s="405">
        <v>44617</v>
      </c>
      <c r="E18" s="392">
        <v>2476.5</v>
      </c>
      <c r="F18" s="392">
        <f t="shared" si="0"/>
        <v>0</v>
      </c>
      <c r="I18" s="394" t="s">
        <v>555</v>
      </c>
      <c r="J18" s="391">
        <v>8522</v>
      </c>
      <c r="K18" s="392">
        <v>123992.8</v>
      </c>
      <c r="L18" s="474">
        <v>44643</v>
      </c>
      <c r="M18" s="392">
        <v>123992.8</v>
      </c>
      <c r="N18" s="137">
        <f t="shared" si="1"/>
        <v>0</v>
      </c>
    </row>
    <row r="19" spans="1:14" ht="15.75" x14ac:dyDescent="0.25">
      <c r="A19" s="429">
        <v>44599</v>
      </c>
      <c r="B19" s="437" t="s">
        <v>488</v>
      </c>
      <c r="C19" s="392">
        <v>3781.6</v>
      </c>
      <c r="D19" s="405">
        <v>44617</v>
      </c>
      <c r="E19" s="392">
        <v>3781.6</v>
      </c>
      <c r="F19" s="392">
        <f t="shared" si="0"/>
        <v>0</v>
      </c>
      <c r="I19" s="394" t="s">
        <v>556</v>
      </c>
      <c r="J19" s="391">
        <v>8526</v>
      </c>
      <c r="K19" s="392">
        <v>15453.4</v>
      </c>
      <c r="L19" s="474">
        <v>44643</v>
      </c>
      <c r="M19" s="392">
        <v>15453.4</v>
      </c>
      <c r="N19" s="137">
        <f t="shared" si="1"/>
        <v>0</v>
      </c>
    </row>
    <row r="20" spans="1:14" ht="15.75" x14ac:dyDescent="0.25">
      <c r="A20" s="429">
        <v>44600</v>
      </c>
      <c r="B20" s="437" t="s">
        <v>489</v>
      </c>
      <c r="C20" s="392">
        <v>71765.55</v>
      </c>
      <c r="D20" s="405">
        <v>44617</v>
      </c>
      <c r="E20" s="392">
        <v>71765.55</v>
      </c>
      <c r="F20" s="392">
        <f t="shared" si="0"/>
        <v>0</v>
      </c>
      <c r="I20" s="394" t="s">
        <v>557</v>
      </c>
      <c r="J20" s="391">
        <v>8534</v>
      </c>
      <c r="K20" s="392">
        <v>0</v>
      </c>
      <c r="L20" s="474">
        <v>44643</v>
      </c>
      <c r="M20" s="392">
        <v>0</v>
      </c>
      <c r="N20" s="137">
        <f t="shared" si="1"/>
        <v>0</v>
      </c>
    </row>
    <row r="21" spans="1:14" ht="15.75" x14ac:dyDescent="0.25">
      <c r="A21" s="429">
        <v>44600</v>
      </c>
      <c r="B21" s="437" t="s">
        <v>490</v>
      </c>
      <c r="C21" s="392">
        <v>2798.4</v>
      </c>
      <c r="D21" s="405">
        <v>44617</v>
      </c>
      <c r="E21" s="392">
        <v>2798.4</v>
      </c>
      <c r="F21" s="392">
        <f t="shared" si="0"/>
        <v>0</v>
      </c>
      <c r="I21" s="394" t="s">
        <v>557</v>
      </c>
      <c r="J21" s="391">
        <v>8536</v>
      </c>
      <c r="K21" s="392">
        <v>1596.8</v>
      </c>
      <c r="L21" s="474">
        <v>44643</v>
      </c>
      <c r="M21" s="392">
        <v>1596.8</v>
      </c>
      <c r="N21" s="137">
        <f t="shared" si="1"/>
        <v>0</v>
      </c>
    </row>
    <row r="22" spans="1:14" ht="18.75" x14ac:dyDescent="0.3">
      <c r="A22" s="429">
        <v>44601</v>
      </c>
      <c r="B22" s="437" t="s">
        <v>491</v>
      </c>
      <c r="C22" s="392">
        <v>8720.9</v>
      </c>
      <c r="D22" s="405">
        <v>44617</v>
      </c>
      <c r="E22" s="392">
        <v>8720.9</v>
      </c>
      <c r="F22" s="392">
        <f t="shared" si="0"/>
        <v>0</v>
      </c>
      <c r="G22" s="138"/>
      <c r="I22" s="394" t="s">
        <v>557</v>
      </c>
      <c r="J22" s="391">
        <v>8540</v>
      </c>
      <c r="K22" s="392">
        <v>7233.2</v>
      </c>
      <c r="L22" s="474">
        <v>44643</v>
      </c>
      <c r="M22" s="392">
        <v>7233.2</v>
      </c>
      <c r="N22" s="137">
        <f t="shared" si="1"/>
        <v>0</v>
      </c>
    </row>
    <row r="23" spans="1:14" ht="15.75" x14ac:dyDescent="0.25">
      <c r="A23" s="429">
        <v>44601</v>
      </c>
      <c r="B23" s="437" t="s">
        <v>492</v>
      </c>
      <c r="C23" s="392">
        <v>55980</v>
      </c>
      <c r="D23" s="405">
        <v>44617</v>
      </c>
      <c r="E23" s="392">
        <v>55980</v>
      </c>
      <c r="F23" s="392">
        <f t="shared" si="0"/>
        <v>0</v>
      </c>
      <c r="I23" s="394" t="s">
        <v>558</v>
      </c>
      <c r="J23" s="391">
        <v>8545</v>
      </c>
      <c r="K23" s="392">
        <v>7654.4</v>
      </c>
      <c r="L23" s="474">
        <v>44643</v>
      </c>
      <c r="M23" s="392">
        <v>7654.4</v>
      </c>
      <c r="N23" s="137">
        <f t="shared" si="1"/>
        <v>0</v>
      </c>
    </row>
    <row r="24" spans="1:14" ht="15.75" x14ac:dyDescent="0.25">
      <c r="A24" s="429">
        <v>44601</v>
      </c>
      <c r="B24" s="437" t="s">
        <v>493</v>
      </c>
      <c r="C24" s="392">
        <v>6934.5</v>
      </c>
      <c r="D24" s="405">
        <v>44617</v>
      </c>
      <c r="E24" s="392">
        <v>6934.5</v>
      </c>
      <c r="F24" s="392">
        <f t="shared" si="0"/>
        <v>0</v>
      </c>
      <c r="I24" s="394" t="s">
        <v>558</v>
      </c>
      <c r="J24" s="391">
        <v>8546</v>
      </c>
      <c r="K24" s="392">
        <v>270</v>
      </c>
      <c r="L24" s="474">
        <v>44643</v>
      </c>
      <c r="M24" s="392">
        <v>270</v>
      </c>
      <c r="N24" s="137">
        <f t="shared" si="1"/>
        <v>0</v>
      </c>
    </row>
    <row r="25" spans="1:14" ht="15.75" x14ac:dyDescent="0.25">
      <c r="A25" s="429">
        <v>44602</v>
      </c>
      <c r="B25" s="437" t="s">
        <v>494</v>
      </c>
      <c r="C25" s="392">
        <v>27574.5</v>
      </c>
      <c r="D25" s="405">
        <v>44617</v>
      </c>
      <c r="E25" s="392">
        <v>27574.5</v>
      </c>
      <c r="F25" s="392">
        <f t="shared" si="0"/>
        <v>0</v>
      </c>
      <c r="I25" s="394" t="s">
        <v>559</v>
      </c>
      <c r="J25" s="391">
        <v>8551</v>
      </c>
      <c r="K25" s="392">
        <v>583.20000000000005</v>
      </c>
      <c r="L25" s="474">
        <v>44643</v>
      </c>
      <c r="M25" s="392">
        <v>583.20000000000005</v>
      </c>
      <c r="N25" s="137">
        <f t="shared" si="1"/>
        <v>0</v>
      </c>
    </row>
    <row r="26" spans="1:14" ht="15.75" x14ac:dyDescent="0.25">
      <c r="A26" s="429">
        <v>44603</v>
      </c>
      <c r="B26" s="437" t="s">
        <v>495</v>
      </c>
      <c r="C26" s="392">
        <v>32211.8</v>
      </c>
      <c r="D26" s="405">
        <v>44617</v>
      </c>
      <c r="E26" s="392">
        <v>32211.8</v>
      </c>
      <c r="F26" s="392">
        <f t="shared" si="0"/>
        <v>0</v>
      </c>
      <c r="I26" s="394" t="s">
        <v>560</v>
      </c>
      <c r="J26" s="391">
        <v>8558</v>
      </c>
      <c r="K26" s="392">
        <v>2462.8000000000002</v>
      </c>
      <c r="L26" s="474">
        <v>44643</v>
      </c>
      <c r="M26" s="392">
        <v>2462.8000000000002</v>
      </c>
      <c r="N26" s="137">
        <f t="shared" si="1"/>
        <v>0</v>
      </c>
    </row>
    <row r="27" spans="1:14" ht="15.75" x14ac:dyDescent="0.25">
      <c r="A27" s="429">
        <v>44603</v>
      </c>
      <c r="B27" s="437" t="s">
        <v>496</v>
      </c>
      <c r="C27" s="392">
        <v>400</v>
      </c>
      <c r="D27" s="405">
        <v>44617</v>
      </c>
      <c r="E27" s="392">
        <v>400</v>
      </c>
      <c r="F27" s="392">
        <f t="shared" si="0"/>
        <v>0</v>
      </c>
      <c r="I27" s="394" t="s">
        <v>561</v>
      </c>
      <c r="J27" s="391">
        <v>8564</v>
      </c>
      <c r="K27" s="392">
        <v>3085.4</v>
      </c>
      <c r="L27" s="474">
        <v>44643</v>
      </c>
      <c r="M27" s="392">
        <v>3085.4</v>
      </c>
      <c r="N27" s="137">
        <f t="shared" si="1"/>
        <v>0</v>
      </c>
    </row>
    <row r="28" spans="1:14" ht="15.75" x14ac:dyDescent="0.25">
      <c r="A28" s="429">
        <v>44604</v>
      </c>
      <c r="B28" s="437" t="s">
        <v>497</v>
      </c>
      <c r="C28" s="392">
        <v>55111.8</v>
      </c>
      <c r="D28" s="405">
        <v>44617</v>
      </c>
      <c r="E28" s="392">
        <v>55111.8</v>
      </c>
      <c r="F28" s="392">
        <f t="shared" si="0"/>
        <v>0</v>
      </c>
      <c r="I28" s="394" t="s">
        <v>562</v>
      </c>
      <c r="J28" s="391">
        <v>8573</v>
      </c>
      <c r="K28" s="392">
        <v>2662.4</v>
      </c>
      <c r="L28" s="474">
        <v>44643</v>
      </c>
      <c r="M28" s="392">
        <v>2662.4</v>
      </c>
      <c r="N28" s="137">
        <f t="shared" si="1"/>
        <v>0</v>
      </c>
    </row>
    <row r="29" spans="1:14" ht="15.75" x14ac:dyDescent="0.25">
      <c r="A29" s="429">
        <v>44604</v>
      </c>
      <c r="B29" s="437" t="s">
        <v>498</v>
      </c>
      <c r="C29" s="392">
        <v>149188.5</v>
      </c>
      <c r="D29" s="405">
        <v>44617</v>
      </c>
      <c r="E29" s="392">
        <v>149188.5</v>
      </c>
      <c r="F29" s="392">
        <f t="shared" si="0"/>
        <v>0</v>
      </c>
      <c r="I29" s="394" t="s">
        <v>563</v>
      </c>
      <c r="J29" s="391">
        <v>8577</v>
      </c>
      <c r="K29" s="392">
        <v>2100</v>
      </c>
      <c r="L29" s="474">
        <v>44643</v>
      </c>
      <c r="M29" s="392">
        <v>2100</v>
      </c>
      <c r="N29" s="137">
        <f t="shared" si="1"/>
        <v>0</v>
      </c>
    </row>
    <row r="30" spans="1:14" ht="18.75" x14ac:dyDescent="0.3">
      <c r="A30" s="429">
        <v>44604</v>
      </c>
      <c r="B30" s="437" t="s">
        <v>499</v>
      </c>
      <c r="C30" s="392">
        <v>4932</v>
      </c>
      <c r="D30" s="405">
        <v>44617</v>
      </c>
      <c r="E30" s="392">
        <v>4932</v>
      </c>
      <c r="F30" s="392">
        <f t="shared" si="0"/>
        <v>0</v>
      </c>
      <c r="G30" s="138"/>
      <c r="I30" s="394" t="s">
        <v>564</v>
      </c>
      <c r="J30" s="391">
        <v>8581</v>
      </c>
      <c r="K30" s="392">
        <v>8324.6</v>
      </c>
      <c r="L30" s="474">
        <v>44643</v>
      </c>
      <c r="M30" s="392">
        <v>8324.6</v>
      </c>
      <c r="N30" s="137">
        <f t="shared" si="1"/>
        <v>0</v>
      </c>
    </row>
    <row r="31" spans="1:14" ht="15.75" x14ac:dyDescent="0.25">
      <c r="A31" s="429">
        <v>44604</v>
      </c>
      <c r="B31" s="437" t="s">
        <v>500</v>
      </c>
      <c r="C31" s="392">
        <v>16409.900000000001</v>
      </c>
      <c r="D31" s="405">
        <v>44617</v>
      </c>
      <c r="E31" s="392">
        <v>16409.900000000001</v>
      </c>
      <c r="F31" s="392">
        <f t="shared" si="0"/>
        <v>0</v>
      </c>
      <c r="I31" s="394" t="s">
        <v>565</v>
      </c>
      <c r="J31" s="391">
        <v>8588</v>
      </c>
      <c r="K31" s="392">
        <v>730.4</v>
      </c>
      <c r="L31" s="474">
        <v>44643</v>
      </c>
      <c r="M31" s="392">
        <v>730.4</v>
      </c>
      <c r="N31" s="137">
        <f t="shared" si="1"/>
        <v>0</v>
      </c>
    </row>
    <row r="32" spans="1:14" ht="15.75" x14ac:dyDescent="0.25">
      <c r="A32" s="429">
        <v>44606</v>
      </c>
      <c r="B32" s="437" t="s">
        <v>501</v>
      </c>
      <c r="C32" s="392">
        <v>38081.4</v>
      </c>
      <c r="D32" s="405">
        <v>44617</v>
      </c>
      <c r="E32" s="392">
        <v>38081.4</v>
      </c>
      <c r="F32" s="392">
        <f t="shared" si="0"/>
        <v>0</v>
      </c>
      <c r="I32" s="394" t="s">
        <v>565</v>
      </c>
      <c r="J32" s="391">
        <v>8589</v>
      </c>
      <c r="K32" s="392">
        <v>2296</v>
      </c>
      <c r="L32" s="474">
        <v>44643</v>
      </c>
      <c r="M32" s="392">
        <v>2296</v>
      </c>
      <c r="N32" s="137">
        <f t="shared" si="1"/>
        <v>0</v>
      </c>
    </row>
    <row r="33" spans="1:14" ht="15.75" x14ac:dyDescent="0.25">
      <c r="A33" s="429">
        <v>44607</v>
      </c>
      <c r="B33" s="437" t="s">
        <v>502</v>
      </c>
      <c r="C33" s="392">
        <v>42433.4</v>
      </c>
      <c r="D33" s="405">
        <v>44617</v>
      </c>
      <c r="E33" s="392">
        <v>42433.4</v>
      </c>
      <c r="F33" s="392">
        <f t="shared" si="0"/>
        <v>0</v>
      </c>
      <c r="I33" s="394" t="s">
        <v>566</v>
      </c>
      <c r="J33" s="391">
        <v>8599</v>
      </c>
      <c r="K33" s="392">
        <v>4034.6</v>
      </c>
      <c r="L33" s="474">
        <v>44643</v>
      </c>
      <c r="M33" s="392">
        <v>4034.6</v>
      </c>
      <c r="N33" s="137">
        <f t="shared" si="1"/>
        <v>0</v>
      </c>
    </row>
    <row r="34" spans="1:14" ht="15.75" x14ac:dyDescent="0.25">
      <c r="A34" s="429">
        <v>44607</v>
      </c>
      <c r="B34" s="437" t="s">
        <v>503</v>
      </c>
      <c r="C34" s="392">
        <v>46641.599999999999</v>
      </c>
      <c r="D34" s="405">
        <v>44617</v>
      </c>
      <c r="E34" s="392">
        <v>46641.599999999999</v>
      </c>
      <c r="F34" s="392">
        <f t="shared" si="0"/>
        <v>0</v>
      </c>
      <c r="I34" s="394" t="s">
        <v>567</v>
      </c>
      <c r="J34" s="391">
        <v>8611</v>
      </c>
      <c r="K34" s="392">
        <v>360</v>
      </c>
      <c r="L34" s="474">
        <v>44643</v>
      </c>
      <c r="M34" s="392">
        <v>360</v>
      </c>
      <c r="N34" s="137">
        <f t="shared" si="1"/>
        <v>0</v>
      </c>
    </row>
    <row r="35" spans="1:14" ht="15.75" x14ac:dyDescent="0.25">
      <c r="A35" s="429">
        <v>44607</v>
      </c>
      <c r="B35" s="437" t="s">
        <v>504</v>
      </c>
      <c r="C35" s="392">
        <v>840</v>
      </c>
      <c r="D35" s="405">
        <v>44617</v>
      </c>
      <c r="E35" s="392">
        <v>840</v>
      </c>
      <c r="F35" s="392">
        <f t="shared" si="0"/>
        <v>0</v>
      </c>
      <c r="I35" s="394" t="s">
        <v>567</v>
      </c>
      <c r="J35" s="391">
        <v>8614</v>
      </c>
      <c r="K35" s="392">
        <v>2121</v>
      </c>
      <c r="L35" s="474">
        <v>44643</v>
      </c>
      <c r="M35" s="392">
        <v>2121</v>
      </c>
      <c r="N35" s="137">
        <f t="shared" si="1"/>
        <v>0</v>
      </c>
    </row>
    <row r="36" spans="1:14" ht="15.75" x14ac:dyDescent="0.25">
      <c r="A36" s="429">
        <v>44608</v>
      </c>
      <c r="B36" s="437" t="s">
        <v>505</v>
      </c>
      <c r="C36" s="392">
        <v>34550.68</v>
      </c>
      <c r="D36" s="405">
        <v>44617</v>
      </c>
      <c r="E36" s="392">
        <v>34550.68</v>
      </c>
      <c r="F36" s="392">
        <f t="shared" si="0"/>
        <v>0</v>
      </c>
      <c r="I36" s="394" t="s">
        <v>568</v>
      </c>
      <c r="J36" s="391">
        <v>8617</v>
      </c>
      <c r="K36" s="392">
        <v>2600</v>
      </c>
      <c r="L36" s="474">
        <v>44643</v>
      </c>
      <c r="M36" s="392">
        <v>2600</v>
      </c>
      <c r="N36" s="137">
        <f t="shared" si="1"/>
        <v>0</v>
      </c>
    </row>
    <row r="37" spans="1:14" ht="15.75" x14ac:dyDescent="0.25">
      <c r="A37" s="429">
        <v>44608</v>
      </c>
      <c r="B37" s="437" t="s">
        <v>506</v>
      </c>
      <c r="C37" s="392">
        <v>5383.2</v>
      </c>
      <c r="D37" s="405">
        <v>44617</v>
      </c>
      <c r="E37" s="392">
        <v>5383.2</v>
      </c>
      <c r="F37" s="392">
        <f t="shared" si="0"/>
        <v>0</v>
      </c>
      <c r="I37" s="394" t="s">
        <v>569</v>
      </c>
      <c r="J37" s="391">
        <v>8627</v>
      </c>
      <c r="K37" s="392">
        <v>620</v>
      </c>
      <c r="L37" s="474">
        <v>44643</v>
      </c>
      <c r="M37" s="392">
        <v>620</v>
      </c>
      <c r="N37" s="137">
        <f t="shared" si="1"/>
        <v>0</v>
      </c>
    </row>
    <row r="38" spans="1:14" ht="15.75" x14ac:dyDescent="0.25">
      <c r="A38" s="429">
        <v>44609</v>
      </c>
      <c r="B38" s="438" t="s">
        <v>507</v>
      </c>
      <c r="C38" s="410">
        <v>38249.040000000001</v>
      </c>
      <c r="D38" s="405">
        <v>44617</v>
      </c>
      <c r="E38" s="410">
        <v>38249.040000000001</v>
      </c>
      <c r="F38" s="392">
        <f t="shared" si="0"/>
        <v>0</v>
      </c>
      <c r="I38" s="394"/>
      <c r="J38" s="391"/>
      <c r="K38" s="392"/>
      <c r="L38" s="474"/>
      <c r="M38" s="143"/>
      <c r="N38" s="137">
        <f t="shared" si="1"/>
        <v>0</v>
      </c>
    </row>
    <row r="39" spans="1:14" ht="15.75" x14ac:dyDescent="0.25">
      <c r="A39" s="429">
        <v>44610</v>
      </c>
      <c r="B39" s="246" t="s">
        <v>508</v>
      </c>
      <c r="C39" s="111">
        <v>74963.399999999994</v>
      </c>
      <c r="D39" s="405">
        <v>44617</v>
      </c>
      <c r="E39" s="111">
        <v>74963.399999999994</v>
      </c>
      <c r="F39" s="392">
        <f t="shared" si="0"/>
        <v>0</v>
      </c>
      <c r="I39" s="288"/>
      <c r="J39" s="57"/>
      <c r="K39" s="111"/>
      <c r="L39" s="475"/>
      <c r="M39" s="69"/>
      <c r="N39" s="137">
        <f t="shared" si="1"/>
        <v>0</v>
      </c>
    </row>
    <row r="40" spans="1:14" ht="15.75" x14ac:dyDescent="0.25">
      <c r="A40" s="429">
        <v>44610</v>
      </c>
      <c r="B40" s="246" t="s">
        <v>509</v>
      </c>
      <c r="C40" s="111">
        <v>9270</v>
      </c>
      <c r="D40" s="405">
        <v>44617</v>
      </c>
      <c r="E40" s="111">
        <v>9270</v>
      </c>
      <c r="F40" s="392">
        <f t="shared" si="0"/>
        <v>0</v>
      </c>
      <c r="I40" s="288"/>
      <c r="J40" s="57"/>
      <c r="K40" s="111"/>
      <c r="L40" s="475"/>
      <c r="M40" s="69"/>
      <c r="N40" s="137">
        <f t="shared" si="1"/>
        <v>0</v>
      </c>
    </row>
    <row r="41" spans="1:14" ht="15.75" x14ac:dyDescent="0.25">
      <c r="A41" s="429">
        <v>44611</v>
      </c>
      <c r="B41" s="246" t="s">
        <v>510</v>
      </c>
      <c r="C41" s="111">
        <v>85719.4</v>
      </c>
      <c r="D41" s="405">
        <v>44617</v>
      </c>
      <c r="E41" s="111">
        <v>85719.4</v>
      </c>
      <c r="F41" s="392">
        <f t="shared" si="0"/>
        <v>0</v>
      </c>
      <c r="I41" s="288"/>
      <c r="J41" s="57"/>
      <c r="K41" s="111"/>
      <c r="L41" s="475"/>
      <c r="M41" s="69"/>
      <c r="N41" s="137">
        <f t="shared" si="1"/>
        <v>0</v>
      </c>
    </row>
    <row r="42" spans="1:14" ht="15.75" x14ac:dyDescent="0.25">
      <c r="A42" s="430">
        <v>44611</v>
      </c>
      <c r="B42" s="246" t="s">
        <v>511</v>
      </c>
      <c r="C42" s="111">
        <v>21012.48</v>
      </c>
      <c r="D42" s="405">
        <v>44617</v>
      </c>
      <c r="E42" s="111">
        <v>21012.48</v>
      </c>
      <c r="F42" s="392">
        <f t="shared" si="0"/>
        <v>0</v>
      </c>
      <c r="I42" s="288"/>
      <c r="J42" s="57"/>
      <c r="K42" s="111"/>
      <c r="L42" s="475"/>
      <c r="M42" s="69"/>
      <c r="N42" s="137">
        <f t="shared" si="1"/>
        <v>0</v>
      </c>
    </row>
    <row r="43" spans="1:14" ht="15.75" x14ac:dyDescent="0.25">
      <c r="A43" s="430">
        <v>44613</v>
      </c>
      <c r="B43" s="439" t="s">
        <v>512</v>
      </c>
      <c r="C43" s="111">
        <v>16586.599999999999</v>
      </c>
      <c r="D43" s="405">
        <v>44617</v>
      </c>
      <c r="E43" s="111">
        <v>16586.599999999999</v>
      </c>
      <c r="F43" s="392">
        <f t="shared" si="0"/>
        <v>0</v>
      </c>
      <c r="I43" s="288"/>
      <c r="J43" s="57"/>
      <c r="K43" s="111"/>
      <c r="L43" s="475"/>
      <c r="M43" s="69"/>
      <c r="N43" s="137">
        <f t="shared" si="1"/>
        <v>0</v>
      </c>
    </row>
    <row r="44" spans="1:14" ht="15" customHeight="1" x14ac:dyDescent="0.25">
      <c r="A44" s="430">
        <v>44613</v>
      </c>
      <c r="B44" s="439" t="s">
        <v>513</v>
      </c>
      <c r="C44" s="111">
        <v>16100</v>
      </c>
      <c r="D44" s="405">
        <v>44617</v>
      </c>
      <c r="E44" s="111">
        <v>16100</v>
      </c>
      <c r="F44" s="392">
        <f t="shared" si="0"/>
        <v>0</v>
      </c>
      <c r="I44" s="288"/>
      <c r="J44" s="57"/>
      <c r="K44" s="111"/>
      <c r="L44" s="475"/>
      <c r="M44" s="69"/>
      <c r="N44" s="137">
        <f t="shared" si="1"/>
        <v>0</v>
      </c>
    </row>
    <row r="45" spans="1:14" ht="15.75" x14ac:dyDescent="0.25">
      <c r="A45" s="430">
        <v>44614</v>
      </c>
      <c r="B45" s="439" t="s">
        <v>514</v>
      </c>
      <c r="C45" s="111">
        <v>86111.8</v>
      </c>
      <c r="D45" s="405">
        <v>44617</v>
      </c>
      <c r="E45" s="111">
        <v>86111.8</v>
      </c>
      <c r="F45" s="392">
        <f t="shared" si="0"/>
        <v>0</v>
      </c>
      <c r="I45" s="288"/>
      <c r="J45" s="57"/>
      <c r="K45" s="111"/>
      <c r="L45" s="475"/>
      <c r="M45" s="69"/>
      <c r="N45" s="137">
        <f t="shared" si="1"/>
        <v>0</v>
      </c>
    </row>
    <row r="46" spans="1:14" ht="15.75" x14ac:dyDescent="0.25">
      <c r="A46" s="430">
        <v>44615</v>
      </c>
      <c r="B46" s="246" t="s">
        <v>515</v>
      </c>
      <c r="C46" s="111">
        <v>49782.6</v>
      </c>
      <c r="D46" s="405">
        <v>44617</v>
      </c>
      <c r="E46" s="111">
        <v>49782.6</v>
      </c>
      <c r="F46" s="392">
        <f>C46-E46</f>
        <v>0</v>
      </c>
      <c r="I46" s="288"/>
      <c r="J46" s="57"/>
      <c r="K46" s="111"/>
      <c r="L46" s="475"/>
      <c r="M46" s="69"/>
      <c r="N46" s="137">
        <f t="shared" si="1"/>
        <v>0</v>
      </c>
    </row>
    <row r="47" spans="1:14" ht="15.75" x14ac:dyDescent="0.25">
      <c r="A47" s="431">
        <v>44616</v>
      </c>
      <c r="B47" s="246" t="s">
        <v>516</v>
      </c>
      <c r="C47" s="111">
        <v>61856.639999999999</v>
      </c>
      <c r="D47" s="487">
        <v>44643</v>
      </c>
      <c r="E47" s="488">
        <v>61856.639999999999</v>
      </c>
      <c r="F47" s="392">
        <f t="shared" si="0"/>
        <v>0</v>
      </c>
      <c r="I47" s="350"/>
      <c r="J47" s="415"/>
      <c r="K47" s="34"/>
      <c r="L47" s="416"/>
      <c r="M47" s="215"/>
      <c r="N47" s="137">
        <f t="shared" si="1"/>
        <v>0</v>
      </c>
    </row>
    <row r="48" spans="1:14" ht="15.75" x14ac:dyDescent="0.25">
      <c r="A48" s="431">
        <v>44617</v>
      </c>
      <c r="B48" s="246" t="s">
        <v>517</v>
      </c>
      <c r="C48" s="111">
        <v>145889.51999999999</v>
      </c>
      <c r="D48" s="487">
        <v>44643</v>
      </c>
      <c r="E48" s="488">
        <v>145889.51999999999</v>
      </c>
      <c r="F48" s="392">
        <f t="shared" si="0"/>
        <v>0</v>
      </c>
      <c r="I48" s="348"/>
      <c r="J48" s="414"/>
      <c r="K48" s="414"/>
      <c r="L48" s="476"/>
      <c r="M48" s="206"/>
      <c r="N48" s="137">
        <f>N47+K48-M48</f>
        <v>0</v>
      </c>
    </row>
    <row r="49" spans="1:14" ht="15.75" x14ac:dyDescent="0.25">
      <c r="A49" s="432">
        <v>44617</v>
      </c>
      <c r="B49" s="445" t="s">
        <v>518</v>
      </c>
      <c r="C49" s="111">
        <v>200</v>
      </c>
      <c r="D49" s="487">
        <v>44643</v>
      </c>
      <c r="E49" s="488">
        <v>200</v>
      </c>
      <c r="F49" s="392">
        <f t="shared" si="0"/>
        <v>0</v>
      </c>
      <c r="I49" s="348"/>
      <c r="J49" s="414"/>
      <c r="K49" s="414"/>
      <c r="L49" s="476"/>
      <c r="M49" s="206"/>
      <c r="N49" s="137">
        <f t="shared" si="1"/>
        <v>0</v>
      </c>
    </row>
    <row r="50" spans="1:14" ht="15.75" x14ac:dyDescent="0.25">
      <c r="A50" s="446">
        <v>44617</v>
      </c>
      <c r="B50" s="447" t="s">
        <v>519</v>
      </c>
      <c r="C50" s="111">
        <v>2373.8000000000002</v>
      </c>
      <c r="D50" s="487">
        <v>44643</v>
      </c>
      <c r="E50" s="488">
        <v>2373.8000000000002</v>
      </c>
      <c r="F50" s="392">
        <f t="shared" si="0"/>
        <v>0</v>
      </c>
      <c r="I50" s="134"/>
      <c r="J50" s="408"/>
      <c r="K50" s="215">
        <v>0</v>
      </c>
      <c r="L50" s="409"/>
      <c r="M50" s="69"/>
      <c r="N50" s="137">
        <f t="shared" si="1"/>
        <v>0</v>
      </c>
    </row>
    <row r="51" spans="1:14" ht="15.75" hidden="1" x14ac:dyDescent="0.25">
      <c r="A51" s="446"/>
      <c r="B51" s="447"/>
      <c r="C51" s="111"/>
      <c r="D51" s="487">
        <v>44643</v>
      </c>
      <c r="E51" s="488"/>
      <c r="F51" s="392">
        <f t="shared" si="0"/>
        <v>0</v>
      </c>
      <c r="I51" s="134"/>
      <c r="J51" s="139"/>
      <c r="K51" s="69"/>
      <c r="L51" s="140"/>
      <c r="M51" s="69"/>
      <c r="N51" s="137">
        <f t="shared" si="1"/>
        <v>0</v>
      </c>
    </row>
    <row r="52" spans="1:14" ht="15.75" hidden="1" x14ac:dyDescent="0.25">
      <c r="A52" s="446"/>
      <c r="B52" s="447"/>
      <c r="C52" s="111"/>
      <c r="D52" s="487">
        <v>44643</v>
      </c>
      <c r="E52" s="488"/>
      <c r="F52" s="392">
        <f t="shared" si="0"/>
        <v>0</v>
      </c>
      <c r="I52" s="134"/>
      <c r="J52" s="139"/>
      <c r="K52" s="69"/>
      <c r="L52" s="140"/>
      <c r="M52" s="69"/>
      <c r="N52" s="137">
        <f t="shared" si="1"/>
        <v>0</v>
      </c>
    </row>
    <row r="53" spans="1:14" ht="15.75" hidden="1" x14ac:dyDescent="0.25">
      <c r="A53" s="446"/>
      <c r="B53" s="447"/>
      <c r="C53" s="111"/>
      <c r="D53" s="487">
        <v>44643</v>
      </c>
      <c r="E53" s="488"/>
      <c r="F53" s="392">
        <f t="shared" si="0"/>
        <v>0</v>
      </c>
      <c r="I53" s="134"/>
      <c r="J53" s="139"/>
      <c r="K53" s="69"/>
      <c r="L53" s="140"/>
      <c r="M53" s="69"/>
      <c r="N53" s="137">
        <f t="shared" si="1"/>
        <v>0</v>
      </c>
    </row>
    <row r="54" spans="1:14" ht="15.75" hidden="1" x14ac:dyDescent="0.25">
      <c r="A54" s="446"/>
      <c r="B54" s="447"/>
      <c r="C54" s="111"/>
      <c r="D54" s="487">
        <v>44643</v>
      </c>
      <c r="E54" s="488"/>
      <c r="F54" s="392">
        <f t="shared" si="0"/>
        <v>0</v>
      </c>
      <c r="I54" s="134"/>
      <c r="J54" s="139"/>
      <c r="K54" s="69"/>
      <c r="L54" s="140"/>
      <c r="M54" s="69"/>
      <c r="N54" s="137">
        <f t="shared" si="1"/>
        <v>0</v>
      </c>
    </row>
    <row r="55" spans="1:14" ht="15.75" hidden="1" x14ac:dyDescent="0.25">
      <c r="A55" s="446"/>
      <c r="B55" s="447"/>
      <c r="C55" s="111"/>
      <c r="D55" s="487">
        <v>44643</v>
      </c>
      <c r="E55" s="488"/>
      <c r="F55" s="392">
        <f t="shared" si="0"/>
        <v>0</v>
      </c>
      <c r="I55" s="134"/>
      <c r="J55" s="139"/>
      <c r="K55" s="69"/>
      <c r="L55" s="140"/>
      <c r="M55" s="69"/>
      <c r="N55" s="137">
        <f t="shared" si="1"/>
        <v>0</v>
      </c>
    </row>
    <row r="56" spans="1:14" ht="15.75" hidden="1" x14ac:dyDescent="0.25">
      <c r="A56" s="446"/>
      <c r="B56" s="447"/>
      <c r="C56" s="111"/>
      <c r="D56" s="487">
        <v>44643</v>
      </c>
      <c r="E56" s="488"/>
      <c r="F56" s="392">
        <f t="shared" si="0"/>
        <v>0</v>
      </c>
      <c r="I56" s="134"/>
      <c r="J56" s="139"/>
      <c r="K56" s="69"/>
      <c r="L56" s="140"/>
      <c r="M56" s="69"/>
      <c r="N56" s="137">
        <f t="shared" si="1"/>
        <v>0</v>
      </c>
    </row>
    <row r="57" spans="1:14" ht="15.75" hidden="1" x14ac:dyDescent="0.25">
      <c r="A57" s="446"/>
      <c r="B57" s="447"/>
      <c r="C57" s="111"/>
      <c r="D57" s="487">
        <v>44643</v>
      </c>
      <c r="E57" s="488"/>
      <c r="F57" s="392">
        <f t="shared" si="0"/>
        <v>0</v>
      </c>
      <c r="I57" s="134"/>
      <c r="J57" s="139"/>
      <c r="K57" s="69"/>
      <c r="L57" s="140"/>
      <c r="M57" s="69"/>
      <c r="N57" s="137">
        <f t="shared" si="1"/>
        <v>0</v>
      </c>
    </row>
    <row r="58" spans="1:14" ht="15.75" hidden="1" x14ac:dyDescent="0.25">
      <c r="A58" s="446"/>
      <c r="B58" s="447"/>
      <c r="C58" s="111"/>
      <c r="D58" s="487">
        <v>44643</v>
      </c>
      <c r="E58" s="488"/>
      <c r="F58" s="392">
        <f t="shared" si="0"/>
        <v>0</v>
      </c>
      <c r="I58" s="134"/>
      <c r="J58" s="139"/>
      <c r="K58" s="69"/>
      <c r="L58" s="140"/>
      <c r="M58" s="69"/>
      <c r="N58" s="137">
        <f t="shared" si="1"/>
        <v>0</v>
      </c>
    </row>
    <row r="59" spans="1:14" ht="15.75" hidden="1" x14ac:dyDescent="0.25">
      <c r="A59" s="446"/>
      <c r="B59" s="447"/>
      <c r="C59" s="111"/>
      <c r="D59" s="487">
        <v>44643</v>
      </c>
      <c r="E59" s="488"/>
      <c r="F59" s="392">
        <f t="shared" si="0"/>
        <v>0</v>
      </c>
      <c r="I59" s="134"/>
      <c r="J59" s="139"/>
      <c r="K59" s="69"/>
      <c r="L59" s="140"/>
      <c r="M59" s="69"/>
      <c r="N59" s="137">
        <f t="shared" si="1"/>
        <v>0</v>
      </c>
    </row>
    <row r="60" spans="1:14" ht="15.75" hidden="1" x14ac:dyDescent="0.25">
      <c r="A60" s="446"/>
      <c r="B60" s="447"/>
      <c r="C60" s="111"/>
      <c r="D60" s="487">
        <v>44643</v>
      </c>
      <c r="E60" s="488"/>
      <c r="F60" s="392">
        <f t="shared" si="0"/>
        <v>0</v>
      </c>
      <c r="I60" s="134"/>
      <c r="J60" s="139"/>
      <c r="K60" s="69"/>
      <c r="L60" s="140"/>
      <c r="M60" s="69"/>
      <c r="N60" s="137">
        <f t="shared" si="1"/>
        <v>0</v>
      </c>
    </row>
    <row r="61" spans="1:14" ht="15.75" hidden="1" x14ac:dyDescent="0.25">
      <c r="A61" s="446"/>
      <c r="B61" s="447"/>
      <c r="C61" s="111"/>
      <c r="D61" s="487">
        <v>44643</v>
      </c>
      <c r="E61" s="488"/>
      <c r="F61" s="392">
        <f t="shared" si="0"/>
        <v>0</v>
      </c>
      <c r="I61" s="134"/>
      <c r="J61" s="139"/>
      <c r="K61" s="69"/>
      <c r="L61" s="140"/>
      <c r="M61" s="69"/>
      <c r="N61" s="137">
        <f t="shared" si="1"/>
        <v>0</v>
      </c>
    </row>
    <row r="62" spans="1:14" ht="15.75" hidden="1" x14ac:dyDescent="0.25">
      <c r="A62" s="446"/>
      <c r="B62" s="447"/>
      <c r="C62" s="111"/>
      <c r="D62" s="487">
        <v>44643</v>
      </c>
      <c r="E62" s="488"/>
      <c r="F62" s="392">
        <f t="shared" si="0"/>
        <v>0</v>
      </c>
      <c r="I62" s="356"/>
      <c r="J62" s="357"/>
      <c r="K62" s="34"/>
      <c r="L62" s="147"/>
      <c r="M62" s="34"/>
      <c r="N62" s="137">
        <f t="shared" si="1"/>
        <v>0</v>
      </c>
    </row>
    <row r="63" spans="1:14" ht="15.75" hidden="1" x14ac:dyDescent="0.25">
      <c r="A63" s="446"/>
      <c r="B63" s="447"/>
      <c r="C63" s="111"/>
      <c r="D63" s="487">
        <v>44643</v>
      </c>
      <c r="E63" s="488"/>
      <c r="F63" s="392">
        <f t="shared" si="0"/>
        <v>0</v>
      </c>
      <c r="I63" s="356"/>
      <c r="J63" s="357"/>
      <c r="K63" s="34"/>
      <c r="L63" s="147"/>
      <c r="M63" s="34"/>
      <c r="N63" s="137">
        <f t="shared" si="1"/>
        <v>0</v>
      </c>
    </row>
    <row r="64" spans="1:14" ht="15.75" hidden="1" x14ac:dyDescent="0.25">
      <c r="A64" s="446"/>
      <c r="B64" s="447"/>
      <c r="C64" s="111"/>
      <c r="D64" s="487">
        <v>44643</v>
      </c>
      <c r="E64" s="488"/>
      <c r="F64" s="392">
        <f t="shared" si="0"/>
        <v>0</v>
      </c>
      <c r="I64" s="356"/>
      <c r="J64" s="357"/>
      <c r="K64" s="34"/>
      <c r="L64" s="147"/>
      <c r="M64" s="34"/>
      <c r="N64" s="137">
        <f t="shared" si="1"/>
        <v>0</v>
      </c>
    </row>
    <row r="65" spans="1:14" ht="15.75" hidden="1" x14ac:dyDescent="0.25">
      <c r="A65" s="446"/>
      <c r="B65" s="447"/>
      <c r="C65" s="111"/>
      <c r="D65" s="487">
        <v>44643</v>
      </c>
      <c r="E65" s="488"/>
      <c r="F65" s="392">
        <f t="shared" si="0"/>
        <v>0</v>
      </c>
      <c r="I65" s="356"/>
      <c r="J65" s="357"/>
      <c r="K65" s="34"/>
      <c r="L65" s="147"/>
      <c r="M65" s="34"/>
      <c r="N65" s="137">
        <f t="shared" si="1"/>
        <v>0</v>
      </c>
    </row>
    <row r="66" spans="1:14" ht="15.75" hidden="1" x14ac:dyDescent="0.25">
      <c r="A66" s="446"/>
      <c r="B66" s="447"/>
      <c r="C66" s="111"/>
      <c r="D66" s="487">
        <v>44643</v>
      </c>
      <c r="E66" s="488"/>
      <c r="F66" s="392">
        <f t="shared" si="0"/>
        <v>0</v>
      </c>
      <c r="I66" s="356"/>
      <c r="J66" s="357"/>
      <c r="K66" s="34"/>
      <c r="L66" s="147"/>
      <c r="M66" s="34"/>
      <c r="N66" s="137">
        <f t="shared" si="1"/>
        <v>0</v>
      </c>
    </row>
    <row r="67" spans="1:14" ht="15.75" hidden="1" x14ac:dyDescent="0.25">
      <c r="A67" s="448"/>
      <c r="B67" s="449"/>
      <c r="C67" s="233"/>
      <c r="D67" s="487">
        <v>44643</v>
      </c>
      <c r="E67" s="489"/>
      <c r="F67" s="392">
        <f t="shared" si="0"/>
        <v>0</v>
      </c>
      <c r="I67" s="356"/>
      <c r="J67" s="357"/>
      <c r="K67" s="34"/>
      <c r="L67" s="147"/>
      <c r="M67" s="34"/>
      <c r="N67" s="137">
        <f t="shared" si="1"/>
        <v>0</v>
      </c>
    </row>
    <row r="68" spans="1:14" ht="15.75" hidden="1" x14ac:dyDescent="0.25">
      <c r="A68" s="446"/>
      <c r="B68" s="447"/>
      <c r="C68" s="111"/>
      <c r="D68" s="487">
        <v>44643</v>
      </c>
      <c r="E68" s="488"/>
      <c r="F68" s="392">
        <f t="shared" ref="F68:F77" si="2">C68-E68</f>
        <v>0</v>
      </c>
      <c r="I68" s="134"/>
      <c r="J68" s="139"/>
      <c r="K68" s="69"/>
      <c r="L68" s="148"/>
      <c r="M68" s="69"/>
      <c r="N68" s="137">
        <f t="shared" si="1"/>
        <v>0</v>
      </c>
    </row>
    <row r="69" spans="1:14" ht="15.75" hidden="1" x14ac:dyDescent="0.25">
      <c r="A69" s="446"/>
      <c r="B69" s="447"/>
      <c r="C69" s="111"/>
      <c r="D69" s="487">
        <v>44643</v>
      </c>
      <c r="E69" s="488"/>
      <c r="F69" s="392">
        <f t="shared" si="2"/>
        <v>0</v>
      </c>
      <c r="I69" s="134"/>
      <c r="J69" s="139"/>
      <c r="K69" s="69"/>
      <c r="L69" s="148"/>
      <c r="M69" s="69"/>
      <c r="N69" s="137">
        <f t="shared" ref="N69:N78" si="3">N68+K69-M69</f>
        <v>0</v>
      </c>
    </row>
    <row r="70" spans="1:14" ht="15.75" hidden="1" x14ac:dyDescent="0.25">
      <c r="A70" s="446"/>
      <c r="B70" s="447"/>
      <c r="C70" s="111"/>
      <c r="D70" s="487">
        <v>44643</v>
      </c>
      <c r="E70" s="488"/>
      <c r="F70" s="392">
        <f t="shared" si="2"/>
        <v>0</v>
      </c>
      <c r="I70" s="134"/>
      <c r="J70" s="139"/>
      <c r="K70" s="69"/>
      <c r="L70" s="148"/>
      <c r="M70" s="69"/>
      <c r="N70" s="137">
        <f t="shared" si="3"/>
        <v>0</v>
      </c>
    </row>
    <row r="71" spans="1:14" ht="15.75" hidden="1" x14ac:dyDescent="0.25">
      <c r="A71" s="446"/>
      <c r="B71" s="447"/>
      <c r="C71" s="111"/>
      <c r="D71" s="487">
        <v>44643</v>
      </c>
      <c r="E71" s="488"/>
      <c r="F71" s="392">
        <f t="shared" si="2"/>
        <v>0</v>
      </c>
      <c r="I71" s="134"/>
      <c r="J71" s="139"/>
      <c r="K71" s="69"/>
      <c r="L71" s="148"/>
      <c r="M71" s="69"/>
      <c r="N71" s="137">
        <f t="shared" si="3"/>
        <v>0</v>
      </c>
    </row>
    <row r="72" spans="1:14" ht="15.75" hidden="1" x14ac:dyDescent="0.25">
      <c r="A72" s="446"/>
      <c r="B72" s="447"/>
      <c r="C72" s="111"/>
      <c r="D72" s="487">
        <v>44643</v>
      </c>
      <c r="E72" s="488"/>
      <c r="F72" s="392">
        <f t="shared" si="2"/>
        <v>0</v>
      </c>
      <c r="I72" s="134"/>
      <c r="J72" s="139"/>
      <c r="K72" s="69"/>
      <c r="L72" s="148"/>
      <c r="M72" s="69"/>
      <c r="N72" s="137">
        <f t="shared" si="3"/>
        <v>0</v>
      </c>
    </row>
    <row r="73" spans="1:14" ht="15.75" hidden="1" x14ac:dyDescent="0.25">
      <c r="A73" s="446"/>
      <c r="B73" s="447"/>
      <c r="C73" s="111"/>
      <c r="D73" s="487">
        <v>44643</v>
      </c>
      <c r="E73" s="488"/>
      <c r="F73" s="392">
        <f t="shared" si="2"/>
        <v>0</v>
      </c>
      <c r="I73" s="134"/>
      <c r="J73" s="139"/>
      <c r="K73" s="69"/>
      <c r="L73" s="148"/>
      <c r="M73" s="69"/>
      <c r="N73" s="137">
        <f t="shared" si="3"/>
        <v>0</v>
      </c>
    </row>
    <row r="74" spans="1:14" ht="15.75" hidden="1" x14ac:dyDescent="0.25">
      <c r="A74" s="446"/>
      <c r="B74" s="447"/>
      <c r="C74" s="111"/>
      <c r="D74" s="487">
        <v>44643</v>
      </c>
      <c r="E74" s="488"/>
      <c r="F74" s="392">
        <f t="shared" si="2"/>
        <v>0</v>
      </c>
      <c r="I74" s="134"/>
      <c r="J74" s="139"/>
      <c r="K74" s="69"/>
      <c r="L74" s="148"/>
      <c r="M74" s="69"/>
      <c r="N74" s="137">
        <f t="shared" si="3"/>
        <v>0</v>
      </c>
    </row>
    <row r="75" spans="1:14" ht="15.75" x14ac:dyDescent="0.25">
      <c r="A75" s="446">
        <v>44618</v>
      </c>
      <c r="B75" s="447" t="s">
        <v>520</v>
      </c>
      <c r="C75" s="111">
        <v>40377.15</v>
      </c>
      <c r="D75" s="487">
        <v>44643</v>
      </c>
      <c r="E75" s="488">
        <v>40377.15</v>
      </c>
      <c r="F75" s="392">
        <f t="shared" si="2"/>
        <v>0</v>
      </c>
      <c r="I75" s="134"/>
      <c r="J75" s="139"/>
      <c r="K75" s="69"/>
      <c r="L75" s="148"/>
      <c r="M75" s="69"/>
      <c r="N75" s="137">
        <f t="shared" si="3"/>
        <v>0</v>
      </c>
    </row>
    <row r="76" spans="1:14" ht="15.75" x14ac:dyDescent="0.25">
      <c r="A76" s="446"/>
      <c r="B76" s="447"/>
      <c r="C76" s="111"/>
      <c r="D76" s="254"/>
      <c r="E76" s="69"/>
      <c r="F76" s="392">
        <f t="shared" si="2"/>
        <v>0</v>
      </c>
      <c r="I76" s="922" t="s">
        <v>597</v>
      </c>
      <c r="J76" s="923"/>
      <c r="K76" s="69"/>
      <c r="L76" s="148"/>
      <c r="M76" s="69"/>
      <c r="N76" s="137">
        <f t="shared" si="3"/>
        <v>0</v>
      </c>
    </row>
    <row r="77" spans="1:14" ht="15.75" x14ac:dyDescent="0.25">
      <c r="A77" s="446"/>
      <c r="B77" s="447"/>
      <c r="C77" s="111"/>
      <c r="D77" s="254"/>
      <c r="E77" s="69"/>
      <c r="F77" s="392">
        <f t="shared" si="2"/>
        <v>0</v>
      </c>
      <c r="I77" s="924"/>
      <c r="J77" s="925"/>
      <c r="K77" s="69"/>
      <c r="L77" s="148"/>
      <c r="M77" s="69"/>
      <c r="N77" s="137">
        <f t="shared" si="3"/>
        <v>0</v>
      </c>
    </row>
    <row r="78" spans="1:14" ht="16.5" thickBot="1" x14ac:dyDescent="0.3">
      <c r="A78" s="433"/>
      <c r="B78" s="210"/>
      <c r="C78" s="34">
        <v>0</v>
      </c>
      <c r="D78" s="255"/>
      <c r="E78" s="151"/>
      <c r="F78" s="392">
        <f t="shared" ref="F78" si="4">F77+C78</f>
        <v>0</v>
      </c>
      <c r="I78" s="149"/>
      <c r="J78" s="150"/>
      <c r="K78" s="151">
        <v>0</v>
      </c>
      <c r="L78" s="152"/>
      <c r="M78" s="151"/>
      <c r="N78" s="137">
        <f t="shared" si="3"/>
        <v>0</v>
      </c>
    </row>
    <row r="79" spans="1:14" ht="19.5" thickTop="1" x14ac:dyDescent="0.3">
      <c r="B79" s="440"/>
      <c r="C79" s="212">
        <f>SUM(C3:C78)</f>
        <v>1702928.1400000001</v>
      </c>
      <c r="D79" s="407"/>
      <c r="E79" s="395">
        <f>SUM(E3:E78)</f>
        <v>1702928.1400000001</v>
      </c>
      <c r="F79" s="265">
        <f>C79-E79</f>
        <v>0</v>
      </c>
      <c r="K79" s="209">
        <f>SUM(K3:K78)</f>
        <v>553174.08000000007</v>
      </c>
      <c r="L79" s="477"/>
      <c r="M79" s="209">
        <f>SUM(M3:M78)</f>
        <v>553174.08000000007</v>
      </c>
      <c r="N79" s="153">
        <f>N78</f>
        <v>0</v>
      </c>
    </row>
    <row r="80" spans="1:14" ht="15.75" thickBot="1" x14ac:dyDescent="0.3">
      <c r="B80" s="441"/>
      <c r="C80" s="214"/>
      <c r="D80" s="256"/>
      <c r="E80" s="3"/>
      <c r="F80" s="888" t="s">
        <v>207</v>
      </c>
      <c r="K80" s="1"/>
      <c r="L80" s="97"/>
      <c r="M80" s="3"/>
      <c r="N80" s="1"/>
    </row>
    <row r="81" spans="1:14" x14ac:dyDescent="0.25">
      <c r="B81" s="461" t="s">
        <v>547</v>
      </c>
      <c r="C81" s="462"/>
      <c r="D81" s="463"/>
      <c r="E81" s="3"/>
      <c r="F81" s="889"/>
      <c r="K81" s="1"/>
      <c r="L81" s="97"/>
      <c r="M81" s="3"/>
      <c r="N81" s="1"/>
    </row>
    <row r="82" spans="1:14" ht="18.75" x14ac:dyDescent="0.3">
      <c r="A82" s="435"/>
      <c r="B82" s="921" t="s">
        <v>595</v>
      </c>
      <c r="C82" s="921"/>
      <c r="I82"/>
      <c r="J82" s="194"/>
    </row>
    <row r="83" spans="1:14" x14ac:dyDescent="0.25">
      <c r="A83" s="435"/>
      <c r="B83" s="442"/>
      <c r="I83"/>
      <c r="J83" s="194"/>
    </row>
    <row r="84" spans="1:14" x14ac:dyDescent="0.25">
      <c r="A84" s="435"/>
      <c r="B84" s="490" t="s">
        <v>598</v>
      </c>
      <c r="C84" s="480"/>
      <c r="D84" s="491"/>
      <c r="I84"/>
      <c r="J84" s="194"/>
    </row>
    <row r="85" spans="1:14" x14ac:dyDescent="0.25">
      <c r="A85" s="435"/>
      <c r="B85" s="442"/>
      <c r="F85"/>
      <c r="I85"/>
      <c r="J85" s="194"/>
      <c r="N85"/>
    </row>
    <row r="86" spans="1:14" x14ac:dyDescent="0.25">
      <c r="A86" s="435"/>
      <c r="B86" s="442"/>
      <c r="F86"/>
      <c r="I86"/>
      <c r="J86" s="194"/>
      <c r="N86"/>
    </row>
    <row r="87" spans="1:14" x14ac:dyDescent="0.25">
      <c r="A87" s="435"/>
      <c r="B87" s="442"/>
      <c r="F87"/>
      <c r="I87"/>
      <c r="J87" s="194"/>
      <c r="N87"/>
    </row>
    <row r="88" spans="1:14" x14ac:dyDescent="0.25">
      <c r="A88" s="435"/>
      <c r="B88" s="442"/>
      <c r="F88"/>
      <c r="I88"/>
      <c r="J88" s="194"/>
      <c r="N88"/>
    </row>
    <row r="89" spans="1:14" x14ac:dyDescent="0.25">
      <c r="A89" s="435"/>
      <c r="B89" s="442"/>
      <c r="F89"/>
      <c r="I89"/>
      <c r="J89" s="194"/>
      <c r="N89"/>
    </row>
    <row r="90" spans="1:14" x14ac:dyDescent="0.25">
      <c r="A90" s="435"/>
      <c r="B90" s="442"/>
      <c r="F90"/>
      <c r="I90"/>
      <c r="J90" s="194"/>
      <c r="N90"/>
    </row>
    <row r="91" spans="1:14" x14ac:dyDescent="0.25">
      <c r="A91" s="435"/>
      <c r="B91" s="442"/>
      <c r="F91"/>
      <c r="I91"/>
      <c r="J91" s="194"/>
      <c r="N91"/>
    </row>
    <row r="92" spans="1:14" x14ac:dyDescent="0.25">
      <c r="A92" s="435"/>
      <c r="B92" s="442"/>
      <c r="F92"/>
      <c r="I92"/>
      <c r="J92" s="194"/>
      <c r="N92"/>
    </row>
    <row r="93" spans="1:14" x14ac:dyDescent="0.25">
      <c r="A93" s="435"/>
      <c r="B93" s="442"/>
      <c r="F93"/>
      <c r="I93"/>
      <c r="J93" s="194"/>
      <c r="N93"/>
    </row>
    <row r="94" spans="1:14" x14ac:dyDescent="0.25">
      <c r="A94" s="435"/>
      <c r="B94" s="442"/>
      <c r="E94"/>
      <c r="F94"/>
      <c r="I94"/>
      <c r="J94" s="194"/>
      <c r="M94"/>
      <c r="N94"/>
    </row>
    <row r="95" spans="1:14" x14ac:dyDescent="0.25">
      <c r="A95" s="435"/>
      <c r="B95" s="442"/>
      <c r="E95"/>
      <c r="F95"/>
      <c r="I95"/>
      <c r="J95" s="194"/>
      <c r="M95"/>
      <c r="N95"/>
    </row>
    <row r="96" spans="1:14" x14ac:dyDescent="0.25">
      <c r="A96" s="435"/>
      <c r="B96" s="442"/>
      <c r="E96"/>
      <c r="F96"/>
      <c r="I96"/>
      <c r="J96" s="194"/>
      <c r="M96"/>
      <c r="N96"/>
    </row>
    <row r="97" spans="1:14" x14ac:dyDescent="0.25">
      <c r="A97" s="435"/>
      <c r="B97" s="442"/>
      <c r="E97"/>
      <c r="F97"/>
      <c r="I97"/>
      <c r="J97" s="194"/>
      <c r="M97"/>
      <c r="N97"/>
    </row>
    <row r="98" spans="1:14" x14ac:dyDescent="0.25">
      <c r="A98" s="435"/>
      <c r="B98" s="442"/>
      <c r="E98"/>
      <c r="F98"/>
      <c r="I98"/>
      <c r="J98" s="194"/>
      <c r="M98"/>
      <c r="N98"/>
    </row>
    <row r="99" spans="1:14" x14ac:dyDescent="0.25">
      <c r="A99" s="435"/>
      <c r="B99" s="442"/>
      <c r="E99"/>
      <c r="F99"/>
      <c r="I99"/>
      <c r="J99" s="194"/>
      <c r="M99"/>
      <c r="N99"/>
    </row>
    <row r="100" spans="1:14" x14ac:dyDescent="0.25">
      <c r="B100" s="442"/>
      <c r="E100"/>
      <c r="J100" s="194"/>
      <c r="M100"/>
    </row>
    <row r="101" spans="1:14" x14ac:dyDescent="0.25">
      <c r="B101" s="442"/>
      <c r="E101"/>
      <c r="J101" s="194"/>
      <c r="M101"/>
    </row>
    <row r="102" spans="1:14" x14ac:dyDescent="0.25">
      <c r="B102" s="442"/>
      <c r="E102"/>
      <c r="J102" s="194"/>
      <c r="M102"/>
    </row>
    <row r="103" spans="1:14" x14ac:dyDescent="0.25">
      <c r="B103" s="442"/>
      <c r="E103"/>
      <c r="J103" s="194"/>
      <c r="M103"/>
    </row>
    <row r="104" spans="1:14" x14ac:dyDescent="0.25">
      <c r="B104" s="442"/>
      <c r="E104"/>
      <c r="J104" s="194"/>
      <c r="M104"/>
    </row>
    <row r="105" spans="1:14" x14ac:dyDescent="0.25">
      <c r="B105" s="442"/>
      <c r="E105"/>
      <c r="J105" s="194"/>
      <c r="M105"/>
    </row>
    <row r="106" spans="1:14" x14ac:dyDescent="0.25">
      <c r="B106" s="442"/>
      <c r="E106"/>
      <c r="J106" s="194"/>
      <c r="M106"/>
    </row>
    <row r="107" spans="1:14" x14ac:dyDescent="0.25">
      <c r="B107" s="442"/>
      <c r="E107"/>
      <c r="J107" s="194"/>
      <c r="M107"/>
    </row>
    <row r="108" spans="1:14" x14ac:dyDescent="0.25">
      <c r="B108" s="442"/>
      <c r="E108"/>
      <c r="J108" s="194"/>
      <c r="M108"/>
    </row>
    <row r="109" spans="1:14" x14ac:dyDescent="0.25">
      <c r="B109" s="442"/>
      <c r="J109" s="194"/>
    </row>
    <row r="110" spans="1:14" x14ac:dyDescent="0.25">
      <c r="B110" s="442"/>
      <c r="J110" s="194"/>
    </row>
    <row r="111" spans="1:14" x14ac:dyDescent="0.25">
      <c r="B111" s="442"/>
      <c r="J111" s="194"/>
    </row>
    <row r="112" spans="1:14" x14ac:dyDescent="0.25">
      <c r="B112" s="442"/>
      <c r="J112" s="194"/>
    </row>
    <row r="113" spans="2:11" x14ac:dyDescent="0.25">
      <c r="B113" s="442"/>
      <c r="J113" s="194"/>
    </row>
    <row r="114" spans="2:11" x14ac:dyDescent="0.25">
      <c r="B114" s="442"/>
      <c r="J114" s="194"/>
    </row>
    <row r="115" spans="2:11" ht="18.75" x14ac:dyDescent="0.3">
      <c r="C115" s="154"/>
      <c r="K115" s="154"/>
    </row>
  </sheetData>
  <mergeCells count="3">
    <mergeCell ref="F80:F81"/>
    <mergeCell ref="B82:C82"/>
    <mergeCell ref="I76:J77"/>
  </mergeCells>
  <pageMargins left="0.31" right="0.25" top="0.34" bottom="0.3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1:Z96"/>
  <sheetViews>
    <sheetView topLeftCell="A33" workbookViewId="0">
      <selection activeCell="L58" sqref="L58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21.28515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826"/>
      <c r="C1" s="892" t="s">
        <v>451</v>
      </c>
      <c r="D1" s="893"/>
      <c r="E1" s="893"/>
      <c r="F1" s="893"/>
      <c r="G1" s="893"/>
      <c r="H1" s="893"/>
      <c r="I1" s="893"/>
      <c r="J1" s="893"/>
      <c r="K1" s="893"/>
      <c r="L1" s="893"/>
      <c r="M1" s="893"/>
    </row>
    <row r="2" spans="1:25" ht="16.5" thickBot="1" x14ac:dyDescent="0.3">
      <c r="B2" s="827"/>
      <c r="C2" s="3"/>
      <c r="H2" s="5"/>
      <c r="I2" s="6"/>
      <c r="J2" s="7"/>
      <c r="L2" s="8"/>
      <c r="M2" s="6"/>
      <c r="N2" s="9"/>
    </row>
    <row r="3" spans="1:25" ht="21.75" thickBot="1" x14ac:dyDescent="0.35">
      <c r="B3" s="830" t="s">
        <v>0</v>
      </c>
      <c r="C3" s="831"/>
      <c r="D3" s="10"/>
      <c r="E3" s="11"/>
      <c r="F3" s="11"/>
      <c r="H3" s="832" t="s">
        <v>26</v>
      </c>
      <c r="I3" s="832"/>
      <c r="K3" s="165"/>
      <c r="L3" s="13"/>
      <c r="M3" s="14"/>
      <c r="P3" s="869" t="s">
        <v>6</v>
      </c>
      <c r="R3" s="890" t="s">
        <v>216</v>
      </c>
    </row>
    <row r="4" spans="1:25" ht="32.25" thickTop="1" thickBot="1" x14ac:dyDescent="0.35">
      <c r="A4" s="15" t="s">
        <v>1</v>
      </c>
      <c r="B4" s="16"/>
      <c r="C4" s="17">
        <v>1266568.45</v>
      </c>
      <c r="D4" s="18">
        <v>44619</v>
      </c>
      <c r="E4" s="833" t="s">
        <v>2</v>
      </c>
      <c r="F4" s="834"/>
      <c r="H4" s="835" t="s">
        <v>3</v>
      </c>
      <c r="I4" s="836"/>
      <c r="J4" s="19"/>
      <c r="K4" s="166"/>
      <c r="L4" s="20"/>
      <c r="M4" s="21" t="s">
        <v>4</v>
      </c>
      <c r="N4" s="22" t="s">
        <v>5</v>
      </c>
      <c r="P4" s="870"/>
      <c r="Q4" s="322" t="s">
        <v>217</v>
      </c>
      <c r="R4" s="891"/>
      <c r="W4" s="879" t="s">
        <v>124</v>
      </c>
      <c r="X4" s="879"/>
      <c r="Y4" s="227"/>
    </row>
    <row r="5" spans="1:25" ht="18" thickBot="1" x14ac:dyDescent="0.35">
      <c r="A5" s="23" t="s">
        <v>7</v>
      </c>
      <c r="B5" s="24">
        <v>44620</v>
      </c>
      <c r="C5" s="25">
        <v>17066</v>
      </c>
      <c r="D5" s="26" t="s">
        <v>452</v>
      </c>
      <c r="E5" s="27">
        <v>44620</v>
      </c>
      <c r="F5" s="28">
        <v>93289</v>
      </c>
      <c r="G5" s="2"/>
      <c r="H5" s="29">
        <v>44620</v>
      </c>
      <c r="I5" s="30">
        <v>1122</v>
      </c>
      <c r="J5" s="37"/>
      <c r="K5" s="31"/>
      <c r="L5" s="9"/>
      <c r="M5" s="32">
        <v>52267</v>
      </c>
      <c r="N5" s="33">
        <v>22834</v>
      </c>
      <c r="O5" s="318"/>
      <c r="P5" s="34">
        <f>N5+M5+L5+I5+C5</f>
        <v>93289</v>
      </c>
      <c r="Q5" s="325">
        <f>P5-F5</f>
        <v>0</v>
      </c>
      <c r="R5" s="379">
        <v>0</v>
      </c>
      <c r="S5" s="324"/>
      <c r="W5" s="879"/>
      <c r="X5" s="879"/>
      <c r="Y5" s="233"/>
    </row>
    <row r="6" spans="1:25" ht="18" thickBot="1" x14ac:dyDescent="0.35">
      <c r="A6" s="23"/>
      <c r="B6" s="24">
        <v>44621</v>
      </c>
      <c r="C6" s="25">
        <v>18706.5</v>
      </c>
      <c r="D6" s="35" t="s">
        <v>453</v>
      </c>
      <c r="E6" s="27">
        <v>44621</v>
      </c>
      <c r="F6" s="28">
        <v>86642</v>
      </c>
      <c r="G6" s="2"/>
      <c r="H6" s="36">
        <v>44621</v>
      </c>
      <c r="I6" s="30">
        <v>1492</v>
      </c>
      <c r="J6" s="37"/>
      <c r="K6" s="38"/>
      <c r="L6" s="39"/>
      <c r="M6" s="32">
        <v>33586.5</v>
      </c>
      <c r="N6" s="33">
        <v>32857</v>
      </c>
      <c r="O6" s="2"/>
      <c r="P6" s="39">
        <f>N6+M6+L6+I6+C6</f>
        <v>86642</v>
      </c>
      <c r="Q6" s="325">
        <f>P6-F6</f>
        <v>0</v>
      </c>
      <c r="R6" s="319">
        <v>0</v>
      </c>
      <c r="S6" s="147"/>
      <c r="T6" s="128"/>
      <c r="U6" s="380"/>
      <c r="W6" s="234">
        <v>0</v>
      </c>
      <c r="X6" s="237"/>
      <c r="Y6" s="13"/>
    </row>
    <row r="7" spans="1:25" ht="18" thickBot="1" x14ac:dyDescent="0.35">
      <c r="A7" s="23"/>
      <c r="B7" s="24">
        <v>44622</v>
      </c>
      <c r="C7" s="25">
        <v>8793</v>
      </c>
      <c r="D7" s="40" t="s">
        <v>454</v>
      </c>
      <c r="E7" s="27">
        <v>44622</v>
      </c>
      <c r="F7" s="28">
        <v>74195</v>
      </c>
      <c r="G7" s="2"/>
      <c r="H7" s="36">
        <v>44622</v>
      </c>
      <c r="I7" s="30">
        <v>2466</v>
      </c>
      <c r="J7" s="37"/>
      <c r="K7" s="38"/>
      <c r="L7" s="39"/>
      <c r="M7" s="32">
        <v>38157</v>
      </c>
      <c r="N7" s="33">
        <v>26092</v>
      </c>
      <c r="O7" s="224"/>
      <c r="P7" s="39">
        <f t="shared" ref="P7:P32" si="0">N7+M7+L7+I7+C7</f>
        <v>75508</v>
      </c>
      <c r="Q7" s="325">
        <v>0</v>
      </c>
      <c r="R7" s="388">
        <v>1313</v>
      </c>
      <c r="S7" s="147"/>
      <c r="T7" s="128"/>
      <c r="U7" s="34">
        <v>0</v>
      </c>
      <c r="W7" s="234">
        <v>0</v>
      </c>
      <c r="X7" s="237"/>
      <c r="Y7" s="13"/>
    </row>
    <row r="8" spans="1:25" ht="18" thickBot="1" x14ac:dyDescent="0.35">
      <c r="A8" s="23"/>
      <c r="B8" s="24">
        <v>44623</v>
      </c>
      <c r="C8" s="25">
        <v>27799</v>
      </c>
      <c r="D8" s="42" t="s">
        <v>455</v>
      </c>
      <c r="E8" s="27">
        <v>44623</v>
      </c>
      <c r="F8" s="28">
        <v>78344</v>
      </c>
      <c r="G8" s="2"/>
      <c r="H8" s="36">
        <v>44623</v>
      </c>
      <c r="I8" s="30">
        <v>2278</v>
      </c>
      <c r="J8" s="43"/>
      <c r="K8" s="38"/>
      <c r="L8" s="39"/>
      <c r="M8" s="32">
        <f>31611+1120</f>
        <v>32731</v>
      </c>
      <c r="N8" s="33">
        <v>15536</v>
      </c>
      <c r="O8" s="2"/>
      <c r="P8" s="39">
        <f t="shared" si="0"/>
        <v>78344</v>
      </c>
      <c r="Q8" s="325">
        <f t="shared" ref="Q8:Q32" si="1">P8-F8</f>
        <v>0</v>
      </c>
      <c r="R8" s="319">
        <v>0</v>
      </c>
      <c r="S8" s="147"/>
      <c r="T8" s="128"/>
      <c r="U8" s="34">
        <v>0</v>
      </c>
      <c r="W8" s="234">
        <v>0</v>
      </c>
      <c r="X8" s="237"/>
      <c r="Y8" s="13"/>
    </row>
    <row r="9" spans="1:25" ht="18" thickBot="1" x14ac:dyDescent="0.35">
      <c r="A9" s="23"/>
      <c r="B9" s="24">
        <v>44624</v>
      </c>
      <c r="C9" s="25">
        <v>21631</v>
      </c>
      <c r="D9" s="42" t="s">
        <v>456</v>
      </c>
      <c r="E9" s="27">
        <v>44624</v>
      </c>
      <c r="F9" s="28">
        <v>84746</v>
      </c>
      <c r="G9" s="2"/>
      <c r="H9" s="36">
        <v>44624</v>
      </c>
      <c r="I9" s="30">
        <v>17409</v>
      </c>
      <c r="J9" s="37"/>
      <c r="K9" s="223"/>
      <c r="L9" s="39"/>
      <c r="M9" s="32">
        <v>57014</v>
      </c>
      <c r="N9" s="33">
        <v>29548</v>
      </c>
      <c r="O9" s="2"/>
      <c r="P9" s="39">
        <f t="shared" si="0"/>
        <v>125602</v>
      </c>
      <c r="Q9" s="325">
        <v>0</v>
      </c>
      <c r="R9" s="388">
        <v>40856</v>
      </c>
      <c r="S9" s="147"/>
      <c r="T9" s="128"/>
      <c r="U9" s="34">
        <v>0</v>
      </c>
      <c r="W9" s="234">
        <v>0</v>
      </c>
      <c r="X9" s="238"/>
      <c r="Y9" s="13"/>
    </row>
    <row r="10" spans="1:25" ht="18" thickBot="1" x14ac:dyDescent="0.35">
      <c r="A10" s="23"/>
      <c r="B10" s="24">
        <v>44625</v>
      </c>
      <c r="C10" s="25">
        <v>9359</v>
      </c>
      <c r="D10" s="40" t="s">
        <v>458</v>
      </c>
      <c r="E10" s="27">
        <v>44625</v>
      </c>
      <c r="F10" s="28">
        <v>114185</v>
      </c>
      <c r="G10" s="2"/>
      <c r="H10" s="36">
        <v>44625</v>
      </c>
      <c r="I10" s="30">
        <v>4867</v>
      </c>
      <c r="J10" s="37">
        <v>44625</v>
      </c>
      <c r="K10" s="167" t="s">
        <v>457</v>
      </c>
      <c r="L10" s="45">
        <v>12109.41</v>
      </c>
      <c r="M10" s="32">
        <v>38720</v>
      </c>
      <c r="N10" s="33">
        <v>49131</v>
      </c>
      <c r="O10" s="2"/>
      <c r="P10" s="39">
        <f>N10+M10+L10+I10+C10</f>
        <v>114186.41</v>
      </c>
      <c r="Q10" s="325">
        <f t="shared" si="1"/>
        <v>1.4100000000034925</v>
      </c>
      <c r="R10" s="319">
        <v>0</v>
      </c>
      <c r="S10" s="147"/>
      <c r="T10" s="128"/>
      <c r="U10" s="34">
        <v>0</v>
      </c>
      <c r="W10" s="234">
        <v>0</v>
      </c>
      <c r="X10" s="238"/>
      <c r="Y10" s="13"/>
    </row>
    <row r="11" spans="1:25" ht="18" thickBot="1" x14ac:dyDescent="0.35">
      <c r="A11" s="23"/>
      <c r="B11" s="24">
        <v>44626</v>
      </c>
      <c r="C11" s="25">
        <v>11735</v>
      </c>
      <c r="D11" s="35" t="s">
        <v>459</v>
      </c>
      <c r="E11" s="27">
        <v>44626</v>
      </c>
      <c r="F11" s="28">
        <v>99338</v>
      </c>
      <c r="G11" s="2"/>
      <c r="H11" s="36">
        <v>44626</v>
      </c>
      <c r="I11" s="30">
        <v>1687</v>
      </c>
      <c r="J11" s="43"/>
      <c r="K11" s="168"/>
      <c r="L11" s="39"/>
      <c r="M11" s="32">
        <v>62058</v>
      </c>
      <c r="N11" s="33">
        <v>23858</v>
      </c>
      <c r="O11" s="2"/>
      <c r="P11" s="39">
        <f t="shared" si="0"/>
        <v>99338</v>
      </c>
      <c r="Q11" s="325">
        <f t="shared" si="1"/>
        <v>0</v>
      </c>
      <c r="R11" s="319">
        <v>0</v>
      </c>
      <c r="S11" s="147"/>
      <c r="T11" s="128"/>
      <c r="U11" s="34">
        <v>0</v>
      </c>
      <c r="W11" s="234">
        <v>0</v>
      </c>
      <c r="X11" s="237"/>
      <c r="Y11" s="13"/>
    </row>
    <row r="12" spans="1:25" ht="18" thickBot="1" x14ac:dyDescent="0.35">
      <c r="A12" s="23"/>
      <c r="B12" s="24">
        <v>44627</v>
      </c>
      <c r="C12" s="25">
        <v>29696.5</v>
      </c>
      <c r="D12" s="35" t="s">
        <v>460</v>
      </c>
      <c r="E12" s="27">
        <v>44627</v>
      </c>
      <c r="F12" s="28">
        <v>78839</v>
      </c>
      <c r="G12" s="2"/>
      <c r="H12" s="36">
        <v>44627</v>
      </c>
      <c r="I12" s="30">
        <v>1945</v>
      </c>
      <c r="J12" s="37"/>
      <c r="K12" s="169"/>
      <c r="L12" s="39"/>
      <c r="M12" s="32">
        <v>20493.5</v>
      </c>
      <c r="N12" s="33">
        <v>26704</v>
      </c>
      <c r="O12" s="328"/>
      <c r="P12" s="39">
        <f t="shared" si="0"/>
        <v>78839</v>
      </c>
      <c r="Q12" s="325">
        <f t="shared" si="1"/>
        <v>0</v>
      </c>
      <c r="R12" s="319">
        <v>0</v>
      </c>
      <c r="S12" s="147"/>
      <c r="T12" s="128"/>
      <c r="U12" s="34">
        <f>SUM(U7:U11)</f>
        <v>0</v>
      </c>
      <c r="W12" s="234">
        <v>0</v>
      </c>
      <c r="X12" s="237"/>
      <c r="Y12" s="13"/>
    </row>
    <row r="13" spans="1:25" ht="18" thickBot="1" x14ac:dyDescent="0.35">
      <c r="A13" s="23"/>
      <c r="B13" s="24">
        <v>44628</v>
      </c>
      <c r="C13" s="25">
        <v>12586.5</v>
      </c>
      <c r="D13" s="42" t="s">
        <v>464</v>
      </c>
      <c r="E13" s="27">
        <v>44628</v>
      </c>
      <c r="F13" s="28">
        <v>76318</v>
      </c>
      <c r="G13" s="2"/>
      <c r="H13" s="36">
        <v>44628</v>
      </c>
      <c r="I13" s="30">
        <v>2124</v>
      </c>
      <c r="J13" s="37"/>
      <c r="K13" s="38"/>
      <c r="L13" s="39"/>
      <c r="M13" s="32">
        <v>41442.5</v>
      </c>
      <c r="N13" s="33">
        <v>20165</v>
      </c>
      <c r="O13" s="2"/>
      <c r="P13" s="39">
        <f t="shared" si="0"/>
        <v>76318</v>
      </c>
      <c r="Q13" s="325">
        <f t="shared" si="1"/>
        <v>0</v>
      </c>
      <c r="R13" s="319">
        <v>0</v>
      </c>
      <c r="S13" s="381"/>
      <c r="T13" s="128"/>
      <c r="U13" s="34"/>
      <c r="W13" s="234">
        <v>0</v>
      </c>
      <c r="X13" s="237"/>
      <c r="Y13" s="13"/>
    </row>
    <row r="14" spans="1:25" ht="18" thickBot="1" x14ac:dyDescent="0.35">
      <c r="A14" s="23"/>
      <c r="B14" s="24">
        <v>44629</v>
      </c>
      <c r="C14" s="25">
        <v>8233.5</v>
      </c>
      <c r="D14" s="40" t="s">
        <v>465</v>
      </c>
      <c r="E14" s="27">
        <v>44629</v>
      </c>
      <c r="F14" s="28">
        <v>116045</v>
      </c>
      <c r="G14" s="2"/>
      <c r="H14" s="36">
        <v>44629</v>
      </c>
      <c r="I14" s="30">
        <v>2261</v>
      </c>
      <c r="J14" s="37"/>
      <c r="K14" s="38"/>
      <c r="L14" s="39"/>
      <c r="M14" s="32">
        <f>70135.5+580.16+6869</f>
        <v>77584.66</v>
      </c>
      <c r="N14" s="33">
        <v>27966</v>
      </c>
      <c r="O14" s="2"/>
      <c r="P14" s="39">
        <f t="shared" si="0"/>
        <v>116045.16</v>
      </c>
      <c r="Q14" s="325">
        <f t="shared" si="1"/>
        <v>0.16000000000349246</v>
      </c>
      <c r="R14" s="319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44630</v>
      </c>
      <c r="C15" s="25">
        <v>6182</v>
      </c>
      <c r="D15" s="40" t="s">
        <v>466</v>
      </c>
      <c r="E15" s="27">
        <v>44630</v>
      </c>
      <c r="F15" s="28">
        <v>72383</v>
      </c>
      <c r="G15" s="2"/>
      <c r="H15" s="36">
        <v>44630</v>
      </c>
      <c r="I15" s="30">
        <v>2289</v>
      </c>
      <c r="J15" s="37"/>
      <c r="K15" s="38"/>
      <c r="L15" s="39"/>
      <c r="M15" s="32">
        <v>47170</v>
      </c>
      <c r="N15" s="33">
        <v>16742</v>
      </c>
      <c r="P15" s="39">
        <f t="shared" si="0"/>
        <v>72383</v>
      </c>
      <c r="Q15" s="325">
        <f t="shared" si="1"/>
        <v>0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44631</v>
      </c>
      <c r="C16" s="25">
        <v>12113</v>
      </c>
      <c r="D16" s="35" t="s">
        <v>467</v>
      </c>
      <c r="E16" s="27">
        <v>44631</v>
      </c>
      <c r="F16" s="28">
        <v>100070</v>
      </c>
      <c r="G16" s="2"/>
      <c r="H16" s="36">
        <v>44631</v>
      </c>
      <c r="I16" s="30">
        <v>1511.5</v>
      </c>
      <c r="J16" s="37"/>
      <c r="K16" s="169"/>
      <c r="L16" s="9"/>
      <c r="M16" s="32">
        <v>60292.5</v>
      </c>
      <c r="N16" s="33">
        <v>26153</v>
      </c>
      <c r="O16" s="330"/>
      <c r="P16" s="39">
        <f t="shared" si="0"/>
        <v>100070</v>
      </c>
      <c r="Q16" s="325">
        <f t="shared" si="1"/>
        <v>0</v>
      </c>
      <c r="R16" s="319">
        <v>0</v>
      </c>
      <c r="S16" s="331"/>
      <c r="W16" s="234">
        <v>0</v>
      </c>
      <c r="X16" s="239"/>
      <c r="Y16" s="233"/>
    </row>
    <row r="17" spans="1:26" ht="18" thickBot="1" x14ac:dyDescent="0.35">
      <c r="A17" s="23"/>
      <c r="B17" s="24">
        <v>44632</v>
      </c>
      <c r="C17" s="25">
        <v>10580</v>
      </c>
      <c r="D17" s="42" t="s">
        <v>468</v>
      </c>
      <c r="E17" s="27">
        <v>44632</v>
      </c>
      <c r="F17" s="28">
        <v>131625</v>
      </c>
      <c r="G17" s="2"/>
      <c r="H17" s="36">
        <v>44632</v>
      </c>
      <c r="I17" s="30">
        <v>9503</v>
      </c>
      <c r="J17" s="37">
        <v>44632</v>
      </c>
      <c r="K17" s="38" t="s">
        <v>469</v>
      </c>
      <c r="L17" s="45">
        <v>18054.02</v>
      </c>
      <c r="M17" s="32">
        <v>55203</v>
      </c>
      <c r="N17" s="33">
        <v>38285</v>
      </c>
      <c r="P17" s="39">
        <f t="shared" si="0"/>
        <v>131625.02000000002</v>
      </c>
      <c r="Q17" s="325">
        <f t="shared" si="1"/>
        <v>2.0000000018626451E-2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44633</v>
      </c>
      <c r="C18" s="25">
        <v>8190</v>
      </c>
      <c r="D18" s="35" t="s">
        <v>471</v>
      </c>
      <c r="E18" s="27">
        <v>44633</v>
      </c>
      <c r="F18" s="28">
        <v>79539</v>
      </c>
      <c r="G18" s="2"/>
      <c r="H18" s="36">
        <v>44633</v>
      </c>
      <c r="I18" s="30">
        <v>1711</v>
      </c>
      <c r="J18" s="37"/>
      <c r="K18" s="170"/>
      <c r="L18" s="39"/>
      <c r="M18" s="32">
        <v>47814</v>
      </c>
      <c r="N18" s="33">
        <v>21824</v>
      </c>
      <c r="P18" s="39">
        <f t="shared" si="0"/>
        <v>79539</v>
      </c>
      <c r="Q18" s="325">
        <f t="shared" si="1"/>
        <v>0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44634</v>
      </c>
      <c r="C19" s="25">
        <v>29641</v>
      </c>
      <c r="D19" s="35" t="s">
        <v>535</v>
      </c>
      <c r="E19" s="27">
        <v>44634</v>
      </c>
      <c r="F19" s="28">
        <v>101000</v>
      </c>
      <c r="G19" s="2"/>
      <c r="H19" s="36">
        <v>44634</v>
      </c>
      <c r="I19" s="30">
        <v>3079</v>
      </c>
      <c r="J19" s="37"/>
      <c r="K19" s="46"/>
      <c r="L19" s="47"/>
      <c r="M19" s="32">
        <f>30013+8142</f>
        <v>38155</v>
      </c>
      <c r="N19" s="33">
        <v>30125</v>
      </c>
      <c r="P19" s="39">
        <f t="shared" si="0"/>
        <v>101000</v>
      </c>
      <c r="Q19" s="325">
        <f t="shared" si="1"/>
        <v>0</v>
      </c>
      <c r="R19" s="319">
        <v>0</v>
      </c>
      <c r="S19" s="147"/>
      <c r="W19" s="883">
        <f>SUM(W6:W18)</f>
        <v>0</v>
      </c>
      <c r="X19" s="240"/>
      <c r="Y19" s="233"/>
    </row>
    <row r="20" spans="1:26" ht="18" thickBot="1" x14ac:dyDescent="0.35">
      <c r="A20" s="23"/>
      <c r="B20" s="24">
        <v>44635</v>
      </c>
      <c r="C20" s="25">
        <v>14601</v>
      </c>
      <c r="D20" s="35" t="s">
        <v>536</v>
      </c>
      <c r="E20" s="27">
        <v>44635</v>
      </c>
      <c r="F20" s="28">
        <v>86083</v>
      </c>
      <c r="G20" s="2"/>
      <c r="H20" s="36">
        <v>44635</v>
      </c>
      <c r="I20" s="30">
        <v>2368</v>
      </c>
      <c r="J20" s="37"/>
      <c r="K20" s="171"/>
      <c r="L20" s="45"/>
      <c r="M20" s="32">
        <v>33949</v>
      </c>
      <c r="N20" s="33">
        <v>35165</v>
      </c>
      <c r="P20" s="39">
        <f t="shared" si="0"/>
        <v>86083</v>
      </c>
      <c r="Q20" s="325">
        <f t="shared" si="1"/>
        <v>0</v>
      </c>
      <c r="R20" s="319">
        <v>0</v>
      </c>
      <c r="S20" s="147"/>
      <c r="W20" s="884"/>
      <c r="X20" s="268"/>
      <c r="Y20" s="233"/>
    </row>
    <row r="21" spans="1:26" ht="18" thickBot="1" x14ac:dyDescent="0.35">
      <c r="A21" s="23"/>
      <c r="B21" s="24">
        <v>44636</v>
      </c>
      <c r="C21" s="25">
        <v>18610</v>
      </c>
      <c r="D21" s="35" t="s">
        <v>578</v>
      </c>
      <c r="E21" s="27">
        <v>44636</v>
      </c>
      <c r="F21" s="28">
        <v>116930</v>
      </c>
      <c r="G21" s="2"/>
      <c r="H21" s="36">
        <v>44636</v>
      </c>
      <c r="I21" s="30">
        <v>1391</v>
      </c>
      <c r="J21" s="37"/>
      <c r="K21" s="48"/>
      <c r="L21" s="45"/>
      <c r="M21" s="32">
        <v>65434</v>
      </c>
      <c r="N21" s="33">
        <v>31495</v>
      </c>
      <c r="P21" s="39">
        <f t="shared" si="0"/>
        <v>116930</v>
      </c>
      <c r="Q21" s="325">
        <f t="shared" si="1"/>
        <v>0</v>
      </c>
      <c r="R21" s="319">
        <v>0</v>
      </c>
      <c r="S21" s="147"/>
      <c r="W21" s="885"/>
      <c r="X21" s="885"/>
      <c r="Y21" s="233"/>
      <c r="Z21" s="128"/>
    </row>
    <row r="22" spans="1:26" ht="18" thickBot="1" x14ac:dyDescent="0.35">
      <c r="A22" s="23"/>
      <c r="B22" s="24">
        <v>44637</v>
      </c>
      <c r="C22" s="25">
        <v>22003</v>
      </c>
      <c r="D22" s="35" t="s">
        <v>579</v>
      </c>
      <c r="E22" s="27">
        <v>44637</v>
      </c>
      <c r="F22" s="28">
        <v>111279</v>
      </c>
      <c r="G22" s="2"/>
      <c r="H22" s="36">
        <v>44637</v>
      </c>
      <c r="I22" s="30">
        <v>2399</v>
      </c>
      <c r="J22" s="37"/>
      <c r="K22" s="31"/>
      <c r="L22" s="49"/>
      <c r="M22" s="32">
        <f>642+62879</f>
        <v>63521</v>
      </c>
      <c r="N22" s="33">
        <v>23356</v>
      </c>
      <c r="P22" s="39">
        <f t="shared" si="0"/>
        <v>111279</v>
      </c>
      <c r="Q22" s="325">
        <f t="shared" si="1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44638</v>
      </c>
      <c r="C23" s="25">
        <v>9219</v>
      </c>
      <c r="D23" s="35" t="s">
        <v>580</v>
      </c>
      <c r="E23" s="27">
        <v>44638</v>
      </c>
      <c r="F23" s="28">
        <v>95289</v>
      </c>
      <c r="G23" s="2"/>
      <c r="H23" s="36">
        <v>44638</v>
      </c>
      <c r="I23" s="30">
        <v>6115</v>
      </c>
      <c r="J23" s="50"/>
      <c r="K23" s="172"/>
      <c r="L23" s="45"/>
      <c r="M23" s="32">
        <v>53950</v>
      </c>
      <c r="N23" s="33">
        <v>26005</v>
      </c>
      <c r="P23" s="39">
        <f t="shared" si="0"/>
        <v>95289</v>
      </c>
      <c r="Q23" s="325">
        <f t="shared" si="1"/>
        <v>0</v>
      </c>
      <c r="R23" s="319">
        <v>0</v>
      </c>
      <c r="S23" s="147"/>
      <c r="W23" s="886"/>
      <c r="X23" s="886"/>
      <c r="Y23" s="233"/>
      <c r="Z23" s="128"/>
    </row>
    <row r="24" spans="1:26" ht="18" thickBot="1" x14ac:dyDescent="0.35">
      <c r="A24" s="23"/>
      <c r="B24" s="24">
        <v>44639</v>
      </c>
      <c r="C24" s="25">
        <v>10938</v>
      </c>
      <c r="D24" s="42" t="s">
        <v>581</v>
      </c>
      <c r="E24" s="27">
        <v>44639</v>
      </c>
      <c r="F24" s="28">
        <v>117091</v>
      </c>
      <c r="G24" s="2"/>
      <c r="H24" s="36">
        <v>44639</v>
      </c>
      <c r="I24" s="30">
        <v>2386</v>
      </c>
      <c r="J24" s="51">
        <v>44639</v>
      </c>
      <c r="K24" s="173" t="s">
        <v>582</v>
      </c>
      <c r="L24" s="52">
        <v>20799.990000000002</v>
      </c>
      <c r="M24" s="32">
        <v>28076</v>
      </c>
      <c r="N24" s="33">
        <v>54891</v>
      </c>
      <c r="P24" s="39">
        <f>N24+M24+L24+I24+C24</f>
        <v>117090.99</v>
      </c>
      <c r="Q24" s="325">
        <f t="shared" si="1"/>
        <v>-9.9999999947613105E-3</v>
      </c>
      <c r="R24" s="319">
        <v>0</v>
      </c>
      <c r="S24" s="147"/>
      <c r="W24" s="886"/>
      <c r="X24" s="886"/>
      <c r="Y24" s="233"/>
      <c r="Z24" s="128"/>
    </row>
    <row r="25" spans="1:26" ht="19.5" thickBot="1" x14ac:dyDescent="0.35">
      <c r="A25" s="23"/>
      <c r="B25" s="24">
        <v>44640</v>
      </c>
      <c r="C25" s="25">
        <v>8565</v>
      </c>
      <c r="D25" s="35" t="s">
        <v>583</v>
      </c>
      <c r="E25" s="27">
        <v>44640</v>
      </c>
      <c r="F25" s="28">
        <v>78608</v>
      </c>
      <c r="G25" s="2"/>
      <c r="H25" s="36">
        <v>44640</v>
      </c>
      <c r="I25" s="30">
        <v>1272.5</v>
      </c>
      <c r="J25" s="50"/>
      <c r="K25" s="38"/>
      <c r="L25" s="54"/>
      <c r="M25" s="32">
        <v>47560.5</v>
      </c>
      <c r="N25" s="33">
        <v>21210</v>
      </c>
      <c r="P25" s="283">
        <f t="shared" si="0"/>
        <v>78608</v>
      </c>
      <c r="Q25" s="325">
        <f t="shared" si="1"/>
        <v>0</v>
      </c>
      <c r="R25" s="319">
        <v>0</v>
      </c>
      <c r="W25" s="887"/>
      <c r="X25" s="887"/>
      <c r="Y25" s="233"/>
      <c r="Z25" s="128"/>
    </row>
    <row r="26" spans="1:26" ht="19.5" thickBot="1" x14ac:dyDescent="0.35">
      <c r="A26" s="23"/>
      <c r="B26" s="24">
        <v>44641</v>
      </c>
      <c r="C26" s="25">
        <v>16233</v>
      </c>
      <c r="D26" s="35" t="s">
        <v>584</v>
      </c>
      <c r="E26" s="27">
        <v>44641</v>
      </c>
      <c r="F26" s="28">
        <v>95964</v>
      </c>
      <c r="G26" s="2"/>
      <c r="H26" s="36">
        <v>44641</v>
      </c>
      <c r="I26" s="30">
        <v>843</v>
      </c>
      <c r="J26" s="37"/>
      <c r="K26" s="173"/>
      <c r="L26" s="45"/>
      <c r="M26" s="32">
        <v>36536</v>
      </c>
      <c r="N26" s="33">
        <v>42352</v>
      </c>
      <c r="O26" s="2"/>
      <c r="P26" s="284">
        <f t="shared" si="0"/>
        <v>95964</v>
      </c>
      <c r="Q26" s="325">
        <f t="shared" si="1"/>
        <v>0</v>
      </c>
      <c r="R26" s="319">
        <v>0</v>
      </c>
      <c r="W26" s="887"/>
      <c r="X26" s="887"/>
      <c r="Y26" s="233"/>
      <c r="Z26" s="128"/>
    </row>
    <row r="27" spans="1:26" ht="18" thickBot="1" x14ac:dyDescent="0.35">
      <c r="A27" s="23"/>
      <c r="B27" s="24">
        <v>44642</v>
      </c>
      <c r="C27" s="25">
        <v>14717</v>
      </c>
      <c r="D27" s="42" t="s">
        <v>585</v>
      </c>
      <c r="E27" s="27">
        <v>44642</v>
      </c>
      <c r="F27" s="28">
        <v>92410</v>
      </c>
      <c r="G27" s="2"/>
      <c r="H27" s="36">
        <v>44642</v>
      </c>
      <c r="I27" s="30">
        <v>563.5</v>
      </c>
      <c r="J27" s="55"/>
      <c r="K27" s="174"/>
      <c r="L27" s="54"/>
      <c r="M27" s="32">
        <v>42310.5</v>
      </c>
      <c r="N27" s="33">
        <v>34989</v>
      </c>
      <c r="O27" s="2"/>
      <c r="P27" s="39">
        <f t="shared" si="0"/>
        <v>92580</v>
      </c>
      <c r="Q27" s="325">
        <v>0</v>
      </c>
      <c r="R27" s="388">
        <v>170</v>
      </c>
      <c r="W27" s="880"/>
      <c r="X27" s="881"/>
      <c r="Y27" s="882"/>
      <c r="Z27" s="128"/>
    </row>
    <row r="28" spans="1:26" ht="18" thickBot="1" x14ac:dyDescent="0.35">
      <c r="A28" s="23"/>
      <c r="B28" s="24">
        <v>44643</v>
      </c>
      <c r="C28" s="25">
        <v>11509</v>
      </c>
      <c r="D28" s="42" t="s">
        <v>586</v>
      </c>
      <c r="E28" s="27">
        <v>44643</v>
      </c>
      <c r="F28" s="28">
        <v>957254</v>
      </c>
      <c r="G28" s="2"/>
      <c r="H28" s="36">
        <v>44643</v>
      </c>
      <c r="I28" s="30">
        <v>1991</v>
      </c>
      <c r="J28" s="56"/>
      <c r="K28" s="57"/>
      <c r="L28" s="54"/>
      <c r="M28" s="32">
        <f>49352+673725.34+200000+33828.02</f>
        <v>956905.36</v>
      </c>
      <c r="N28" s="33">
        <v>24223</v>
      </c>
      <c r="O28" s="2"/>
      <c r="P28" s="34">
        <f t="shared" si="0"/>
        <v>994628.36</v>
      </c>
      <c r="Q28" s="325">
        <v>0</v>
      </c>
      <c r="R28" s="388">
        <v>37374.36</v>
      </c>
      <c r="W28" s="881"/>
      <c r="X28" s="881"/>
      <c r="Y28" s="882"/>
      <c r="Z28" s="128"/>
    </row>
    <row r="29" spans="1:26" ht="18" thickBot="1" x14ac:dyDescent="0.35">
      <c r="A29" s="23"/>
      <c r="B29" s="24">
        <v>44644</v>
      </c>
      <c r="C29" s="25">
        <v>15935</v>
      </c>
      <c r="D29" s="58" t="s">
        <v>587</v>
      </c>
      <c r="E29" s="27">
        <v>44644</v>
      </c>
      <c r="F29" s="28">
        <v>128995</v>
      </c>
      <c r="G29" s="2"/>
      <c r="H29" s="36">
        <v>44644</v>
      </c>
      <c r="I29" s="30">
        <v>1688</v>
      </c>
      <c r="J29" s="59"/>
      <c r="K29" s="175"/>
      <c r="L29" s="54"/>
      <c r="M29" s="32">
        <f>642+79978</f>
        <v>80620</v>
      </c>
      <c r="N29" s="33">
        <v>30752</v>
      </c>
      <c r="O29" s="425"/>
      <c r="P29" s="34">
        <f t="shared" si="0"/>
        <v>128995</v>
      </c>
      <c r="Q29" s="325">
        <f t="shared" si="1"/>
        <v>0</v>
      </c>
      <c r="R29" s="319">
        <v>0</v>
      </c>
      <c r="T29" s="423">
        <v>7491</v>
      </c>
      <c r="U29" s="336"/>
      <c r="W29" s="128"/>
      <c r="X29" s="310"/>
      <c r="Y29" s="311"/>
      <c r="Z29" s="128"/>
    </row>
    <row r="30" spans="1:26" ht="18" thickBot="1" x14ac:dyDescent="0.35">
      <c r="A30" s="23"/>
      <c r="B30" s="24">
        <v>44645</v>
      </c>
      <c r="C30" s="25">
        <v>11160</v>
      </c>
      <c r="D30" s="58" t="s">
        <v>588</v>
      </c>
      <c r="E30" s="27">
        <v>44645</v>
      </c>
      <c r="F30" s="28">
        <v>93781</v>
      </c>
      <c r="G30" s="2"/>
      <c r="H30" s="36">
        <v>44645</v>
      </c>
      <c r="I30" s="30">
        <v>1846</v>
      </c>
      <c r="J30" s="60"/>
      <c r="K30" s="41"/>
      <c r="L30" s="61"/>
      <c r="M30" s="32">
        <v>48450</v>
      </c>
      <c r="N30" s="33">
        <v>32332</v>
      </c>
      <c r="O30" s="426"/>
      <c r="P30" s="34">
        <f t="shared" si="0"/>
        <v>93788</v>
      </c>
      <c r="Q30" s="325">
        <f t="shared" si="1"/>
        <v>7</v>
      </c>
      <c r="R30" s="320">
        <v>0</v>
      </c>
      <c r="T30" s="423">
        <v>26626</v>
      </c>
      <c r="X30" s="225"/>
      <c r="Y30" s="227"/>
    </row>
    <row r="31" spans="1:26" ht="18" thickBot="1" x14ac:dyDescent="0.35">
      <c r="A31" s="23"/>
      <c r="B31" s="24">
        <v>44646</v>
      </c>
      <c r="C31" s="25">
        <v>16631</v>
      </c>
      <c r="D31" s="65" t="s">
        <v>589</v>
      </c>
      <c r="E31" s="27">
        <v>44646</v>
      </c>
      <c r="F31" s="28">
        <v>111426</v>
      </c>
      <c r="G31" s="2"/>
      <c r="H31" s="36">
        <v>44646</v>
      </c>
      <c r="I31" s="30">
        <v>5154</v>
      </c>
      <c r="J31" s="60">
        <v>44649</v>
      </c>
      <c r="K31" s="459" t="s">
        <v>590</v>
      </c>
      <c r="L31" s="460">
        <v>19492.72</v>
      </c>
      <c r="M31" s="32">
        <v>28431</v>
      </c>
      <c r="N31" s="33">
        <v>41717</v>
      </c>
      <c r="O31" s="425"/>
      <c r="P31" s="34">
        <f t="shared" si="0"/>
        <v>111425.72</v>
      </c>
      <c r="Q31" s="325">
        <f t="shared" si="1"/>
        <v>-0.27999999999883585</v>
      </c>
      <c r="R31" s="321">
        <v>0</v>
      </c>
      <c r="T31" s="423">
        <v>10137</v>
      </c>
    </row>
    <row r="32" spans="1:26" ht="18" thickBot="1" x14ac:dyDescent="0.35">
      <c r="A32" s="23"/>
      <c r="B32" s="24">
        <v>44647</v>
      </c>
      <c r="C32" s="25">
        <v>16761</v>
      </c>
      <c r="D32" s="64" t="s">
        <v>592</v>
      </c>
      <c r="E32" s="27">
        <v>44647</v>
      </c>
      <c r="F32" s="28">
        <v>76600</v>
      </c>
      <c r="G32" s="2"/>
      <c r="H32" s="36">
        <v>44647</v>
      </c>
      <c r="I32" s="30">
        <v>101</v>
      </c>
      <c r="J32" s="60"/>
      <c r="K32" s="41"/>
      <c r="L32" s="61"/>
      <c r="M32" s="32">
        <v>32180</v>
      </c>
      <c r="N32" s="33">
        <v>27558</v>
      </c>
      <c r="O32" s="2"/>
      <c r="P32" s="34">
        <f t="shared" si="0"/>
        <v>76600</v>
      </c>
      <c r="Q32" s="325">
        <f t="shared" si="1"/>
        <v>0</v>
      </c>
      <c r="R32" s="228">
        <v>0</v>
      </c>
      <c r="T32" s="423">
        <v>0</v>
      </c>
    </row>
    <row r="33" spans="1:20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247"/>
      <c r="L33" s="66"/>
      <c r="M33" s="32">
        <v>0</v>
      </c>
      <c r="N33" s="33">
        <v>0</v>
      </c>
      <c r="O33" s="2"/>
      <c r="P33" s="34">
        <v>0</v>
      </c>
      <c r="Q33" s="111">
        <f t="shared" ref="Q33:Q35" si="2">P33-F33</f>
        <v>0</v>
      </c>
      <c r="R33" s="228"/>
      <c r="T33" s="424">
        <f>SUM(T29:T32)</f>
        <v>44254</v>
      </c>
    </row>
    <row r="34" spans="1:20" ht="18" thickBot="1" x14ac:dyDescent="0.35">
      <c r="A34" s="23"/>
      <c r="B34" s="24">
        <v>44623</v>
      </c>
      <c r="C34" s="602">
        <v>2564.8000000000002</v>
      </c>
      <c r="D34" s="64" t="s">
        <v>619</v>
      </c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O34" s="2"/>
      <c r="P34" s="34">
        <v>0</v>
      </c>
      <c r="Q34" s="111">
        <f t="shared" si="2"/>
        <v>0</v>
      </c>
      <c r="R34" s="228"/>
    </row>
    <row r="35" spans="1:20" ht="18" thickBot="1" x14ac:dyDescent="0.35">
      <c r="A35" s="23"/>
      <c r="B35" s="24">
        <v>44624</v>
      </c>
      <c r="C35" s="602">
        <v>350000</v>
      </c>
      <c r="D35" s="65" t="s">
        <v>49</v>
      </c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/>
      <c r="Q35" s="111">
        <f t="shared" si="2"/>
        <v>0</v>
      </c>
      <c r="R35" s="228"/>
    </row>
    <row r="36" spans="1:20" ht="18" customHeight="1" thickBot="1" x14ac:dyDescent="0.3">
      <c r="A36" s="23"/>
      <c r="B36" s="24">
        <v>44629</v>
      </c>
      <c r="C36" s="602">
        <v>346259.20000000001</v>
      </c>
      <c r="D36" s="62" t="s">
        <v>49</v>
      </c>
      <c r="E36" s="27"/>
      <c r="F36" s="28"/>
      <c r="G36" s="2"/>
      <c r="H36" s="36"/>
      <c r="I36" s="30"/>
      <c r="J36" s="266"/>
      <c r="K36" s="250"/>
      <c r="L36" s="44"/>
      <c r="M36" s="871">
        <f>SUM(M5:M35)</f>
        <v>2220612.02</v>
      </c>
      <c r="N36" s="873">
        <f>SUM(N5:N35)</f>
        <v>833865</v>
      </c>
      <c r="O36" s="276"/>
      <c r="P36" s="277">
        <v>0</v>
      </c>
      <c r="Q36" s="917">
        <f>SUM(Q5:Q35)</f>
        <v>8.3000000000320142</v>
      </c>
      <c r="R36" s="228"/>
    </row>
    <row r="37" spans="1:20" ht="18" customHeight="1" thickBot="1" x14ac:dyDescent="0.3">
      <c r="A37" s="23"/>
      <c r="B37" s="24">
        <v>44631</v>
      </c>
      <c r="C37" s="602">
        <v>21120.5</v>
      </c>
      <c r="D37" s="62" t="s">
        <v>845</v>
      </c>
      <c r="E37" s="27"/>
      <c r="F37" s="28"/>
      <c r="G37" s="2"/>
      <c r="H37" s="36"/>
      <c r="I37" s="30"/>
      <c r="J37" s="60"/>
      <c r="K37" s="41"/>
      <c r="L37" s="61"/>
      <c r="M37" s="872"/>
      <c r="N37" s="874"/>
      <c r="O37" s="276"/>
      <c r="P37" s="277">
        <v>0</v>
      </c>
      <c r="Q37" s="918"/>
      <c r="R37" s="227" t="s">
        <v>7</v>
      </c>
    </row>
    <row r="38" spans="1:20" ht="18" thickBot="1" x14ac:dyDescent="0.35">
      <c r="A38" s="23"/>
      <c r="B38" s="24">
        <v>44631</v>
      </c>
      <c r="C38" s="602">
        <v>27745.02</v>
      </c>
      <c r="D38" s="62" t="s">
        <v>845</v>
      </c>
      <c r="E38" s="27"/>
      <c r="F38" s="28"/>
      <c r="G38" s="2"/>
      <c r="H38" s="36"/>
      <c r="I38" s="30"/>
      <c r="J38" s="60"/>
      <c r="K38" s="177"/>
      <c r="L38" s="61"/>
      <c r="M38" s="270"/>
      <c r="N38" s="271"/>
      <c r="P38" s="151">
        <v>0</v>
      </c>
      <c r="Q38" s="274"/>
    </row>
    <row r="39" spans="1:20" ht="19.5" thickBot="1" x14ac:dyDescent="0.35">
      <c r="A39" s="23"/>
      <c r="B39" s="24">
        <v>44635</v>
      </c>
      <c r="C39" s="397">
        <v>67528.399999999994</v>
      </c>
      <c r="D39" s="62" t="s">
        <v>843</v>
      </c>
      <c r="E39" s="27"/>
      <c r="F39" s="70"/>
      <c r="G39" s="2"/>
      <c r="H39" s="36"/>
      <c r="I39" s="71"/>
      <c r="J39" s="60"/>
      <c r="K39" s="177"/>
      <c r="L39" s="61"/>
      <c r="M39" s="919">
        <f>M36+N36</f>
        <v>3054477.02</v>
      </c>
      <c r="N39" s="920"/>
      <c r="P39" s="34">
        <f>SUM(P5:P38)</f>
        <v>3627989.66</v>
      </c>
      <c r="Q39" s="275"/>
    </row>
    <row r="40" spans="1:20" ht="18" thickBot="1" x14ac:dyDescent="0.35">
      <c r="A40" s="23"/>
      <c r="B40" s="24">
        <v>44636</v>
      </c>
      <c r="C40" s="397">
        <v>53444.42</v>
      </c>
      <c r="D40" s="62" t="s">
        <v>844</v>
      </c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20" ht="18" thickBot="1" x14ac:dyDescent="0.35">
      <c r="A41" s="23"/>
      <c r="B41" s="24">
        <v>44645</v>
      </c>
      <c r="C41" s="615">
        <v>350000</v>
      </c>
      <c r="D41" s="614" t="s">
        <v>49</v>
      </c>
      <c r="E41" s="74"/>
      <c r="F41" s="75"/>
      <c r="G41" s="2"/>
      <c r="H41" s="76"/>
      <c r="I41" s="77"/>
      <c r="J41" s="605">
        <v>44625</v>
      </c>
      <c r="K41" s="606" t="s">
        <v>457</v>
      </c>
      <c r="L41" s="607">
        <v>15195.26</v>
      </c>
      <c r="M41" s="269"/>
      <c r="N41" s="269"/>
      <c r="P41" s="34"/>
      <c r="Q41" s="13"/>
    </row>
    <row r="42" spans="1:20" ht="18" thickBot="1" x14ac:dyDescent="0.35">
      <c r="A42" s="23"/>
      <c r="B42" s="24">
        <v>44628</v>
      </c>
      <c r="C42" s="72">
        <v>949.41</v>
      </c>
      <c r="D42" s="614" t="s">
        <v>424</v>
      </c>
      <c r="E42" s="74"/>
      <c r="F42" s="75"/>
      <c r="G42" s="2"/>
      <c r="H42" s="76"/>
      <c r="I42" s="77"/>
      <c r="J42" s="608">
        <v>44632</v>
      </c>
      <c r="K42" s="609" t="s">
        <v>470</v>
      </c>
      <c r="L42" s="610">
        <v>15748.5</v>
      </c>
      <c r="M42" s="269"/>
      <c r="N42" s="269"/>
      <c r="P42" s="34"/>
      <c r="Q42" s="13"/>
    </row>
    <row r="43" spans="1:20" ht="18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11">
        <v>44639</v>
      </c>
      <c r="K43" s="606" t="s">
        <v>582</v>
      </c>
      <c r="L43" s="612">
        <v>14398.5</v>
      </c>
      <c r="M43" s="269"/>
      <c r="N43" s="269"/>
      <c r="P43" s="34"/>
      <c r="Q43" s="13"/>
    </row>
    <row r="44" spans="1:20" ht="18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5">
        <v>44646</v>
      </c>
      <c r="K44" s="606" t="s">
        <v>591</v>
      </c>
      <c r="L44" s="607">
        <v>17498.5</v>
      </c>
      <c r="M44" s="269"/>
      <c r="N44" s="269"/>
      <c r="P44" s="34"/>
      <c r="Q44" s="13"/>
    </row>
    <row r="45" spans="1:20" ht="18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19">
        <v>44627</v>
      </c>
      <c r="K45" s="38" t="s">
        <v>824</v>
      </c>
      <c r="L45" s="603">
        <v>4006.5</v>
      </c>
      <c r="M45" s="269"/>
      <c r="N45" s="269"/>
      <c r="P45" s="34"/>
      <c r="Q45" s="13"/>
    </row>
    <row r="46" spans="1:20" ht="18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19">
        <v>44629</v>
      </c>
      <c r="K46" s="38" t="s">
        <v>825</v>
      </c>
      <c r="L46" s="603">
        <v>2320</v>
      </c>
      <c r="M46" s="269"/>
      <c r="N46" s="269"/>
      <c r="P46" s="34"/>
      <c r="Q46" s="13"/>
    </row>
    <row r="47" spans="1:20" ht="18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19">
        <v>44630</v>
      </c>
      <c r="K47" s="38" t="s">
        <v>826</v>
      </c>
      <c r="L47" s="603">
        <v>11200</v>
      </c>
      <c r="M47" s="269"/>
      <c r="N47" s="269"/>
      <c r="P47" s="34"/>
      <c r="Q47" s="13"/>
    </row>
    <row r="48" spans="1:20" ht="18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19">
        <v>44630</v>
      </c>
      <c r="K48" s="38" t="s">
        <v>827</v>
      </c>
      <c r="L48" s="603">
        <v>6003</v>
      </c>
      <c r="M48" s="269"/>
      <c r="N48" s="269"/>
      <c r="P48" s="34"/>
      <c r="Q48" s="13"/>
    </row>
    <row r="49" spans="1:17" ht="16.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620">
        <v>44630</v>
      </c>
      <c r="K49" s="604" t="s">
        <v>201</v>
      </c>
      <c r="L49" s="617">
        <v>549</v>
      </c>
      <c r="M49" s="34"/>
      <c r="N49" s="34"/>
      <c r="P49" s="34"/>
      <c r="Q49" s="13"/>
    </row>
    <row r="50" spans="1:17" ht="16.5" thickBot="1" x14ac:dyDescent="0.3">
      <c r="A50" s="23"/>
      <c r="B50" s="595"/>
      <c r="C50" s="596"/>
      <c r="D50" s="81"/>
      <c r="E50" s="597"/>
      <c r="F50" s="34"/>
      <c r="H50" s="598"/>
      <c r="I50" s="34"/>
      <c r="J50" s="621">
        <v>44630</v>
      </c>
      <c r="K50" s="604" t="s">
        <v>828</v>
      </c>
      <c r="L50" s="617">
        <v>8741.4</v>
      </c>
      <c r="M50" s="34"/>
      <c r="N50" s="34"/>
      <c r="P50" s="34"/>
      <c r="Q50" s="13"/>
    </row>
    <row r="51" spans="1:17" ht="16.5" thickBot="1" x14ac:dyDescent="0.3">
      <c r="A51" s="23"/>
      <c r="B51" s="595"/>
      <c r="C51" s="596"/>
      <c r="D51" s="81"/>
      <c r="E51" s="597"/>
      <c r="F51" s="34"/>
      <c r="H51" s="598"/>
      <c r="I51" s="34"/>
      <c r="J51" s="621">
        <v>44636</v>
      </c>
      <c r="K51" s="164" t="s">
        <v>829</v>
      </c>
      <c r="L51" s="618">
        <v>1740</v>
      </c>
      <c r="M51" s="34"/>
      <c r="N51" s="34"/>
      <c r="P51" s="34"/>
      <c r="Q51" s="13"/>
    </row>
    <row r="52" spans="1:17" ht="16.5" thickBot="1" x14ac:dyDescent="0.3">
      <c r="A52" s="23"/>
      <c r="B52" s="595"/>
      <c r="C52" s="596"/>
      <c r="D52" s="81"/>
      <c r="E52" s="597"/>
      <c r="F52" s="34"/>
      <c r="H52" s="598"/>
      <c r="I52" s="34"/>
      <c r="J52" s="621">
        <v>44638</v>
      </c>
      <c r="K52" s="164" t="s">
        <v>830</v>
      </c>
      <c r="L52" s="618">
        <v>1856</v>
      </c>
      <c r="M52" s="34"/>
      <c r="N52" s="34"/>
      <c r="P52" s="34"/>
      <c r="Q52" s="13"/>
    </row>
    <row r="53" spans="1:17" ht="16.5" thickBot="1" x14ac:dyDescent="0.3">
      <c r="A53" s="23"/>
      <c r="B53" s="595"/>
      <c r="C53" s="596"/>
      <c r="D53" s="81"/>
      <c r="E53" s="597"/>
      <c r="F53" s="34"/>
      <c r="H53" s="598"/>
      <c r="I53" s="34"/>
      <c r="J53" s="621">
        <v>44638</v>
      </c>
      <c r="K53" s="164" t="s">
        <v>831</v>
      </c>
      <c r="L53" s="618">
        <v>5163.75</v>
      </c>
      <c r="M53" s="34"/>
      <c r="N53" s="34"/>
      <c r="P53" s="34"/>
      <c r="Q53" s="13"/>
    </row>
    <row r="54" spans="1:17" ht="16.5" thickBot="1" x14ac:dyDescent="0.3">
      <c r="A54" s="23"/>
      <c r="B54" s="595"/>
      <c r="C54" s="596"/>
      <c r="D54" s="81"/>
      <c r="E54" s="597"/>
      <c r="F54" s="34"/>
      <c r="H54" s="598"/>
      <c r="I54" s="34"/>
      <c r="J54" s="621">
        <v>44638</v>
      </c>
      <c r="K54" s="164" t="s">
        <v>832</v>
      </c>
      <c r="L54" s="618">
        <v>10266</v>
      </c>
      <c r="M54" s="34"/>
      <c r="N54" s="34"/>
      <c r="P54" s="34"/>
      <c r="Q54" s="13"/>
    </row>
    <row r="55" spans="1:17" ht="16.5" thickBot="1" x14ac:dyDescent="0.3">
      <c r="A55" s="23"/>
      <c r="B55" s="595"/>
      <c r="C55" s="596"/>
      <c r="D55" s="81"/>
      <c r="E55" s="597"/>
      <c r="F55" s="34"/>
      <c r="H55" s="598"/>
      <c r="I55" s="34"/>
      <c r="J55" s="621">
        <v>44642</v>
      </c>
      <c r="K55" s="164" t="s">
        <v>833</v>
      </c>
      <c r="L55" s="618">
        <v>25228.81</v>
      </c>
      <c r="M55" s="34"/>
      <c r="N55" s="34"/>
      <c r="P55" s="34"/>
      <c r="Q55" s="13"/>
    </row>
    <row r="56" spans="1:17" ht="16.5" thickBot="1" x14ac:dyDescent="0.3">
      <c r="A56" s="23"/>
      <c r="B56" s="595"/>
      <c r="C56" s="596"/>
      <c r="D56" s="81"/>
      <c r="E56" s="597"/>
      <c r="F56" s="34"/>
      <c r="H56" s="598"/>
      <c r="I56" s="34"/>
      <c r="J56" s="621">
        <v>44642</v>
      </c>
      <c r="K56" s="164" t="s">
        <v>834</v>
      </c>
      <c r="L56" s="618">
        <v>5324.4</v>
      </c>
      <c r="M56" s="34"/>
      <c r="N56" s="34"/>
      <c r="P56" s="34"/>
      <c r="Q56" s="13"/>
    </row>
    <row r="57" spans="1:17" ht="16.5" thickBot="1" x14ac:dyDescent="0.3">
      <c r="A57" s="23"/>
      <c r="B57" s="595"/>
      <c r="C57" s="596"/>
      <c r="D57" s="81"/>
      <c r="E57" s="597"/>
      <c r="F57" s="34"/>
      <c r="H57" s="598"/>
      <c r="I57" s="34"/>
      <c r="J57" s="599">
        <v>44647</v>
      </c>
      <c r="K57" s="164" t="s">
        <v>846</v>
      </c>
      <c r="L57" s="44">
        <v>15310.14</v>
      </c>
      <c r="M57" s="34"/>
      <c r="N57" s="34"/>
      <c r="P57" s="34"/>
      <c r="Q57" s="13"/>
    </row>
    <row r="58" spans="1:17" ht="16.5" thickBot="1" x14ac:dyDescent="0.3">
      <c r="A58" s="23"/>
      <c r="B58" s="595"/>
      <c r="C58" s="596"/>
      <c r="D58" s="81"/>
      <c r="E58" s="597"/>
      <c r="F58" s="34"/>
      <c r="H58" s="598"/>
      <c r="I58" s="34"/>
      <c r="J58" s="599"/>
      <c r="K58" s="164"/>
      <c r="L58" s="9"/>
      <c r="M58" s="34"/>
      <c r="N58" s="34"/>
      <c r="P58" s="34"/>
      <c r="Q58" s="13"/>
    </row>
    <row r="59" spans="1:17" ht="16.5" thickBot="1" x14ac:dyDescent="0.3">
      <c r="A59" s="23"/>
      <c r="B59" s="595"/>
      <c r="C59" s="596"/>
      <c r="D59" s="81"/>
      <c r="E59" s="597"/>
      <c r="F59" s="34"/>
      <c r="H59" s="598"/>
      <c r="I59" s="34"/>
      <c r="J59" s="599"/>
      <c r="K59" s="164"/>
      <c r="L59" s="9"/>
      <c r="M59" s="34"/>
      <c r="N59" s="34"/>
      <c r="P59" s="34"/>
      <c r="Q59" s="13"/>
    </row>
    <row r="60" spans="1:17" ht="16.5" thickBot="1" x14ac:dyDescent="0.3">
      <c r="A60" s="23"/>
      <c r="B60" s="595"/>
      <c r="C60" s="596"/>
      <c r="D60" s="81"/>
      <c r="E60" s="597"/>
      <c r="F60" s="34"/>
      <c r="H60" s="598"/>
      <c r="I60" s="34"/>
      <c r="J60" s="599"/>
      <c r="K60" s="164"/>
      <c r="L60" s="9"/>
      <c r="M60" s="34"/>
      <c r="N60" s="34"/>
      <c r="P60" s="34"/>
      <c r="Q60" s="13"/>
    </row>
    <row r="61" spans="1:17" ht="16.5" thickBot="1" x14ac:dyDescent="0.3">
      <c r="A61" s="23"/>
      <c r="B61" s="595"/>
      <c r="C61" s="596"/>
      <c r="D61" s="81"/>
      <c r="E61" s="597"/>
      <c r="F61" s="34"/>
      <c r="H61" s="598"/>
      <c r="I61" s="34"/>
      <c r="J61" s="599"/>
      <c r="K61" s="164"/>
      <c r="L61" s="9"/>
      <c r="M61" s="34"/>
      <c r="N61" s="34"/>
      <c r="P61" s="34"/>
      <c r="Q61" s="13"/>
    </row>
    <row r="62" spans="1:17" ht="16.5" thickBot="1" x14ac:dyDescent="0.3">
      <c r="A62" s="23"/>
      <c r="B62" s="595"/>
      <c r="C62" s="596"/>
      <c r="D62" s="81"/>
      <c r="E62" s="597"/>
      <c r="F62" s="34"/>
      <c r="H62" s="598"/>
      <c r="I62" s="34"/>
      <c r="J62" s="599"/>
      <c r="K62" s="164"/>
      <c r="L62" s="9"/>
      <c r="M62" s="34"/>
      <c r="N62" s="34"/>
      <c r="P62" s="34"/>
      <c r="Q62" s="13"/>
    </row>
    <row r="63" spans="1:17" ht="16.5" thickBot="1" x14ac:dyDescent="0.3">
      <c r="A63" s="23"/>
      <c r="B63" s="595"/>
      <c r="C63" s="596"/>
      <c r="D63" s="81"/>
      <c r="E63" s="597"/>
      <c r="F63" s="34"/>
      <c r="H63" s="598"/>
      <c r="I63" s="34"/>
      <c r="J63" s="599"/>
      <c r="K63" s="164"/>
      <c r="L63" s="9"/>
      <c r="M63" s="34"/>
      <c r="N63" s="34"/>
      <c r="P63" s="34"/>
      <c r="Q63" s="13"/>
    </row>
    <row r="64" spans="1:17" ht="16.5" thickBot="1" x14ac:dyDescent="0.3">
      <c r="A64" s="23"/>
      <c r="B64" s="595"/>
      <c r="C64" s="596"/>
      <c r="D64" s="81"/>
      <c r="E64" s="597"/>
      <c r="F64" s="34"/>
      <c r="H64" s="598"/>
      <c r="I64" s="34"/>
      <c r="J64" s="599"/>
      <c r="K64" s="164"/>
      <c r="L64" s="9"/>
      <c r="M64" s="34"/>
      <c r="N64" s="34"/>
      <c r="P64" s="34"/>
      <c r="Q64" s="13"/>
    </row>
    <row r="65" spans="1:17" ht="16.5" thickBot="1" x14ac:dyDescent="0.3">
      <c r="A65" s="23"/>
      <c r="B65" s="595"/>
      <c r="C65" s="596"/>
      <c r="D65" s="81"/>
      <c r="E65" s="597"/>
      <c r="F65" s="34"/>
      <c r="H65" s="598"/>
      <c r="I65" s="34"/>
      <c r="J65" s="599"/>
      <c r="K65" s="164"/>
      <c r="L65" s="9"/>
      <c r="M65" s="34"/>
      <c r="N65" s="34"/>
      <c r="P65" s="34"/>
      <c r="Q65" s="13"/>
    </row>
    <row r="66" spans="1:17" ht="16.5" thickBot="1" x14ac:dyDescent="0.3">
      <c r="B66" s="86" t="s">
        <v>8</v>
      </c>
      <c r="C66" s="87">
        <f>SUM(C5:C49)</f>
        <v>1638805.7499999998</v>
      </c>
      <c r="D66" s="88"/>
      <c r="E66" s="89" t="s">
        <v>8</v>
      </c>
      <c r="F66" s="90">
        <f>SUM(F5:F49)</f>
        <v>3548268</v>
      </c>
      <c r="G66" s="88"/>
      <c r="H66" s="91" t="s">
        <v>9</v>
      </c>
      <c r="I66" s="92">
        <f>SUM(I5:I49)</f>
        <v>83862.5</v>
      </c>
      <c r="J66" s="93"/>
      <c r="K66" s="94" t="s">
        <v>10</v>
      </c>
      <c r="L66" s="95">
        <f>SUM(L5:L57)</f>
        <v>231005.89999999997</v>
      </c>
      <c r="M66" s="96"/>
      <c r="N66" s="96"/>
      <c r="P66" s="34"/>
      <c r="Q66" s="13"/>
    </row>
    <row r="67" spans="1:17" ht="16.5" thickTop="1" x14ac:dyDescent="0.25">
      <c r="C67" s="3" t="s">
        <v>7</v>
      </c>
      <c r="P67" s="34"/>
      <c r="Q67" s="13"/>
    </row>
    <row r="68" spans="1:17" ht="18.75" x14ac:dyDescent="0.25">
      <c r="A68" s="98"/>
      <c r="B68" s="99"/>
      <c r="C68" s="1"/>
      <c r="H68" s="848" t="s">
        <v>11</v>
      </c>
      <c r="I68" s="849"/>
      <c r="J68" s="100"/>
      <c r="K68" s="850">
        <f>I66+L66</f>
        <v>314868.39999999997</v>
      </c>
      <c r="L68" s="877"/>
      <c r="M68" s="272"/>
      <c r="N68" s="272"/>
      <c r="P68" s="34"/>
      <c r="Q68" s="13"/>
    </row>
    <row r="69" spans="1:17" x14ac:dyDescent="0.25">
      <c r="D69" s="854" t="s">
        <v>12</v>
      </c>
      <c r="E69" s="854"/>
      <c r="F69" s="312">
        <f>F66-K68-C66</f>
        <v>1594593.8500000003</v>
      </c>
      <c r="I69" s="102"/>
      <c r="J69" s="103"/>
    </row>
    <row r="70" spans="1:17" ht="18.75" x14ac:dyDescent="0.3">
      <c r="D70" s="878" t="s">
        <v>95</v>
      </c>
      <c r="E70" s="878"/>
      <c r="F70" s="111">
        <v>-1360260.32</v>
      </c>
      <c r="I70" s="855" t="s">
        <v>13</v>
      </c>
      <c r="J70" s="856"/>
      <c r="K70" s="857">
        <f>F72+F73+F74</f>
        <v>1938640.11</v>
      </c>
      <c r="L70" s="857"/>
      <c r="M70" s="404"/>
      <c r="N70" s="404"/>
      <c r="O70" s="404"/>
      <c r="P70" s="404"/>
      <c r="Q70" s="404"/>
    </row>
    <row r="71" spans="1:17" ht="19.5" thickBot="1" x14ac:dyDescent="0.35">
      <c r="D71" s="313" t="s">
        <v>94</v>
      </c>
      <c r="E71" s="314"/>
      <c r="F71" s="315">
        <v>-206286.1</v>
      </c>
      <c r="I71" s="105"/>
      <c r="J71" s="106"/>
      <c r="K71" s="178"/>
      <c r="L71" s="107"/>
      <c r="M71" s="404"/>
      <c r="N71" s="404"/>
      <c r="O71" s="404"/>
      <c r="P71" s="404"/>
      <c r="Q71" s="404"/>
    </row>
    <row r="72" spans="1:17" ht="19.5" thickTop="1" x14ac:dyDescent="0.3">
      <c r="C72" s="4" t="s">
        <v>7</v>
      </c>
      <c r="E72" s="98" t="s">
        <v>14</v>
      </c>
      <c r="F72" s="96">
        <f>SUM(F69:F71)</f>
        <v>28047.430000000255</v>
      </c>
      <c r="H72" s="23"/>
      <c r="I72" s="108" t="s">
        <v>15</v>
      </c>
      <c r="J72" s="109"/>
      <c r="K72" s="859">
        <f>-C4</f>
        <v>-1266568.45</v>
      </c>
      <c r="L72" s="860"/>
    </row>
    <row r="73" spans="1:17" ht="16.5" thickBot="1" x14ac:dyDescent="0.3">
      <c r="D73" s="110" t="s">
        <v>16</v>
      </c>
      <c r="E73" s="98" t="s">
        <v>17</v>
      </c>
      <c r="F73" s="111">
        <v>117775</v>
      </c>
    </row>
    <row r="74" spans="1:17" ht="20.25" thickTop="1" thickBot="1" x14ac:dyDescent="0.35">
      <c r="C74" s="112">
        <v>44647</v>
      </c>
      <c r="D74" s="837" t="s">
        <v>18</v>
      </c>
      <c r="E74" s="838"/>
      <c r="F74" s="113">
        <v>1792817.68</v>
      </c>
      <c r="I74" s="839" t="s">
        <v>198</v>
      </c>
      <c r="J74" s="840"/>
      <c r="K74" s="841">
        <f>K70+K72</f>
        <v>672071.66000000015</v>
      </c>
      <c r="L74" s="841"/>
    </row>
    <row r="75" spans="1:17" ht="17.25" x14ac:dyDescent="0.3">
      <c r="C75" s="114"/>
      <c r="D75" s="115"/>
      <c r="E75" s="116"/>
      <c r="F75" s="117"/>
      <c r="J75" s="118"/>
    </row>
    <row r="76" spans="1:17" ht="20.25" customHeight="1" x14ac:dyDescent="0.25">
      <c r="I76" s="119"/>
      <c r="J76" s="119"/>
      <c r="K76" s="179"/>
      <c r="L76" s="120"/>
    </row>
    <row r="77" spans="1:17" ht="16.5" customHeight="1" x14ac:dyDescent="0.25">
      <c r="B77" s="121"/>
      <c r="C77" s="122"/>
      <c r="D77" s="123"/>
      <c r="E77" s="34"/>
      <c r="I77" s="119"/>
      <c r="J77" s="119"/>
      <c r="K77" s="179"/>
      <c r="L77" s="120"/>
      <c r="M77" s="124"/>
      <c r="N77" s="98"/>
    </row>
    <row r="78" spans="1:17" x14ac:dyDescent="0.25">
      <c r="B78" s="121"/>
      <c r="C78" s="125"/>
      <c r="E78" s="34"/>
      <c r="M78" s="124"/>
      <c r="N78" s="98"/>
    </row>
    <row r="79" spans="1:17" x14ac:dyDescent="0.25">
      <c r="B79" s="121"/>
      <c r="C79" s="125"/>
      <c r="E79" s="34"/>
      <c r="F79" s="126"/>
      <c r="L79" s="127"/>
      <c r="M79" s="1"/>
    </row>
    <row r="80" spans="1:17" x14ac:dyDescent="0.25">
      <c r="B80" s="121"/>
      <c r="C80" s="125"/>
      <c r="E80" s="34"/>
      <c r="M80" s="1"/>
    </row>
    <row r="81" spans="2:13" x14ac:dyDescent="0.25">
      <c r="B81" s="121"/>
      <c r="C81" s="125"/>
      <c r="D81" s="128"/>
      <c r="E81" s="34"/>
      <c r="F81" s="129"/>
      <c r="M81" s="1"/>
    </row>
    <row r="82" spans="2:13" x14ac:dyDescent="0.25">
      <c r="D82" s="128"/>
      <c r="E82" s="130"/>
      <c r="F82" s="34"/>
      <c r="M82" s="1"/>
    </row>
    <row r="83" spans="2:13" x14ac:dyDescent="0.25">
      <c r="D83" s="128"/>
      <c r="E83" s="130"/>
      <c r="F83" s="34"/>
      <c r="M83" s="1"/>
    </row>
    <row r="84" spans="2:13" x14ac:dyDescent="0.25">
      <c r="D84" s="128"/>
      <c r="E84" s="130"/>
      <c r="F84" s="34"/>
      <c r="M84" s="1"/>
    </row>
    <row r="85" spans="2:13" x14ac:dyDescent="0.25">
      <c r="D85" s="128"/>
      <c r="E85" s="130"/>
      <c r="F85" s="34"/>
      <c r="M85" s="1"/>
    </row>
    <row r="86" spans="2:13" x14ac:dyDescent="0.25">
      <c r="D86" s="128"/>
      <c r="E86" s="130"/>
      <c r="F86" s="34"/>
      <c r="M86" s="1"/>
    </row>
    <row r="87" spans="2:13" x14ac:dyDescent="0.25">
      <c r="D87" s="128"/>
      <c r="E87" s="130"/>
      <c r="F87" s="34"/>
      <c r="M87" s="1"/>
    </row>
    <row r="88" spans="2:13" x14ac:dyDescent="0.25">
      <c r="D88" s="128"/>
      <c r="E88" s="130"/>
      <c r="F88" s="34"/>
      <c r="M88" s="1"/>
    </row>
    <row r="89" spans="2:13" x14ac:dyDescent="0.25">
      <c r="D89" s="128"/>
      <c r="E89" s="130"/>
      <c r="F89" s="34"/>
      <c r="M89" s="1"/>
    </row>
    <row r="90" spans="2:13" x14ac:dyDescent="0.25">
      <c r="D90" s="128"/>
      <c r="E90" s="130"/>
      <c r="F90" s="34"/>
      <c r="M90" s="1"/>
    </row>
    <row r="91" spans="2:13" x14ac:dyDescent="0.25">
      <c r="D91" s="128"/>
      <c r="E91" s="130"/>
      <c r="F91" s="34"/>
      <c r="M91" s="1"/>
    </row>
    <row r="92" spans="2:13" x14ac:dyDescent="0.25">
      <c r="D92" s="128"/>
      <c r="E92" s="130"/>
      <c r="F92" s="34"/>
      <c r="M92" s="1"/>
    </row>
    <row r="93" spans="2:13" x14ac:dyDescent="0.25">
      <c r="D93" s="128"/>
      <c r="E93" s="130"/>
      <c r="F93" s="34"/>
    </row>
    <row r="94" spans="2:13" x14ac:dyDescent="0.25">
      <c r="D94" s="128"/>
      <c r="E94" s="128"/>
      <c r="F94" s="129"/>
    </row>
    <row r="95" spans="2:13" x14ac:dyDescent="0.25">
      <c r="D95" s="128"/>
      <c r="E95" s="128"/>
      <c r="F95" s="129"/>
    </row>
    <row r="96" spans="2:13" x14ac:dyDescent="0.25">
      <c r="D96" s="128"/>
      <c r="E96" s="128"/>
      <c r="F96" s="129"/>
    </row>
  </sheetData>
  <sortState ref="B34:D42">
    <sortCondition ref="B34:B42"/>
  </sortState>
  <mergeCells count="30">
    <mergeCell ref="W26:X26"/>
    <mergeCell ref="R3:R4"/>
    <mergeCell ref="W27:X28"/>
    <mergeCell ref="B1:B2"/>
    <mergeCell ref="C1:M1"/>
    <mergeCell ref="B3:C3"/>
    <mergeCell ref="H3:I3"/>
    <mergeCell ref="P3:P4"/>
    <mergeCell ref="E4:F4"/>
    <mergeCell ref="H4:I4"/>
    <mergeCell ref="W4:X5"/>
    <mergeCell ref="W19:W20"/>
    <mergeCell ref="W21:X21"/>
    <mergeCell ref="W23:X24"/>
    <mergeCell ref="W25:X25"/>
    <mergeCell ref="Y27:Y28"/>
    <mergeCell ref="M36:M37"/>
    <mergeCell ref="N36:N37"/>
    <mergeCell ref="Q36:Q37"/>
    <mergeCell ref="K72:L72"/>
    <mergeCell ref="M39:N39"/>
    <mergeCell ref="D74:E74"/>
    <mergeCell ref="I74:J74"/>
    <mergeCell ref="K74:L74"/>
    <mergeCell ref="H68:I68"/>
    <mergeCell ref="K68:L68"/>
    <mergeCell ref="D69:E69"/>
    <mergeCell ref="D70:E70"/>
    <mergeCell ref="I70:J70"/>
    <mergeCell ref="K70:L70"/>
  </mergeCells>
  <pageMargins left="0.27559055118110237" right="0.15748031496062992" top="0.39370078740157483" bottom="0.27559055118110237" header="0.31496062992125984" footer="0.31496062992125984"/>
  <pageSetup scale="80" orientation="landscape" horizontalDpi="0" verticalDpi="0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N115"/>
  <sheetViews>
    <sheetView topLeftCell="C28" workbookViewId="0">
      <selection activeCell="I44" sqref="I44:J46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456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I1" s="301" t="s">
        <v>318</v>
      </c>
      <c r="J1" s="302"/>
      <c r="K1" s="303"/>
      <c r="L1" s="471"/>
      <c r="M1" s="303"/>
      <c r="N1" s="377" t="s">
        <v>314</v>
      </c>
    </row>
    <row r="2" spans="1:14" ht="21.75" customHeight="1" thickTop="1" thickBot="1" x14ac:dyDescent="0.35">
      <c r="A2" s="451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472" t="s">
        <v>22</v>
      </c>
      <c r="M2" s="299" t="s">
        <v>23</v>
      </c>
      <c r="N2" s="309" t="s">
        <v>210</v>
      </c>
    </row>
    <row r="3" spans="1:14" ht="15.75" x14ac:dyDescent="0.25">
      <c r="A3" s="452">
        <v>44620</v>
      </c>
      <c r="B3" s="437" t="s">
        <v>521</v>
      </c>
      <c r="C3" s="392">
        <v>2909.4</v>
      </c>
      <c r="D3" s="485">
        <v>44643</v>
      </c>
      <c r="E3" s="486">
        <v>2909.4</v>
      </c>
      <c r="F3" s="392">
        <f>C3-E3</f>
        <v>0</v>
      </c>
      <c r="I3" s="405">
        <v>44620</v>
      </c>
      <c r="J3" s="391">
        <v>8631</v>
      </c>
      <c r="K3" s="392">
        <v>858.6</v>
      </c>
      <c r="L3" s="478">
        <v>44643</v>
      </c>
      <c r="M3" s="479">
        <v>858.6</v>
      </c>
      <c r="N3" s="183">
        <f>K3-M3</f>
        <v>0</v>
      </c>
    </row>
    <row r="4" spans="1:14" ht="18.75" x14ac:dyDescent="0.3">
      <c r="A4" s="452">
        <v>44621</v>
      </c>
      <c r="B4" s="437" t="s">
        <v>522</v>
      </c>
      <c r="C4" s="392">
        <v>74016.2</v>
      </c>
      <c r="D4" s="485">
        <v>44643</v>
      </c>
      <c r="E4" s="486">
        <v>74016.2</v>
      </c>
      <c r="F4" s="392">
        <f t="shared" ref="F4:F46" si="0">C4-E4</f>
        <v>0</v>
      </c>
      <c r="G4" s="138"/>
      <c r="I4" s="370">
        <v>44621</v>
      </c>
      <c r="J4" s="57">
        <v>8638</v>
      </c>
      <c r="K4" s="111">
        <v>240</v>
      </c>
      <c r="L4" s="475">
        <v>44643</v>
      </c>
      <c r="M4" s="261">
        <v>240</v>
      </c>
      <c r="N4" s="137">
        <f>N3+K4-M4</f>
        <v>0</v>
      </c>
    </row>
    <row r="5" spans="1:14" ht="15.75" x14ac:dyDescent="0.25">
      <c r="A5" s="452">
        <v>44622</v>
      </c>
      <c r="B5" s="437" t="s">
        <v>523</v>
      </c>
      <c r="C5" s="392">
        <v>38036.6</v>
      </c>
      <c r="D5" s="485">
        <v>44643</v>
      </c>
      <c r="E5" s="486">
        <v>38036.6</v>
      </c>
      <c r="F5" s="392">
        <f t="shared" si="0"/>
        <v>0</v>
      </c>
      <c r="I5" s="370">
        <v>44622</v>
      </c>
      <c r="J5" s="57">
        <v>8646</v>
      </c>
      <c r="K5" s="111">
        <v>1010</v>
      </c>
      <c r="L5" s="475">
        <v>44643</v>
      </c>
      <c r="M5" s="261">
        <v>1010</v>
      </c>
      <c r="N5" s="137">
        <f t="shared" ref="N5:N68" si="1">N4+K5-M5</f>
        <v>0</v>
      </c>
    </row>
    <row r="6" spans="1:14" ht="15.75" x14ac:dyDescent="0.25">
      <c r="A6" s="452">
        <v>44623</v>
      </c>
      <c r="B6" s="437" t="s">
        <v>524</v>
      </c>
      <c r="C6" s="392">
        <v>52111.11</v>
      </c>
      <c r="D6" s="485">
        <v>44643</v>
      </c>
      <c r="E6" s="486">
        <v>52111.11</v>
      </c>
      <c r="F6" s="392">
        <f t="shared" si="0"/>
        <v>0</v>
      </c>
      <c r="I6" s="370">
        <v>44623</v>
      </c>
      <c r="J6" s="57">
        <v>8652</v>
      </c>
      <c r="K6" s="111">
        <v>2004</v>
      </c>
      <c r="L6" s="475">
        <v>44643</v>
      </c>
      <c r="M6" s="261">
        <v>2004</v>
      </c>
      <c r="N6" s="137">
        <f t="shared" si="1"/>
        <v>0</v>
      </c>
    </row>
    <row r="7" spans="1:14" ht="15.75" x14ac:dyDescent="0.25">
      <c r="A7" s="452">
        <v>44623</v>
      </c>
      <c r="B7" s="437" t="s">
        <v>525</v>
      </c>
      <c r="C7" s="392">
        <v>394.2</v>
      </c>
      <c r="D7" s="485">
        <v>44643</v>
      </c>
      <c r="E7" s="486">
        <v>394.2</v>
      </c>
      <c r="F7" s="392">
        <f t="shared" si="0"/>
        <v>0</v>
      </c>
      <c r="I7" s="370">
        <v>44624</v>
      </c>
      <c r="J7" s="57">
        <v>8662</v>
      </c>
      <c r="K7" s="111">
        <v>13002.8</v>
      </c>
      <c r="L7" s="475">
        <v>44643</v>
      </c>
      <c r="M7" s="261">
        <v>13002.8</v>
      </c>
      <c r="N7" s="137">
        <f t="shared" si="1"/>
        <v>0</v>
      </c>
    </row>
    <row r="8" spans="1:14" ht="15.75" x14ac:dyDescent="0.25">
      <c r="A8" s="452">
        <v>44624</v>
      </c>
      <c r="B8" s="437" t="s">
        <v>526</v>
      </c>
      <c r="C8" s="392">
        <v>52173.7</v>
      </c>
      <c r="D8" s="485">
        <v>44643</v>
      </c>
      <c r="E8" s="486">
        <v>52173.7</v>
      </c>
      <c r="F8" s="392">
        <f t="shared" si="0"/>
        <v>0</v>
      </c>
      <c r="I8" s="370">
        <v>44625</v>
      </c>
      <c r="J8" s="57">
        <v>8666</v>
      </c>
      <c r="K8" s="111">
        <v>3911</v>
      </c>
      <c r="L8" s="475">
        <v>44643</v>
      </c>
      <c r="M8" s="261">
        <v>3911</v>
      </c>
      <c r="N8" s="137">
        <f t="shared" si="1"/>
        <v>0</v>
      </c>
    </row>
    <row r="9" spans="1:14" ht="15.75" x14ac:dyDescent="0.25">
      <c r="A9" s="452">
        <v>44625</v>
      </c>
      <c r="B9" s="437" t="s">
        <v>527</v>
      </c>
      <c r="C9" s="392">
        <v>47563.28</v>
      </c>
      <c r="D9" s="485">
        <v>44643</v>
      </c>
      <c r="E9" s="486">
        <v>47563.28</v>
      </c>
      <c r="F9" s="392">
        <f t="shared" si="0"/>
        <v>0</v>
      </c>
      <c r="I9" s="370">
        <v>44627</v>
      </c>
      <c r="J9" s="57">
        <v>8676</v>
      </c>
      <c r="K9" s="111">
        <v>3530</v>
      </c>
      <c r="L9" s="475">
        <v>44643</v>
      </c>
      <c r="M9" s="261">
        <v>3530</v>
      </c>
      <c r="N9" s="137">
        <f t="shared" si="1"/>
        <v>0</v>
      </c>
    </row>
    <row r="10" spans="1:14" ht="18.75" x14ac:dyDescent="0.3">
      <c r="A10" s="452">
        <v>44625</v>
      </c>
      <c r="B10" s="437" t="s">
        <v>528</v>
      </c>
      <c r="C10" s="392">
        <v>1406</v>
      </c>
      <c r="D10" s="485">
        <v>44643</v>
      </c>
      <c r="E10" s="486">
        <v>1406</v>
      </c>
      <c r="F10" s="392">
        <f t="shared" si="0"/>
        <v>0</v>
      </c>
      <c r="G10" s="138"/>
      <c r="I10" s="370">
        <v>44627</v>
      </c>
      <c r="J10" s="57">
        <v>8677</v>
      </c>
      <c r="K10" s="111">
        <v>1554</v>
      </c>
      <c r="L10" s="475">
        <v>44643</v>
      </c>
      <c r="M10" s="261">
        <v>1554</v>
      </c>
      <c r="N10" s="137">
        <f t="shared" si="1"/>
        <v>0</v>
      </c>
    </row>
    <row r="11" spans="1:14" ht="15.75" x14ac:dyDescent="0.25">
      <c r="A11" s="452">
        <v>44627</v>
      </c>
      <c r="B11" s="437" t="s">
        <v>529</v>
      </c>
      <c r="C11" s="392">
        <v>44449.599999999999</v>
      </c>
      <c r="D11" s="485">
        <v>44643</v>
      </c>
      <c r="E11" s="486">
        <v>44449.599999999999</v>
      </c>
      <c r="F11" s="392">
        <f t="shared" si="0"/>
        <v>0</v>
      </c>
      <c r="I11" s="370">
        <v>44628</v>
      </c>
      <c r="J11" s="57">
        <v>8683</v>
      </c>
      <c r="K11" s="111">
        <v>2734</v>
      </c>
      <c r="L11" s="475">
        <v>44643</v>
      </c>
      <c r="M11" s="261">
        <v>2734</v>
      </c>
      <c r="N11" s="137">
        <f t="shared" si="1"/>
        <v>0</v>
      </c>
    </row>
    <row r="12" spans="1:14" ht="15.75" x14ac:dyDescent="0.25">
      <c r="A12" s="452">
        <v>44627</v>
      </c>
      <c r="B12" s="437" t="s">
        <v>530</v>
      </c>
      <c r="C12" s="392">
        <v>848.4</v>
      </c>
      <c r="D12" s="485">
        <v>44643</v>
      </c>
      <c r="E12" s="486">
        <v>848.4</v>
      </c>
      <c r="F12" s="392">
        <f t="shared" si="0"/>
        <v>0</v>
      </c>
      <c r="I12" s="370">
        <v>44630</v>
      </c>
      <c r="J12" s="57">
        <v>8702</v>
      </c>
      <c r="K12" s="111">
        <v>13641</v>
      </c>
      <c r="L12" s="475">
        <v>44643</v>
      </c>
      <c r="M12" s="261">
        <v>13641</v>
      </c>
      <c r="N12" s="137">
        <f t="shared" si="1"/>
        <v>0</v>
      </c>
    </row>
    <row r="13" spans="1:14" ht="15.75" x14ac:dyDescent="0.25">
      <c r="A13" s="452">
        <v>44628</v>
      </c>
      <c r="B13" s="437" t="s">
        <v>531</v>
      </c>
      <c r="C13" s="392">
        <v>71723.600000000006</v>
      </c>
      <c r="D13" s="485">
        <v>44643</v>
      </c>
      <c r="E13" s="486">
        <v>71723.600000000006</v>
      </c>
      <c r="F13" s="392">
        <f t="shared" si="0"/>
        <v>0</v>
      </c>
      <c r="I13" s="370">
        <v>44631</v>
      </c>
      <c r="J13" s="57">
        <v>8711</v>
      </c>
      <c r="K13" s="111">
        <v>18173</v>
      </c>
      <c r="L13" s="475">
        <v>44643</v>
      </c>
      <c r="M13" s="261">
        <v>18173</v>
      </c>
      <c r="N13" s="137">
        <f t="shared" si="1"/>
        <v>0</v>
      </c>
    </row>
    <row r="14" spans="1:14" ht="15.75" x14ac:dyDescent="0.25">
      <c r="A14" s="452">
        <v>44628</v>
      </c>
      <c r="B14" s="437" t="s">
        <v>532</v>
      </c>
      <c r="C14" s="392">
        <v>1776</v>
      </c>
      <c r="D14" s="485">
        <v>44643</v>
      </c>
      <c r="E14" s="486">
        <v>1776</v>
      </c>
      <c r="F14" s="392">
        <f t="shared" si="0"/>
        <v>0</v>
      </c>
      <c r="I14" s="370">
        <v>44631</v>
      </c>
      <c r="J14" s="57">
        <v>8714</v>
      </c>
      <c r="K14" s="111">
        <v>6720</v>
      </c>
      <c r="L14" s="475">
        <v>44643</v>
      </c>
      <c r="M14" s="261">
        <v>6720</v>
      </c>
      <c r="N14" s="137">
        <f t="shared" si="1"/>
        <v>0</v>
      </c>
    </row>
    <row r="15" spans="1:14" ht="15.75" x14ac:dyDescent="0.25">
      <c r="A15" s="452">
        <v>44629</v>
      </c>
      <c r="B15" s="437" t="s">
        <v>533</v>
      </c>
      <c r="C15" s="392">
        <v>76124.3</v>
      </c>
      <c r="D15" s="485" t="s">
        <v>714</v>
      </c>
      <c r="E15" s="486">
        <f>61979.8+14144.5</f>
        <v>76124.3</v>
      </c>
      <c r="F15" s="392">
        <f t="shared" si="0"/>
        <v>0</v>
      </c>
      <c r="I15" s="370">
        <v>44631</v>
      </c>
      <c r="J15" s="57">
        <v>8716</v>
      </c>
      <c r="K15" s="111">
        <v>360</v>
      </c>
      <c r="L15" s="475">
        <v>44643</v>
      </c>
      <c r="M15" s="261">
        <v>360</v>
      </c>
      <c r="N15" s="137">
        <f t="shared" si="1"/>
        <v>0</v>
      </c>
    </row>
    <row r="16" spans="1:14" ht="15.75" x14ac:dyDescent="0.25">
      <c r="A16" s="452">
        <v>44630</v>
      </c>
      <c r="B16" s="437" t="s">
        <v>534</v>
      </c>
      <c r="C16" s="392">
        <v>50443.9</v>
      </c>
      <c r="D16" s="405">
        <v>44670</v>
      </c>
      <c r="E16" s="392">
        <v>50443.9</v>
      </c>
      <c r="F16" s="392">
        <f t="shared" si="0"/>
        <v>0</v>
      </c>
      <c r="I16" s="370">
        <v>44632</v>
      </c>
      <c r="J16" s="57">
        <v>8720</v>
      </c>
      <c r="K16" s="111">
        <v>450</v>
      </c>
      <c r="L16" s="475">
        <v>44643</v>
      </c>
      <c r="M16" s="261">
        <v>450</v>
      </c>
      <c r="N16" s="137">
        <f t="shared" si="1"/>
        <v>0</v>
      </c>
    </row>
    <row r="17" spans="1:14" ht="15.75" x14ac:dyDescent="0.25">
      <c r="A17" s="452">
        <v>44631</v>
      </c>
      <c r="B17" s="437" t="s">
        <v>537</v>
      </c>
      <c r="C17" s="392">
        <v>94092.05</v>
      </c>
      <c r="D17" s="405">
        <v>44670</v>
      </c>
      <c r="E17" s="392">
        <v>94092.05</v>
      </c>
      <c r="F17" s="392">
        <f t="shared" si="0"/>
        <v>0</v>
      </c>
      <c r="I17" s="370">
        <v>44634</v>
      </c>
      <c r="J17" s="57">
        <v>8764</v>
      </c>
      <c r="K17" s="111">
        <v>2120</v>
      </c>
      <c r="L17" s="475">
        <v>44643</v>
      </c>
      <c r="M17" s="261">
        <v>2120</v>
      </c>
      <c r="N17" s="137">
        <f t="shared" si="1"/>
        <v>0</v>
      </c>
    </row>
    <row r="18" spans="1:14" ht="15.75" x14ac:dyDescent="0.25">
      <c r="A18" s="452">
        <v>44631</v>
      </c>
      <c r="B18" s="437" t="s">
        <v>538</v>
      </c>
      <c r="C18" s="392">
        <v>8163.9</v>
      </c>
      <c r="D18" s="405">
        <v>44670</v>
      </c>
      <c r="E18" s="392">
        <v>8163.9</v>
      </c>
      <c r="F18" s="392">
        <f t="shared" si="0"/>
        <v>0</v>
      </c>
      <c r="I18" s="370">
        <v>44635</v>
      </c>
      <c r="J18" s="57">
        <v>8773</v>
      </c>
      <c r="K18" s="111">
        <v>4670</v>
      </c>
      <c r="L18" s="475">
        <v>44643</v>
      </c>
      <c r="M18" s="261">
        <v>4670</v>
      </c>
      <c r="N18" s="137">
        <f t="shared" si="1"/>
        <v>0</v>
      </c>
    </row>
    <row r="19" spans="1:14" ht="15.75" x14ac:dyDescent="0.25">
      <c r="A19" s="452">
        <v>44632</v>
      </c>
      <c r="B19" s="437" t="s">
        <v>539</v>
      </c>
      <c r="C19" s="392">
        <v>57174.8</v>
      </c>
      <c r="D19" s="405">
        <v>44670</v>
      </c>
      <c r="E19" s="392">
        <v>57174.8</v>
      </c>
      <c r="F19" s="392">
        <f t="shared" si="0"/>
        <v>0</v>
      </c>
      <c r="I19" s="370">
        <v>44636</v>
      </c>
      <c r="J19" s="57">
        <v>8785</v>
      </c>
      <c r="K19" s="111">
        <v>3785</v>
      </c>
      <c r="L19" s="475">
        <v>44643</v>
      </c>
      <c r="M19" s="261">
        <v>3785</v>
      </c>
      <c r="N19" s="137">
        <f t="shared" si="1"/>
        <v>0</v>
      </c>
    </row>
    <row r="20" spans="1:14" ht="15.75" x14ac:dyDescent="0.25">
      <c r="A20" s="452">
        <v>44634</v>
      </c>
      <c r="B20" s="437" t="s">
        <v>540</v>
      </c>
      <c r="C20" s="392">
        <v>9004.7999999999993</v>
      </c>
      <c r="D20" s="405">
        <v>44670</v>
      </c>
      <c r="E20" s="392">
        <v>9004.7999999999993</v>
      </c>
      <c r="F20" s="392">
        <f t="shared" si="0"/>
        <v>0</v>
      </c>
      <c r="I20" s="370">
        <v>44638</v>
      </c>
      <c r="J20" s="57">
        <v>8795</v>
      </c>
      <c r="K20" s="111">
        <v>10063</v>
      </c>
      <c r="L20" s="475">
        <v>44643</v>
      </c>
      <c r="M20" s="261">
        <v>10063</v>
      </c>
      <c r="N20" s="137">
        <f t="shared" si="1"/>
        <v>0</v>
      </c>
    </row>
    <row r="21" spans="1:14" ht="15.75" x14ac:dyDescent="0.25">
      <c r="A21" s="452">
        <v>44634</v>
      </c>
      <c r="B21" s="437" t="s">
        <v>541</v>
      </c>
      <c r="C21" s="392">
        <v>80090.45</v>
      </c>
      <c r="D21" s="405">
        <v>44670</v>
      </c>
      <c r="E21" s="392">
        <v>80090.45</v>
      </c>
      <c r="F21" s="392">
        <f t="shared" si="0"/>
        <v>0</v>
      </c>
      <c r="I21" s="370">
        <v>44639</v>
      </c>
      <c r="J21" s="57">
        <v>8800</v>
      </c>
      <c r="K21" s="111">
        <v>1988</v>
      </c>
      <c r="L21" s="475">
        <v>44643</v>
      </c>
      <c r="M21" s="261">
        <v>1988</v>
      </c>
      <c r="N21" s="137">
        <f t="shared" si="1"/>
        <v>0</v>
      </c>
    </row>
    <row r="22" spans="1:14" ht="18.75" x14ac:dyDescent="0.3">
      <c r="A22" s="452">
        <v>44634</v>
      </c>
      <c r="B22" s="437" t="s">
        <v>542</v>
      </c>
      <c r="C22" s="392">
        <v>7015.6</v>
      </c>
      <c r="D22" s="405">
        <v>44670</v>
      </c>
      <c r="E22" s="392">
        <v>7015.6</v>
      </c>
      <c r="F22" s="392">
        <f t="shared" si="0"/>
        <v>0</v>
      </c>
      <c r="G22" s="138"/>
      <c r="I22" s="370">
        <v>44639</v>
      </c>
      <c r="J22" s="57">
        <v>8801</v>
      </c>
      <c r="K22" s="111">
        <v>270</v>
      </c>
      <c r="L22" s="475">
        <v>44643</v>
      </c>
      <c r="M22" s="261">
        <v>270</v>
      </c>
      <c r="N22" s="137">
        <f t="shared" si="1"/>
        <v>0</v>
      </c>
    </row>
    <row r="23" spans="1:14" ht="15.75" x14ac:dyDescent="0.25">
      <c r="A23" s="452">
        <v>44635</v>
      </c>
      <c r="B23" s="437" t="s">
        <v>543</v>
      </c>
      <c r="C23" s="392">
        <v>2559.1999999999998</v>
      </c>
      <c r="D23" s="405">
        <v>44670</v>
      </c>
      <c r="E23" s="392">
        <v>2559.1999999999998</v>
      </c>
      <c r="F23" s="392">
        <f t="shared" si="0"/>
        <v>0</v>
      </c>
      <c r="I23" s="370">
        <v>44641</v>
      </c>
      <c r="J23" s="57">
        <v>8810</v>
      </c>
      <c r="K23" s="111">
        <v>1553</v>
      </c>
      <c r="L23" s="475">
        <v>44643</v>
      </c>
      <c r="M23" s="261">
        <v>1553</v>
      </c>
      <c r="N23" s="137">
        <f t="shared" si="1"/>
        <v>0</v>
      </c>
    </row>
    <row r="24" spans="1:14" ht="15.75" x14ac:dyDescent="0.25">
      <c r="A24" s="452">
        <v>44636</v>
      </c>
      <c r="B24" s="437" t="s">
        <v>544</v>
      </c>
      <c r="C24" s="392">
        <v>11187.2</v>
      </c>
      <c r="D24" s="405">
        <v>44670</v>
      </c>
      <c r="E24" s="392">
        <v>11187.2</v>
      </c>
      <c r="F24" s="392">
        <f t="shared" si="0"/>
        <v>0</v>
      </c>
      <c r="I24" s="370">
        <v>44642</v>
      </c>
      <c r="J24" s="57">
        <v>8817</v>
      </c>
      <c r="K24" s="111">
        <v>1450</v>
      </c>
      <c r="L24" s="475">
        <v>44643</v>
      </c>
      <c r="M24" s="261">
        <v>1450</v>
      </c>
      <c r="N24" s="137">
        <f t="shared" si="1"/>
        <v>0</v>
      </c>
    </row>
    <row r="25" spans="1:14" ht="15.75" x14ac:dyDescent="0.25">
      <c r="A25" s="452">
        <v>44637</v>
      </c>
      <c r="B25" s="437" t="s">
        <v>545</v>
      </c>
      <c r="C25" s="392">
        <v>51776.46</v>
      </c>
      <c r="D25" s="405">
        <v>44670</v>
      </c>
      <c r="E25" s="392">
        <v>51776.46</v>
      </c>
      <c r="F25" s="392">
        <f t="shared" si="0"/>
        <v>0</v>
      </c>
      <c r="I25" s="497" t="s">
        <v>615</v>
      </c>
      <c r="J25" s="498">
        <v>8832</v>
      </c>
      <c r="K25" s="499">
        <v>36766.699999999997</v>
      </c>
      <c r="L25" s="708">
        <v>44744</v>
      </c>
      <c r="M25" s="707">
        <v>36766.699999999997</v>
      </c>
      <c r="N25" s="137">
        <f t="shared" si="1"/>
        <v>0</v>
      </c>
    </row>
    <row r="26" spans="1:14" ht="15.75" x14ac:dyDescent="0.25">
      <c r="A26" s="452">
        <v>44638</v>
      </c>
      <c r="B26" s="437" t="s">
        <v>546</v>
      </c>
      <c r="C26" s="392">
        <v>87124.5</v>
      </c>
      <c r="D26" s="405">
        <v>44670</v>
      </c>
      <c r="E26" s="392">
        <v>87124.5</v>
      </c>
      <c r="F26" s="392">
        <f t="shared" si="0"/>
        <v>0</v>
      </c>
      <c r="I26" s="500" t="s">
        <v>615</v>
      </c>
      <c r="J26" s="501">
        <v>8834</v>
      </c>
      <c r="K26" s="502">
        <v>6425.6</v>
      </c>
      <c r="L26" s="708">
        <v>44744</v>
      </c>
      <c r="M26" s="707">
        <v>6425.6</v>
      </c>
      <c r="N26" s="137">
        <f t="shared" si="1"/>
        <v>0</v>
      </c>
    </row>
    <row r="27" spans="1:14" ht="15.75" x14ac:dyDescent="0.25">
      <c r="A27" s="452">
        <v>44639</v>
      </c>
      <c r="B27" s="437" t="s">
        <v>599</v>
      </c>
      <c r="C27" s="392">
        <v>67449.740000000005</v>
      </c>
      <c r="D27" s="405">
        <v>44670</v>
      </c>
      <c r="E27" s="392">
        <v>67449.740000000005</v>
      </c>
      <c r="F27" s="392">
        <f t="shared" si="0"/>
        <v>0</v>
      </c>
      <c r="I27" s="500" t="s">
        <v>616</v>
      </c>
      <c r="J27" s="501">
        <v>8837</v>
      </c>
      <c r="K27" s="502">
        <v>360</v>
      </c>
      <c r="L27" s="708">
        <v>44744</v>
      </c>
      <c r="M27" s="707">
        <v>360</v>
      </c>
      <c r="N27" s="137">
        <f t="shared" si="1"/>
        <v>0</v>
      </c>
    </row>
    <row r="28" spans="1:14" ht="15.75" x14ac:dyDescent="0.25">
      <c r="A28" s="452">
        <v>44639</v>
      </c>
      <c r="B28" s="437" t="s">
        <v>600</v>
      </c>
      <c r="C28" s="392">
        <v>4430.8</v>
      </c>
      <c r="D28" s="405">
        <v>44670</v>
      </c>
      <c r="E28" s="392">
        <v>4430.8</v>
      </c>
      <c r="F28" s="392">
        <f t="shared" si="0"/>
        <v>0</v>
      </c>
      <c r="I28" s="497" t="s">
        <v>617</v>
      </c>
      <c r="J28" s="498">
        <v>8849</v>
      </c>
      <c r="K28" s="499">
        <v>23962.400000000001</v>
      </c>
      <c r="L28" s="708">
        <v>44744</v>
      </c>
      <c r="M28" s="707">
        <v>23962.400000000001</v>
      </c>
      <c r="N28" s="137">
        <f t="shared" si="1"/>
        <v>0</v>
      </c>
    </row>
    <row r="29" spans="1:14" ht="15.75" x14ac:dyDescent="0.25">
      <c r="A29" s="452">
        <v>44639</v>
      </c>
      <c r="B29" s="437" t="s">
        <v>601</v>
      </c>
      <c r="C29" s="392">
        <v>6400</v>
      </c>
      <c r="D29" s="405">
        <v>44670</v>
      </c>
      <c r="E29" s="392">
        <v>6400</v>
      </c>
      <c r="F29" s="392">
        <f t="shared" si="0"/>
        <v>0</v>
      </c>
      <c r="I29" s="497" t="s">
        <v>618</v>
      </c>
      <c r="J29" s="498">
        <v>8859</v>
      </c>
      <c r="K29" s="499">
        <v>180</v>
      </c>
      <c r="L29" s="708">
        <v>44744</v>
      </c>
      <c r="M29" s="707">
        <v>180</v>
      </c>
      <c r="N29" s="137">
        <f t="shared" si="1"/>
        <v>0</v>
      </c>
    </row>
    <row r="30" spans="1:14" ht="18.75" x14ac:dyDescent="0.3">
      <c r="A30" s="452">
        <v>44641</v>
      </c>
      <c r="B30" s="437" t="s">
        <v>602</v>
      </c>
      <c r="C30" s="392">
        <v>129051.65</v>
      </c>
      <c r="D30" s="405">
        <v>44670</v>
      </c>
      <c r="E30" s="392">
        <v>129051.65</v>
      </c>
      <c r="F30" s="392">
        <f t="shared" si="0"/>
        <v>0</v>
      </c>
      <c r="G30" s="138"/>
      <c r="I30" s="500" t="s">
        <v>618</v>
      </c>
      <c r="J30" s="501">
        <v>8863</v>
      </c>
      <c r="K30" s="502">
        <v>44504</v>
      </c>
      <c r="L30" s="708">
        <v>44744</v>
      </c>
      <c r="M30" s="709">
        <v>44504</v>
      </c>
      <c r="N30" s="137">
        <f t="shared" si="1"/>
        <v>0</v>
      </c>
    </row>
    <row r="31" spans="1:14" ht="15.75" x14ac:dyDescent="0.25">
      <c r="A31" s="452">
        <v>44641</v>
      </c>
      <c r="B31" s="437" t="s">
        <v>603</v>
      </c>
      <c r="C31" s="392">
        <v>9483.7999999999993</v>
      </c>
      <c r="D31" s="405">
        <v>44670</v>
      </c>
      <c r="E31" s="392">
        <v>9483.7999999999993</v>
      </c>
      <c r="F31" s="392">
        <f t="shared" si="0"/>
        <v>0</v>
      </c>
      <c r="I31" s="370"/>
      <c r="J31" s="57"/>
      <c r="K31" s="111"/>
      <c r="L31" s="475"/>
      <c r="M31" s="69"/>
      <c r="N31" s="137">
        <f t="shared" si="1"/>
        <v>0</v>
      </c>
    </row>
    <row r="32" spans="1:14" ht="15.75" x14ac:dyDescent="0.25">
      <c r="A32" s="452">
        <v>44642</v>
      </c>
      <c r="B32" s="437" t="s">
        <v>604</v>
      </c>
      <c r="C32" s="392">
        <v>9623.1</v>
      </c>
      <c r="D32" s="405">
        <v>44670</v>
      </c>
      <c r="E32" s="392">
        <v>9623.1</v>
      </c>
      <c r="F32" s="392">
        <f t="shared" si="0"/>
        <v>0</v>
      </c>
      <c r="I32" s="370"/>
      <c r="J32" s="57"/>
      <c r="K32" s="111"/>
      <c r="L32" s="475"/>
      <c r="M32" s="69"/>
      <c r="N32" s="137">
        <f t="shared" si="1"/>
        <v>0</v>
      </c>
    </row>
    <row r="33" spans="1:14" ht="15.75" x14ac:dyDescent="0.25">
      <c r="A33" s="452">
        <v>44642</v>
      </c>
      <c r="B33" s="437" t="s">
        <v>605</v>
      </c>
      <c r="C33" s="392">
        <v>869.4</v>
      </c>
      <c r="D33" s="405">
        <v>44670</v>
      </c>
      <c r="E33" s="392">
        <v>869.4</v>
      </c>
      <c r="F33" s="392">
        <f t="shared" si="0"/>
        <v>0</v>
      </c>
      <c r="I33" s="370"/>
      <c r="J33" s="57"/>
      <c r="K33" s="111"/>
      <c r="L33" s="475"/>
      <c r="M33" s="69"/>
      <c r="N33" s="137">
        <f t="shared" si="1"/>
        <v>0</v>
      </c>
    </row>
    <row r="34" spans="1:14" ht="15.75" x14ac:dyDescent="0.25">
      <c r="A34" s="452">
        <v>44643</v>
      </c>
      <c r="B34" s="437" t="s">
        <v>606</v>
      </c>
      <c r="C34" s="392">
        <v>7771.4</v>
      </c>
      <c r="D34" s="405">
        <v>44670</v>
      </c>
      <c r="E34" s="392">
        <v>7771.4</v>
      </c>
      <c r="F34" s="392">
        <f t="shared" si="0"/>
        <v>0</v>
      </c>
      <c r="I34" s="370"/>
      <c r="J34" s="57"/>
      <c r="K34" s="111"/>
      <c r="L34" s="475"/>
      <c r="M34" s="69"/>
      <c r="N34" s="137">
        <f t="shared" si="1"/>
        <v>0</v>
      </c>
    </row>
    <row r="35" spans="1:14" ht="15.75" x14ac:dyDescent="0.25">
      <c r="A35" s="452">
        <v>44644</v>
      </c>
      <c r="B35" s="437" t="s">
        <v>607</v>
      </c>
      <c r="C35" s="392">
        <v>46801.67</v>
      </c>
      <c r="D35" s="405">
        <v>44670</v>
      </c>
      <c r="E35" s="392">
        <v>46801.67</v>
      </c>
      <c r="F35" s="392">
        <f t="shared" si="0"/>
        <v>0</v>
      </c>
      <c r="I35" s="370"/>
      <c r="J35" s="57"/>
      <c r="K35" s="111"/>
      <c r="L35" s="475"/>
      <c r="M35" s="69"/>
      <c r="N35" s="137">
        <f t="shared" si="1"/>
        <v>0</v>
      </c>
    </row>
    <row r="36" spans="1:14" ht="15.75" x14ac:dyDescent="0.25">
      <c r="A36" s="452">
        <v>44645</v>
      </c>
      <c r="B36" s="437" t="s">
        <v>608</v>
      </c>
      <c r="C36" s="392">
        <v>106305.33</v>
      </c>
      <c r="D36" s="405">
        <v>44670</v>
      </c>
      <c r="E36" s="392">
        <v>106305.33</v>
      </c>
      <c r="F36" s="392">
        <f t="shared" si="0"/>
        <v>0</v>
      </c>
      <c r="I36" s="370"/>
      <c r="J36" s="57"/>
      <c r="K36" s="111"/>
      <c r="L36" s="475"/>
      <c r="M36" s="69"/>
      <c r="N36" s="137">
        <f t="shared" si="1"/>
        <v>0</v>
      </c>
    </row>
    <row r="37" spans="1:14" ht="15.75" x14ac:dyDescent="0.25">
      <c r="A37" s="452">
        <v>44646</v>
      </c>
      <c r="B37" s="437" t="s">
        <v>609</v>
      </c>
      <c r="C37" s="392">
        <v>49908.18</v>
      </c>
      <c r="D37" s="405">
        <v>44670</v>
      </c>
      <c r="E37" s="392">
        <v>49908.18</v>
      </c>
      <c r="F37" s="392">
        <f t="shared" si="0"/>
        <v>0</v>
      </c>
      <c r="I37" s="370"/>
      <c r="J37" s="57"/>
      <c r="K37" s="111"/>
      <c r="L37" s="475"/>
      <c r="M37" s="69"/>
      <c r="N37" s="137">
        <f t="shared" si="1"/>
        <v>0</v>
      </c>
    </row>
    <row r="38" spans="1:14" ht="15.75" x14ac:dyDescent="0.25">
      <c r="A38" s="452"/>
      <c r="B38" s="438"/>
      <c r="C38" s="410"/>
      <c r="D38" s="411"/>
      <c r="E38" s="410"/>
      <c r="F38" s="392">
        <f t="shared" si="0"/>
        <v>0</v>
      </c>
      <c r="I38" s="288"/>
      <c r="J38" s="57"/>
      <c r="K38" s="111"/>
      <c r="L38" s="475"/>
      <c r="M38" s="69"/>
      <c r="N38" s="137">
        <f t="shared" si="1"/>
        <v>0</v>
      </c>
    </row>
    <row r="39" spans="1:14" ht="15.75" x14ac:dyDescent="0.25">
      <c r="A39" s="452"/>
      <c r="B39" s="246"/>
      <c r="C39" s="111"/>
      <c r="D39" s="412"/>
      <c r="E39" s="111"/>
      <c r="F39" s="392">
        <f t="shared" si="0"/>
        <v>0</v>
      </c>
      <c r="I39" s="288"/>
      <c r="J39" s="57"/>
      <c r="K39" s="111"/>
      <c r="L39" s="475"/>
      <c r="M39" s="69"/>
      <c r="N39" s="137">
        <f t="shared" si="1"/>
        <v>0</v>
      </c>
    </row>
    <row r="40" spans="1:14" ht="15.75" x14ac:dyDescent="0.25">
      <c r="A40" s="452"/>
      <c r="B40" s="246"/>
      <c r="C40" s="111"/>
      <c r="D40" s="412"/>
      <c r="E40" s="111"/>
      <c r="F40" s="392">
        <f t="shared" si="0"/>
        <v>0</v>
      </c>
      <c r="I40" s="288"/>
      <c r="J40" s="57"/>
      <c r="K40" s="111"/>
      <c r="L40" s="475"/>
      <c r="M40" s="69"/>
      <c r="N40" s="137">
        <f t="shared" si="1"/>
        <v>0</v>
      </c>
    </row>
    <row r="41" spans="1:14" ht="15.75" x14ac:dyDescent="0.25">
      <c r="A41" s="452"/>
      <c r="B41" s="246"/>
      <c r="C41" s="111"/>
      <c r="D41" s="412"/>
      <c r="E41" s="111"/>
      <c r="F41" s="392">
        <f t="shared" si="0"/>
        <v>0</v>
      </c>
      <c r="I41" s="288"/>
      <c r="J41" s="57"/>
      <c r="K41" s="111"/>
      <c r="L41" s="475"/>
      <c r="M41" s="69"/>
      <c r="N41" s="137">
        <f t="shared" si="1"/>
        <v>0</v>
      </c>
    </row>
    <row r="42" spans="1:14" ht="15.75" x14ac:dyDescent="0.25">
      <c r="A42" s="453"/>
      <c r="B42" s="246"/>
      <c r="C42" s="111"/>
      <c r="D42" s="253"/>
      <c r="E42" s="69"/>
      <c r="F42" s="392">
        <f t="shared" si="0"/>
        <v>0</v>
      </c>
      <c r="I42" s="288"/>
      <c r="J42" s="57"/>
      <c r="K42" s="111"/>
      <c r="L42" s="475"/>
      <c r="M42" s="69"/>
      <c r="N42" s="137">
        <f t="shared" si="1"/>
        <v>0</v>
      </c>
    </row>
    <row r="43" spans="1:14" ht="15.75" x14ac:dyDescent="0.25">
      <c r="A43" s="453"/>
      <c r="B43" s="439"/>
      <c r="C43" s="413"/>
      <c r="D43" s="413"/>
      <c r="E43" s="413"/>
      <c r="F43" s="392">
        <f t="shared" si="0"/>
        <v>0</v>
      </c>
      <c r="I43" s="288"/>
      <c r="J43" s="57"/>
      <c r="K43" s="111"/>
      <c r="L43" s="475"/>
      <c r="M43" s="69"/>
      <c r="N43" s="137">
        <f t="shared" si="1"/>
        <v>0</v>
      </c>
    </row>
    <row r="44" spans="1:14" ht="15" customHeight="1" x14ac:dyDescent="0.25">
      <c r="A44" s="453"/>
      <c r="B44" s="439"/>
      <c r="C44" s="413"/>
      <c r="D44" s="413"/>
      <c r="E44" s="413"/>
      <c r="F44" s="392">
        <f t="shared" si="0"/>
        <v>0</v>
      </c>
      <c r="I44" s="930" t="s">
        <v>594</v>
      </c>
      <c r="J44" s="931"/>
      <c r="K44" s="111"/>
      <c r="L44" s="475"/>
      <c r="M44" s="69"/>
      <c r="N44" s="137">
        <f t="shared" si="1"/>
        <v>0</v>
      </c>
    </row>
    <row r="45" spans="1:14" ht="15.75" x14ac:dyDescent="0.25">
      <c r="A45" s="453"/>
      <c r="B45" s="439"/>
      <c r="C45" s="413"/>
      <c r="D45" s="413"/>
      <c r="E45" s="413"/>
      <c r="F45" s="392">
        <f t="shared" si="0"/>
        <v>0</v>
      </c>
      <c r="I45" s="932"/>
      <c r="J45" s="933"/>
      <c r="K45" s="111"/>
      <c r="L45" s="475"/>
      <c r="M45" s="69"/>
      <c r="N45" s="137">
        <f t="shared" si="1"/>
        <v>0</v>
      </c>
    </row>
    <row r="46" spans="1:14" ht="15.75" x14ac:dyDescent="0.25">
      <c r="A46" s="453"/>
      <c r="B46" s="246"/>
      <c r="C46" s="111"/>
      <c r="D46" s="253"/>
      <c r="E46" s="69"/>
      <c r="F46" s="392">
        <f t="shared" si="0"/>
        <v>0</v>
      </c>
      <c r="I46" s="934"/>
      <c r="J46" s="935"/>
      <c r="K46" s="111"/>
      <c r="L46" s="475"/>
      <c r="M46" s="69"/>
      <c r="N46" s="137">
        <f t="shared" si="1"/>
        <v>0</v>
      </c>
    </row>
    <row r="47" spans="1:14" ht="15.75" x14ac:dyDescent="0.25">
      <c r="A47" s="454"/>
      <c r="B47" s="246"/>
      <c r="C47" s="111"/>
      <c r="D47" s="253"/>
      <c r="E47" s="69"/>
      <c r="F47" s="137">
        <f t="shared" ref="F47:F78" si="2">F46+C47-E47</f>
        <v>0</v>
      </c>
      <c r="I47" s="350"/>
      <c r="J47" s="415"/>
      <c r="K47" s="34"/>
      <c r="L47" s="416"/>
      <c r="M47" s="215"/>
      <c r="N47" s="137">
        <f t="shared" si="1"/>
        <v>0</v>
      </c>
    </row>
    <row r="48" spans="1:14" ht="15.75" x14ac:dyDescent="0.25">
      <c r="A48" s="454"/>
      <c r="B48" s="246"/>
      <c r="C48" s="111"/>
      <c r="D48" s="253"/>
      <c r="E48" s="69"/>
      <c r="F48" s="137">
        <f t="shared" si="2"/>
        <v>0</v>
      </c>
      <c r="I48" s="348"/>
      <c r="J48" s="414"/>
      <c r="K48" s="414"/>
      <c r="L48" s="476"/>
      <c r="M48" s="206"/>
      <c r="N48" s="137">
        <f>N47+K48-M48</f>
        <v>0</v>
      </c>
    </row>
    <row r="49" spans="1:14" ht="15.75" x14ac:dyDescent="0.25">
      <c r="A49" s="134"/>
      <c r="B49" s="139"/>
      <c r="C49" s="69"/>
      <c r="D49" s="253"/>
      <c r="E49" s="69"/>
      <c r="F49" s="137">
        <f t="shared" si="2"/>
        <v>0</v>
      </c>
      <c r="I49" s="348"/>
      <c r="J49" s="414"/>
      <c r="K49" s="414"/>
      <c r="L49" s="476"/>
      <c r="M49" s="206"/>
      <c r="N49" s="137">
        <f t="shared" si="1"/>
        <v>0</v>
      </c>
    </row>
    <row r="50" spans="1:14" ht="15.75" x14ac:dyDescent="0.25">
      <c r="A50" s="134"/>
      <c r="B50" s="139"/>
      <c r="C50" s="69"/>
      <c r="D50" s="253"/>
      <c r="E50" s="69"/>
      <c r="F50" s="137">
        <f t="shared" si="2"/>
        <v>0</v>
      </c>
      <c r="I50" s="134"/>
      <c r="J50" s="408"/>
      <c r="K50" s="215">
        <v>0</v>
      </c>
      <c r="L50" s="409"/>
      <c r="M50" s="69"/>
      <c r="N50" s="137">
        <f t="shared" si="1"/>
        <v>0</v>
      </c>
    </row>
    <row r="51" spans="1:14" ht="15.75" hidden="1" x14ac:dyDescent="0.25">
      <c r="A51" s="134"/>
      <c r="B51" s="139"/>
      <c r="C51" s="69"/>
      <c r="D51" s="253"/>
      <c r="E51" s="69"/>
      <c r="F51" s="137">
        <f t="shared" si="2"/>
        <v>0</v>
      </c>
      <c r="I51" s="134"/>
      <c r="J51" s="139"/>
      <c r="K51" s="69"/>
      <c r="L51" s="140"/>
      <c r="M51" s="69"/>
      <c r="N51" s="137">
        <f t="shared" si="1"/>
        <v>0</v>
      </c>
    </row>
    <row r="52" spans="1:14" ht="15.75" hidden="1" x14ac:dyDescent="0.25">
      <c r="A52" s="134"/>
      <c r="B52" s="139"/>
      <c r="C52" s="69"/>
      <c r="D52" s="253"/>
      <c r="E52" s="69"/>
      <c r="F52" s="137">
        <f t="shared" si="2"/>
        <v>0</v>
      </c>
      <c r="I52" s="134"/>
      <c r="J52" s="139"/>
      <c r="K52" s="69"/>
      <c r="L52" s="140"/>
      <c r="M52" s="69"/>
      <c r="N52" s="137">
        <f t="shared" si="1"/>
        <v>0</v>
      </c>
    </row>
    <row r="53" spans="1:14" ht="15.75" hidden="1" x14ac:dyDescent="0.25">
      <c r="A53" s="134"/>
      <c r="B53" s="139"/>
      <c r="C53" s="69"/>
      <c r="D53" s="253"/>
      <c r="E53" s="69"/>
      <c r="F53" s="137">
        <f t="shared" si="2"/>
        <v>0</v>
      </c>
      <c r="I53" s="134"/>
      <c r="J53" s="139"/>
      <c r="K53" s="69"/>
      <c r="L53" s="140"/>
      <c r="M53" s="69"/>
      <c r="N53" s="137">
        <f t="shared" si="1"/>
        <v>0</v>
      </c>
    </row>
    <row r="54" spans="1:14" ht="15.75" hidden="1" x14ac:dyDescent="0.25">
      <c r="A54" s="134"/>
      <c r="B54" s="139"/>
      <c r="C54" s="69"/>
      <c r="D54" s="253"/>
      <c r="E54" s="69"/>
      <c r="F54" s="137">
        <f t="shared" si="2"/>
        <v>0</v>
      </c>
      <c r="I54" s="134"/>
      <c r="J54" s="139"/>
      <c r="K54" s="69"/>
      <c r="L54" s="140"/>
      <c r="M54" s="69"/>
      <c r="N54" s="137">
        <f t="shared" si="1"/>
        <v>0</v>
      </c>
    </row>
    <row r="55" spans="1:14" ht="15.75" hidden="1" x14ac:dyDescent="0.25">
      <c r="A55" s="134"/>
      <c r="B55" s="139"/>
      <c r="C55" s="69"/>
      <c r="D55" s="253"/>
      <c r="E55" s="69"/>
      <c r="F55" s="137">
        <f t="shared" si="2"/>
        <v>0</v>
      </c>
      <c r="I55" s="134"/>
      <c r="J55" s="139"/>
      <c r="K55" s="69"/>
      <c r="L55" s="140"/>
      <c r="M55" s="69"/>
      <c r="N55" s="137">
        <f t="shared" si="1"/>
        <v>0</v>
      </c>
    </row>
    <row r="56" spans="1:14" ht="15.75" hidden="1" x14ac:dyDescent="0.25">
      <c r="A56" s="134"/>
      <c r="B56" s="139"/>
      <c r="C56" s="69"/>
      <c r="D56" s="253"/>
      <c r="E56" s="69"/>
      <c r="F56" s="137">
        <f t="shared" si="2"/>
        <v>0</v>
      </c>
      <c r="I56" s="134"/>
      <c r="J56" s="139"/>
      <c r="K56" s="69"/>
      <c r="L56" s="140"/>
      <c r="M56" s="69"/>
      <c r="N56" s="137">
        <f t="shared" si="1"/>
        <v>0</v>
      </c>
    </row>
    <row r="57" spans="1:14" ht="15.75" hidden="1" x14ac:dyDescent="0.25">
      <c r="A57" s="134"/>
      <c r="B57" s="139"/>
      <c r="C57" s="69"/>
      <c r="D57" s="253"/>
      <c r="E57" s="69"/>
      <c r="F57" s="137">
        <f t="shared" si="2"/>
        <v>0</v>
      </c>
      <c r="I57" s="134"/>
      <c r="J57" s="139"/>
      <c r="K57" s="69"/>
      <c r="L57" s="140"/>
      <c r="M57" s="69"/>
      <c r="N57" s="137">
        <f t="shared" si="1"/>
        <v>0</v>
      </c>
    </row>
    <row r="58" spans="1:14" ht="15.75" hidden="1" x14ac:dyDescent="0.25">
      <c r="A58" s="134"/>
      <c r="B58" s="139"/>
      <c r="C58" s="69"/>
      <c r="D58" s="253"/>
      <c r="E58" s="69"/>
      <c r="F58" s="137">
        <f t="shared" si="2"/>
        <v>0</v>
      </c>
      <c r="I58" s="134"/>
      <c r="J58" s="139"/>
      <c r="K58" s="69"/>
      <c r="L58" s="140"/>
      <c r="M58" s="69"/>
      <c r="N58" s="137">
        <f t="shared" si="1"/>
        <v>0</v>
      </c>
    </row>
    <row r="59" spans="1:14" ht="15.75" hidden="1" x14ac:dyDescent="0.25">
      <c r="A59" s="134"/>
      <c r="B59" s="139"/>
      <c r="C59" s="69"/>
      <c r="D59" s="253"/>
      <c r="E59" s="69"/>
      <c r="F59" s="137">
        <f t="shared" si="2"/>
        <v>0</v>
      </c>
      <c r="I59" s="134"/>
      <c r="J59" s="139"/>
      <c r="K59" s="69"/>
      <c r="L59" s="140"/>
      <c r="M59" s="69"/>
      <c r="N59" s="137">
        <f t="shared" si="1"/>
        <v>0</v>
      </c>
    </row>
    <row r="60" spans="1:14" ht="15.75" hidden="1" x14ac:dyDescent="0.25">
      <c r="A60" s="134"/>
      <c r="B60" s="139"/>
      <c r="C60" s="69"/>
      <c r="D60" s="253"/>
      <c r="E60" s="69"/>
      <c r="F60" s="137">
        <f t="shared" si="2"/>
        <v>0</v>
      </c>
      <c r="I60" s="134"/>
      <c r="J60" s="139"/>
      <c r="K60" s="69"/>
      <c r="L60" s="140"/>
      <c r="M60" s="69"/>
      <c r="N60" s="137">
        <f t="shared" si="1"/>
        <v>0</v>
      </c>
    </row>
    <row r="61" spans="1:14" ht="15.75" hidden="1" x14ac:dyDescent="0.25">
      <c r="A61" s="134"/>
      <c r="B61" s="139"/>
      <c r="C61" s="69"/>
      <c r="D61" s="253"/>
      <c r="E61" s="69"/>
      <c r="F61" s="137">
        <f t="shared" si="2"/>
        <v>0</v>
      </c>
      <c r="I61" s="134"/>
      <c r="J61" s="139"/>
      <c r="K61" s="69"/>
      <c r="L61" s="140"/>
      <c r="M61" s="69"/>
      <c r="N61" s="137">
        <f t="shared" si="1"/>
        <v>0</v>
      </c>
    </row>
    <row r="62" spans="1:14" ht="15.75" hidden="1" x14ac:dyDescent="0.25">
      <c r="A62" s="134"/>
      <c r="B62" s="139"/>
      <c r="C62" s="69"/>
      <c r="D62" s="254"/>
      <c r="E62" s="69"/>
      <c r="F62" s="137">
        <f t="shared" si="2"/>
        <v>0</v>
      </c>
      <c r="I62" s="356"/>
      <c r="J62" s="357"/>
      <c r="K62" s="34"/>
      <c r="L62" s="147"/>
      <c r="M62" s="34"/>
      <c r="N62" s="137">
        <f t="shared" si="1"/>
        <v>0</v>
      </c>
    </row>
    <row r="63" spans="1:14" ht="15.75" hidden="1" x14ac:dyDescent="0.25">
      <c r="A63" s="134"/>
      <c r="B63" s="139"/>
      <c r="C63" s="69"/>
      <c r="D63" s="254"/>
      <c r="E63" s="69"/>
      <c r="F63" s="137">
        <f t="shared" si="2"/>
        <v>0</v>
      </c>
      <c r="I63" s="356"/>
      <c r="J63" s="357"/>
      <c r="K63" s="34"/>
      <c r="L63" s="147"/>
      <c r="M63" s="34"/>
      <c r="N63" s="137">
        <f t="shared" si="1"/>
        <v>0</v>
      </c>
    </row>
    <row r="64" spans="1:14" ht="15.75" hidden="1" x14ac:dyDescent="0.25">
      <c r="A64" s="134"/>
      <c r="B64" s="139"/>
      <c r="C64" s="69"/>
      <c r="D64" s="254"/>
      <c r="E64" s="69"/>
      <c r="F64" s="137">
        <f t="shared" si="2"/>
        <v>0</v>
      </c>
      <c r="I64" s="356"/>
      <c r="J64" s="357"/>
      <c r="K64" s="34"/>
      <c r="L64" s="147"/>
      <c r="M64" s="34"/>
      <c r="N64" s="137">
        <f t="shared" si="1"/>
        <v>0</v>
      </c>
    </row>
    <row r="65" spans="1:14" ht="15.75" hidden="1" x14ac:dyDescent="0.25">
      <c r="A65" s="134"/>
      <c r="B65" s="139"/>
      <c r="C65" s="69"/>
      <c r="D65" s="254"/>
      <c r="E65" s="69"/>
      <c r="F65" s="137">
        <f t="shared" si="2"/>
        <v>0</v>
      </c>
      <c r="I65" s="356"/>
      <c r="J65" s="357"/>
      <c r="K65" s="34"/>
      <c r="L65" s="147"/>
      <c r="M65" s="34"/>
      <c r="N65" s="137">
        <f t="shared" si="1"/>
        <v>0</v>
      </c>
    </row>
    <row r="66" spans="1:14" ht="15.75" hidden="1" x14ac:dyDescent="0.25">
      <c r="A66" s="134"/>
      <c r="B66" s="139"/>
      <c r="C66" s="69"/>
      <c r="D66" s="254"/>
      <c r="E66" s="69"/>
      <c r="F66" s="137">
        <f t="shared" si="2"/>
        <v>0</v>
      </c>
      <c r="I66" s="356"/>
      <c r="J66" s="357"/>
      <c r="K66" s="34"/>
      <c r="L66" s="147"/>
      <c r="M66" s="34"/>
      <c r="N66" s="137">
        <f t="shared" si="1"/>
        <v>0</v>
      </c>
    </row>
    <row r="67" spans="1:14" ht="15.75" hidden="1" x14ac:dyDescent="0.25">
      <c r="A67" s="356"/>
      <c r="B67" s="357"/>
      <c r="C67" s="34"/>
      <c r="D67" s="118"/>
      <c r="E67" s="34"/>
      <c r="F67" s="137">
        <f t="shared" si="2"/>
        <v>0</v>
      </c>
      <c r="I67" s="356"/>
      <c r="J67" s="357"/>
      <c r="K67" s="34"/>
      <c r="L67" s="147"/>
      <c r="M67" s="34"/>
      <c r="N67" s="137">
        <f t="shared" si="1"/>
        <v>0</v>
      </c>
    </row>
    <row r="68" spans="1:14" ht="15.75" hidden="1" x14ac:dyDescent="0.25">
      <c r="A68" s="134"/>
      <c r="B68" s="139"/>
      <c r="C68" s="69"/>
      <c r="D68" s="254"/>
      <c r="E68" s="69"/>
      <c r="F68" s="137">
        <f t="shared" si="2"/>
        <v>0</v>
      </c>
      <c r="I68" s="134"/>
      <c r="J68" s="139"/>
      <c r="K68" s="69"/>
      <c r="L68" s="148"/>
      <c r="M68" s="69"/>
      <c r="N68" s="137">
        <f t="shared" si="1"/>
        <v>0</v>
      </c>
    </row>
    <row r="69" spans="1:14" ht="15.75" hidden="1" x14ac:dyDescent="0.25">
      <c r="A69" s="134"/>
      <c r="B69" s="139"/>
      <c r="C69" s="69"/>
      <c r="D69" s="254"/>
      <c r="E69" s="69"/>
      <c r="F69" s="137">
        <f t="shared" si="2"/>
        <v>0</v>
      </c>
      <c r="I69" s="134"/>
      <c r="J69" s="139"/>
      <c r="K69" s="69"/>
      <c r="L69" s="148"/>
      <c r="M69" s="69"/>
      <c r="N69" s="137">
        <f t="shared" ref="N69:N78" si="3">N68+K69-M69</f>
        <v>0</v>
      </c>
    </row>
    <row r="70" spans="1:14" ht="15.75" hidden="1" x14ac:dyDescent="0.25">
      <c r="A70" s="134"/>
      <c r="B70" s="139"/>
      <c r="C70" s="69"/>
      <c r="D70" s="254"/>
      <c r="E70" s="69"/>
      <c r="F70" s="137">
        <f t="shared" si="2"/>
        <v>0</v>
      </c>
      <c r="I70" s="134"/>
      <c r="J70" s="139"/>
      <c r="K70" s="69"/>
      <c r="L70" s="148"/>
      <c r="M70" s="69"/>
      <c r="N70" s="137">
        <f t="shared" si="3"/>
        <v>0</v>
      </c>
    </row>
    <row r="71" spans="1:14" ht="15.75" hidden="1" x14ac:dyDescent="0.25">
      <c r="A71" s="134"/>
      <c r="B71" s="139"/>
      <c r="C71" s="69"/>
      <c r="D71" s="254"/>
      <c r="E71" s="69"/>
      <c r="F71" s="137">
        <f t="shared" si="2"/>
        <v>0</v>
      </c>
      <c r="I71" s="134"/>
      <c r="J71" s="139"/>
      <c r="K71" s="69"/>
      <c r="L71" s="148"/>
      <c r="M71" s="69"/>
      <c r="N71" s="137">
        <f t="shared" si="3"/>
        <v>0</v>
      </c>
    </row>
    <row r="72" spans="1:14" ht="15.75" hidden="1" x14ac:dyDescent="0.25">
      <c r="A72" s="134"/>
      <c r="B72" s="139"/>
      <c r="C72" s="69"/>
      <c r="D72" s="254"/>
      <c r="E72" s="69"/>
      <c r="F72" s="137">
        <f t="shared" si="2"/>
        <v>0</v>
      </c>
      <c r="I72" s="134"/>
      <c r="J72" s="139"/>
      <c r="K72" s="69"/>
      <c r="L72" s="148"/>
      <c r="M72" s="69"/>
      <c r="N72" s="137">
        <f t="shared" si="3"/>
        <v>0</v>
      </c>
    </row>
    <row r="73" spans="1:14" ht="15.75" hidden="1" x14ac:dyDescent="0.25">
      <c r="A73" s="134"/>
      <c r="B73" s="139"/>
      <c r="C73" s="69"/>
      <c r="D73" s="254"/>
      <c r="E73" s="69"/>
      <c r="F73" s="137">
        <f t="shared" si="2"/>
        <v>0</v>
      </c>
      <c r="I73" s="134"/>
      <c r="J73" s="139"/>
      <c r="K73" s="69"/>
      <c r="L73" s="148"/>
      <c r="M73" s="69"/>
      <c r="N73" s="137">
        <f t="shared" si="3"/>
        <v>0</v>
      </c>
    </row>
    <row r="74" spans="1:14" ht="15.75" hidden="1" x14ac:dyDescent="0.25">
      <c r="A74" s="134"/>
      <c r="B74" s="139"/>
      <c r="C74" s="69"/>
      <c r="D74" s="254"/>
      <c r="E74" s="69"/>
      <c r="F74" s="137">
        <f t="shared" si="2"/>
        <v>0</v>
      </c>
      <c r="I74" s="134"/>
      <c r="J74" s="139"/>
      <c r="K74" s="69"/>
      <c r="L74" s="148"/>
      <c r="M74" s="69"/>
      <c r="N74" s="137">
        <f t="shared" si="3"/>
        <v>0</v>
      </c>
    </row>
    <row r="75" spans="1:14" ht="15.75" hidden="1" x14ac:dyDescent="0.25">
      <c r="A75" s="134"/>
      <c r="B75" s="139"/>
      <c r="C75" s="69"/>
      <c r="D75" s="254"/>
      <c r="E75" s="69"/>
      <c r="F75" s="137">
        <f t="shared" si="2"/>
        <v>0</v>
      </c>
      <c r="I75" s="134"/>
      <c r="J75" s="139"/>
      <c r="K75" s="69"/>
      <c r="L75" s="148"/>
      <c r="M75" s="69"/>
      <c r="N75" s="137">
        <f t="shared" si="3"/>
        <v>0</v>
      </c>
    </row>
    <row r="76" spans="1:14" ht="15.75" hidden="1" x14ac:dyDescent="0.25">
      <c r="A76" s="134"/>
      <c r="B76" s="139"/>
      <c r="C76" s="69"/>
      <c r="D76" s="254"/>
      <c r="E76" s="69"/>
      <c r="F76" s="137">
        <f t="shared" si="2"/>
        <v>0</v>
      </c>
      <c r="I76" s="134"/>
      <c r="J76" s="139"/>
      <c r="K76" s="69"/>
      <c r="L76" s="148"/>
      <c r="M76" s="69"/>
      <c r="N76" s="137">
        <f t="shared" si="3"/>
        <v>0</v>
      </c>
    </row>
    <row r="77" spans="1:14" ht="15.75" hidden="1" x14ac:dyDescent="0.25">
      <c r="A77" s="134"/>
      <c r="B77" s="139"/>
      <c r="C77" s="69"/>
      <c r="D77" s="254"/>
      <c r="E77" s="69"/>
      <c r="F77" s="137">
        <f t="shared" si="2"/>
        <v>0</v>
      </c>
      <c r="I77" s="134"/>
      <c r="J77" s="139"/>
      <c r="K77" s="69"/>
      <c r="L77" s="148"/>
      <c r="M77" s="69"/>
      <c r="N77" s="137">
        <f t="shared" si="3"/>
        <v>0</v>
      </c>
    </row>
    <row r="78" spans="1:14" ht="16.5" thickBot="1" x14ac:dyDescent="0.3">
      <c r="A78" s="149"/>
      <c r="B78" s="210"/>
      <c r="C78" s="34">
        <v>0</v>
      </c>
      <c r="D78" s="255"/>
      <c r="E78" s="151"/>
      <c r="F78" s="137">
        <f t="shared" si="2"/>
        <v>0</v>
      </c>
      <c r="I78" s="149"/>
      <c r="J78" s="150"/>
      <c r="K78" s="151">
        <v>0</v>
      </c>
      <c r="L78" s="152"/>
      <c r="M78" s="151"/>
      <c r="N78" s="137">
        <f t="shared" si="3"/>
        <v>0</v>
      </c>
    </row>
    <row r="79" spans="1:14" ht="19.5" thickTop="1" x14ac:dyDescent="0.3">
      <c r="B79" s="440"/>
      <c r="C79" s="212">
        <f>SUM(C3:C78)</f>
        <v>1360260.3199999998</v>
      </c>
      <c r="D79" s="407"/>
      <c r="E79" s="395">
        <f>SUM(E3:E78)</f>
        <v>1360260.3199999998</v>
      </c>
      <c r="F79" s="153">
        <f>SUM(F3:F78)</f>
        <v>0</v>
      </c>
      <c r="K79" s="209">
        <f>SUM(K3:K78)</f>
        <v>206286.09999999998</v>
      </c>
      <c r="L79" s="477"/>
      <c r="M79" s="209">
        <f>SUM(M3:M78)</f>
        <v>206286.09999999998</v>
      </c>
      <c r="N79" s="153">
        <f>N78</f>
        <v>0</v>
      </c>
    </row>
    <row r="80" spans="1:14" ht="15.75" thickBot="1" x14ac:dyDescent="0.3">
      <c r="B80" s="441"/>
      <c r="C80" s="214"/>
      <c r="D80" s="256"/>
      <c r="E80" s="3"/>
      <c r="F80" s="888" t="s">
        <v>207</v>
      </c>
      <c r="K80" s="1"/>
      <c r="L80" s="97"/>
      <c r="M80" s="3"/>
      <c r="N80" s="1"/>
    </row>
    <row r="81" spans="1:14" x14ac:dyDescent="0.25">
      <c r="B81" s="163"/>
      <c r="C81" s="1"/>
      <c r="D81" s="256"/>
      <c r="E81" s="3"/>
      <c r="F81" s="889"/>
      <c r="K81" s="1"/>
      <c r="L81" s="97"/>
      <c r="M81" s="3"/>
      <c r="N81" s="1"/>
    </row>
    <row r="82" spans="1:14" ht="16.5" thickBot="1" x14ac:dyDescent="0.3">
      <c r="A82" s="456"/>
      <c r="B82" s="442"/>
      <c r="I82" s="481" t="s">
        <v>596</v>
      </c>
      <c r="J82" s="482"/>
      <c r="K82" s="483"/>
      <c r="L82" s="484"/>
      <c r="M82" s="483"/>
    </row>
    <row r="83" spans="1:14" x14ac:dyDescent="0.25">
      <c r="A83" s="456"/>
      <c r="B83" s="442"/>
      <c r="I83" s="926" t="s">
        <v>594</v>
      </c>
      <c r="J83" s="927"/>
    </row>
    <row r="84" spans="1:14" ht="19.5" thickBot="1" x14ac:dyDescent="0.35">
      <c r="A84" s="513" t="s">
        <v>598</v>
      </c>
      <c r="B84" s="514"/>
      <c r="C84" s="515"/>
      <c r="D84" s="491"/>
      <c r="I84" s="928"/>
      <c r="J84" s="929"/>
    </row>
    <row r="85" spans="1:14" x14ac:dyDescent="0.25">
      <c r="A85" s="456"/>
      <c r="B85" s="442"/>
      <c r="F85"/>
      <c r="I85"/>
      <c r="J85" s="194"/>
      <c r="N85"/>
    </row>
    <row r="86" spans="1:14" x14ac:dyDescent="0.25">
      <c r="A86" s="456"/>
      <c r="B86" s="442"/>
      <c r="F86"/>
      <c r="I86"/>
      <c r="J86" s="194"/>
      <c r="N86"/>
    </row>
    <row r="87" spans="1:14" x14ac:dyDescent="0.25">
      <c r="A87" s="509"/>
      <c r="B87" s="510"/>
      <c r="C87" s="129"/>
      <c r="F87"/>
      <c r="I87"/>
      <c r="J87" s="194"/>
      <c r="N87"/>
    </row>
    <row r="88" spans="1:14" x14ac:dyDescent="0.25">
      <c r="A88" s="509"/>
      <c r="B88" s="510"/>
      <c r="C88" s="129"/>
      <c r="F88"/>
      <c r="I88"/>
      <c r="J88" s="194"/>
      <c r="N88"/>
    </row>
    <row r="89" spans="1:14" ht="15.75" x14ac:dyDescent="0.25">
      <c r="A89" s="511"/>
      <c r="B89" s="512"/>
      <c r="C89" s="233"/>
      <c r="F89"/>
      <c r="I89"/>
      <c r="J89" s="194"/>
      <c r="N89"/>
    </row>
    <row r="90" spans="1:14" ht="15.75" x14ac:dyDescent="0.25">
      <c r="A90" s="511"/>
      <c r="B90" s="512"/>
      <c r="C90" s="233"/>
      <c r="F90"/>
      <c r="I90"/>
      <c r="J90" s="194"/>
      <c r="N90"/>
    </row>
    <row r="91" spans="1:14" ht="15.75" x14ac:dyDescent="0.25">
      <c r="A91" s="511"/>
      <c r="B91" s="512"/>
      <c r="C91" s="233"/>
      <c r="F91"/>
      <c r="I91"/>
      <c r="J91" s="194"/>
      <c r="N91"/>
    </row>
    <row r="92" spans="1:14" ht="15.75" x14ac:dyDescent="0.25">
      <c r="A92" s="511"/>
      <c r="B92" s="512"/>
      <c r="C92" s="233"/>
      <c r="F92"/>
      <c r="I92"/>
      <c r="J92" s="194"/>
      <c r="N92"/>
    </row>
    <row r="93" spans="1:14" ht="15.75" x14ac:dyDescent="0.25">
      <c r="A93" s="511"/>
      <c r="B93" s="512"/>
      <c r="C93" s="233"/>
      <c r="F93"/>
      <c r="I93"/>
      <c r="J93" s="194"/>
      <c r="N93"/>
    </row>
    <row r="94" spans="1:14" x14ac:dyDescent="0.25">
      <c r="A94" s="509"/>
      <c r="B94" s="510"/>
      <c r="C94" s="129"/>
      <c r="E94"/>
      <c r="F94"/>
      <c r="I94"/>
      <c r="J94" s="194"/>
      <c r="M94"/>
      <c r="N94"/>
    </row>
    <row r="95" spans="1:14" x14ac:dyDescent="0.25">
      <c r="A95" s="509"/>
      <c r="B95" s="510"/>
      <c r="C95" s="129"/>
      <c r="E95"/>
      <c r="F95"/>
      <c r="I95"/>
      <c r="J95" s="194"/>
      <c r="M95"/>
      <c r="N95"/>
    </row>
    <row r="96" spans="1:14" x14ac:dyDescent="0.25">
      <c r="A96" s="456"/>
      <c r="B96" s="442"/>
      <c r="E96"/>
      <c r="F96"/>
      <c r="I96"/>
      <c r="J96" s="194"/>
      <c r="M96"/>
      <c r="N96"/>
    </row>
    <row r="97" spans="1:14" x14ac:dyDescent="0.25">
      <c r="A97" s="456"/>
      <c r="B97" s="442"/>
      <c r="E97"/>
      <c r="F97"/>
      <c r="I97"/>
      <c r="J97" s="194"/>
      <c r="M97"/>
      <c r="N97"/>
    </row>
    <row r="98" spans="1:14" x14ac:dyDescent="0.25">
      <c r="A98" s="456"/>
      <c r="B98" s="442"/>
      <c r="E98"/>
      <c r="F98"/>
      <c r="I98"/>
      <c r="J98" s="194"/>
      <c r="M98"/>
      <c r="N98"/>
    </row>
    <row r="99" spans="1:14" x14ac:dyDescent="0.25">
      <c r="A99" s="456"/>
      <c r="B99" s="442"/>
      <c r="E99"/>
      <c r="F99"/>
      <c r="I99"/>
      <c r="J99" s="194"/>
      <c r="M99"/>
      <c r="N99"/>
    </row>
    <row r="100" spans="1:14" x14ac:dyDescent="0.25">
      <c r="B100" s="442"/>
      <c r="E100"/>
      <c r="J100" s="194"/>
      <c r="M100"/>
    </row>
    <row r="101" spans="1:14" x14ac:dyDescent="0.25">
      <c r="B101" s="442"/>
      <c r="E101"/>
      <c r="J101" s="194"/>
      <c r="M101"/>
    </row>
    <row r="102" spans="1:14" x14ac:dyDescent="0.25">
      <c r="B102" s="442"/>
      <c r="E102"/>
      <c r="J102" s="194"/>
      <c r="M102"/>
    </row>
    <row r="103" spans="1:14" x14ac:dyDescent="0.25">
      <c r="B103" s="442"/>
      <c r="E103"/>
      <c r="J103" s="194"/>
      <c r="M103"/>
    </row>
    <row r="104" spans="1:14" x14ac:dyDescent="0.25">
      <c r="B104" s="442"/>
      <c r="E104"/>
      <c r="J104" s="194"/>
      <c r="M104"/>
    </row>
    <row r="105" spans="1:14" x14ac:dyDescent="0.25">
      <c r="B105" s="442"/>
      <c r="E105"/>
      <c r="J105" s="194"/>
      <c r="M105"/>
    </row>
    <row r="106" spans="1:14" x14ac:dyDescent="0.25">
      <c r="B106" s="442"/>
      <c r="E106"/>
      <c r="J106" s="194"/>
      <c r="M106"/>
    </row>
    <row r="107" spans="1:14" x14ac:dyDescent="0.25">
      <c r="B107" s="442"/>
      <c r="E107"/>
      <c r="J107" s="194"/>
      <c r="M107"/>
    </row>
    <row r="108" spans="1:14" x14ac:dyDescent="0.25">
      <c r="B108" s="442"/>
      <c r="E108"/>
      <c r="J108" s="194"/>
      <c r="M108"/>
    </row>
    <row r="109" spans="1:14" x14ac:dyDescent="0.25">
      <c r="B109" s="442"/>
      <c r="J109" s="194"/>
    </row>
    <row r="110" spans="1:14" x14ac:dyDescent="0.25">
      <c r="B110" s="442"/>
      <c r="J110" s="194"/>
    </row>
    <row r="111" spans="1:14" x14ac:dyDescent="0.25">
      <c r="B111" s="442"/>
      <c r="J111" s="194"/>
    </row>
    <row r="112" spans="1:14" x14ac:dyDescent="0.25">
      <c r="B112" s="442"/>
      <c r="J112" s="194"/>
    </row>
    <row r="113" spans="2:11" x14ac:dyDescent="0.25">
      <c r="B113" s="442"/>
      <c r="J113" s="194"/>
    </row>
    <row r="114" spans="2:11" x14ac:dyDescent="0.25">
      <c r="B114" s="442"/>
      <c r="J114" s="194"/>
    </row>
    <row r="115" spans="2:11" ht="18.75" x14ac:dyDescent="0.3">
      <c r="C115" s="154"/>
      <c r="K115" s="154"/>
    </row>
  </sheetData>
  <mergeCells count="3">
    <mergeCell ref="F80:F81"/>
    <mergeCell ref="I83:J84"/>
    <mergeCell ref="I44:J46"/>
  </mergeCells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Z98"/>
  <sheetViews>
    <sheetView topLeftCell="H19" workbookViewId="0">
      <selection activeCell="M30" sqref="M30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11.85546875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7.5703125" style="1" bestFit="1" customWidth="1"/>
    <col min="15" max="15" width="8.85546875" bestFit="1" customWidth="1"/>
    <col min="16" max="16" width="16.85546875" customWidth="1"/>
    <col min="17" max="17" width="21.28515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826"/>
      <c r="C1" s="892" t="s">
        <v>620</v>
      </c>
      <c r="D1" s="893"/>
      <c r="E1" s="893"/>
      <c r="F1" s="893"/>
      <c r="G1" s="893"/>
      <c r="H1" s="893"/>
      <c r="I1" s="893"/>
      <c r="J1" s="893"/>
      <c r="K1" s="893"/>
      <c r="L1" s="893"/>
      <c r="M1" s="893"/>
    </row>
    <row r="2" spans="1:25" ht="16.5" thickBot="1" x14ac:dyDescent="0.3">
      <c r="B2" s="827"/>
      <c r="C2" s="3"/>
      <c r="H2" s="5"/>
      <c r="I2" s="6"/>
      <c r="J2" s="7"/>
      <c r="L2" s="8"/>
      <c r="M2" s="6"/>
      <c r="N2" s="9"/>
    </row>
    <row r="3" spans="1:25" ht="21.75" thickBot="1" x14ac:dyDescent="0.35">
      <c r="B3" s="830" t="s">
        <v>0</v>
      </c>
      <c r="C3" s="831"/>
      <c r="D3" s="10"/>
      <c r="E3" s="11"/>
      <c r="F3" s="11"/>
      <c r="H3" s="832" t="s">
        <v>26</v>
      </c>
      <c r="I3" s="832"/>
      <c r="K3" s="165"/>
      <c r="L3" s="13"/>
      <c r="M3" s="14"/>
      <c r="P3" s="869" t="s">
        <v>6</v>
      </c>
      <c r="R3" s="890" t="s">
        <v>216</v>
      </c>
    </row>
    <row r="4" spans="1:25" ht="32.25" thickTop="1" thickBot="1" x14ac:dyDescent="0.35">
      <c r="A4" s="15" t="s">
        <v>1</v>
      </c>
      <c r="B4" s="16"/>
      <c r="C4" s="17">
        <v>1792817.68</v>
      </c>
      <c r="D4" s="18">
        <v>44647</v>
      </c>
      <c r="E4" s="833" t="s">
        <v>2</v>
      </c>
      <c r="F4" s="834"/>
      <c r="H4" s="835" t="s">
        <v>3</v>
      </c>
      <c r="I4" s="836"/>
      <c r="J4" s="19"/>
      <c r="K4" s="166"/>
      <c r="L4" s="20"/>
      <c r="M4" s="21" t="s">
        <v>4</v>
      </c>
      <c r="N4" s="22" t="s">
        <v>5</v>
      </c>
      <c r="P4" s="870"/>
      <c r="Q4" s="322" t="s">
        <v>217</v>
      </c>
      <c r="R4" s="891"/>
      <c r="W4" s="879" t="s">
        <v>124</v>
      </c>
      <c r="X4" s="879"/>
      <c r="Y4" s="227"/>
    </row>
    <row r="5" spans="1:25" ht="18" thickBot="1" x14ac:dyDescent="0.35">
      <c r="A5" s="23" t="s">
        <v>7</v>
      </c>
      <c r="B5" s="24">
        <v>44648</v>
      </c>
      <c r="C5" s="25">
        <v>3368</v>
      </c>
      <c r="D5" s="26" t="s">
        <v>621</v>
      </c>
      <c r="E5" s="27">
        <v>44648</v>
      </c>
      <c r="F5" s="28">
        <v>121665</v>
      </c>
      <c r="G5" s="2"/>
      <c r="H5" s="29">
        <v>44648</v>
      </c>
      <c r="I5" s="30">
        <v>1321</v>
      </c>
      <c r="J5" s="37"/>
      <c r="K5" s="31"/>
      <c r="L5" s="9"/>
      <c r="M5" s="32">
        <v>66588</v>
      </c>
      <c r="N5" s="33">
        <v>50388</v>
      </c>
      <c r="O5" s="318"/>
      <c r="P5" s="34">
        <f>N5+M5+L5+I5+C5</f>
        <v>121665</v>
      </c>
      <c r="Q5" s="325">
        <f>P5-F5</f>
        <v>0</v>
      </c>
      <c r="R5" s="379">
        <v>0</v>
      </c>
      <c r="S5" s="324"/>
      <c r="W5" s="879"/>
      <c r="X5" s="879"/>
      <c r="Y5" s="233"/>
    </row>
    <row r="6" spans="1:25" ht="18" thickBot="1" x14ac:dyDescent="0.35">
      <c r="A6" s="23"/>
      <c r="B6" s="24">
        <v>44649</v>
      </c>
      <c r="C6" s="25">
        <v>20069.5</v>
      </c>
      <c r="D6" s="35" t="s">
        <v>622</v>
      </c>
      <c r="E6" s="27">
        <v>44649</v>
      </c>
      <c r="F6" s="28">
        <v>63399</v>
      </c>
      <c r="G6" s="2"/>
      <c r="H6" s="36">
        <v>44649</v>
      </c>
      <c r="I6" s="30">
        <v>1812.5</v>
      </c>
      <c r="J6" s="37"/>
      <c r="K6" s="38"/>
      <c r="L6" s="39"/>
      <c r="M6" s="32">
        <v>22578</v>
      </c>
      <c r="N6" s="33">
        <v>18939</v>
      </c>
      <c r="O6" s="2"/>
      <c r="P6" s="39">
        <f>N6+M6+L6+I6+C6</f>
        <v>63399</v>
      </c>
      <c r="Q6" s="325">
        <f t="shared" ref="Q6:Q32" si="0">P6-F6</f>
        <v>0</v>
      </c>
      <c r="R6" s="319">
        <v>0</v>
      </c>
      <c r="S6" s="147"/>
      <c r="T6" s="128"/>
      <c r="U6" s="380"/>
      <c r="W6" s="234">
        <v>0</v>
      </c>
      <c r="X6" s="237"/>
      <c r="Y6" s="13"/>
    </row>
    <row r="7" spans="1:25" ht="18" thickBot="1" x14ac:dyDescent="0.35">
      <c r="A7" s="23"/>
      <c r="B7" s="24">
        <v>44650</v>
      </c>
      <c r="C7" s="25">
        <v>5606</v>
      </c>
      <c r="D7" s="40" t="s">
        <v>623</v>
      </c>
      <c r="E7" s="27">
        <v>44650</v>
      </c>
      <c r="F7" s="28">
        <v>87430</v>
      </c>
      <c r="G7" s="2"/>
      <c r="H7" s="36">
        <v>44650</v>
      </c>
      <c r="I7" s="30">
        <v>1580</v>
      </c>
      <c r="J7" s="37"/>
      <c r="K7" s="38"/>
      <c r="L7" s="39"/>
      <c r="M7" s="32">
        <v>45014</v>
      </c>
      <c r="N7" s="33">
        <v>36285</v>
      </c>
      <c r="O7" s="224"/>
      <c r="P7" s="39">
        <f>N7+M7+L7+I7+C7</f>
        <v>88485</v>
      </c>
      <c r="Q7" s="325">
        <v>0</v>
      </c>
      <c r="R7" s="388">
        <v>1055</v>
      </c>
      <c r="S7" s="147"/>
      <c r="T7" s="128"/>
      <c r="U7" s="34">
        <v>0</v>
      </c>
      <c r="W7" s="234">
        <v>0</v>
      </c>
      <c r="X7" s="237"/>
      <c r="Y7" s="13"/>
    </row>
    <row r="8" spans="1:25" ht="18" thickBot="1" x14ac:dyDescent="0.35">
      <c r="A8" s="23"/>
      <c r="B8" s="24">
        <v>44651</v>
      </c>
      <c r="C8" s="25">
        <v>13705</v>
      </c>
      <c r="D8" s="42" t="s">
        <v>624</v>
      </c>
      <c r="E8" s="27">
        <v>44651</v>
      </c>
      <c r="F8" s="28">
        <v>76401</v>
      </c>
      <c r="G8" s="2"/>
      <c r="H8" s="36">
        <v>44651</v>
      </c>
      <c r="I8" s="30">
        <v>2835</v>
      </c>
      <c r="J8" s="43"/>
      <c r="K8" s="38"/>
      <c r="L8" s="39"/>
      <c r="M8" s="32">
        <v>38613</v>
      </c>
      <c r="N8" s="33">
        <v>21248</v>
      </c>
      <c r="O8" s="2"/>
      <c r="P8" s="39">
        <f t="shared" ref="P8:P40" si="1">N8+M8+L8+I8+C8</f>
        <v>76401</v>
      </c>
      <c r="Q8" s="325">
        <f t="shared" si="0"/>
        <v>0</v>
      </c>
      <c r="R8" s="319">
        <v>0</v>
      </c>
      <c r="S8" s="147"/>
      <c r="T8" s="128"/>
      <c r="U8" s="34">
        <v>0</v>
      </c>
      <c r="W8" s="234">
        <v>0</v>
      </c>
      <c r="X8" s="237"/>
      <c r="Y8" s="13"/>
    </row>
    <row r="9" spans="1:25" ht="18" thickBot="1" x14ac:dyDescent="0.35">
      <c r="A9" s="23"/>
      <c r="B9" s="24">
        <v>44652</v>
      </c>
      <c r="C9" s="25">
        <v>12457</v>
      </c>
      <c r="D9" s="42" t="s">
        <v>625</v>
      </c>
      <c r="E9" s="27">
        <v>44652</v>
      </c>
      <c r="F9" s="28">
        <v>101172</v>
      </c>
      <c r="G9" s="2"/>
      <c r="H9" s="36">
        <v>44652</v>
      </c>
      <c r="I9" s="30">
        <v>7222</v>
      </c>
      <c r="J9" s="37"/>
      <c r="K9" s="223"/>
      <c r="L9" s="39"/>
      <c r="M9" s="32">
        <v>50714.5</v>
      </c>
      <c r="N9" s="33">
        <v>30778</v>
      </c>
      <c r="O9" s="2"/>
      <c r="P9" s="39">
        <f t="shared" si="1"/>
        <v>101171.5</v>
      </c>
      <c r="Q9" s="317">
        <f t="shared" si="0"/>
        <v>-0.5</v>
      </c>
      <c r="R9" s="319">
        <v>0</v>
      </c>
      <c r="S9" s="147"/>
      <c r="T9" s="128"/>
      <c r="U9" s="34">
        <v>0</v>
      </c>
      <c r="W9" s="234">
        <v>0</v>
      </c>
      <c r="X9" s="238"/>
      <c r="Y9" s="13"/>
    </row>
    <row r="10" spans="1:25" ht="18" thickBot="1" x14ac:dyDescent="0.35">
      <c r="A10" s="23"/>
      <c r="B10" s="24">
        <v>44653</v>
      </c>
      <c r="C10" s="25">
        <v>7464</v>
      </c>
      <c r="D10" s="40" t="s">
        <v>626</v>
      </c>
      <c r="E10" s="27">
        <v>44653</v>
      </c>
      <c r="F10" s="28">
        <v>125353</v>
      </c>
      <c r="G10" s="2"/>
      <c r="H10" s="36">
        <v>44653</v>
      </c>
      <c r="I10" s="30">
        <v>5404</v>
      </c>
      <c r="J10" s="37">
        <v>44653</v>
      </c>
      <c r="K10" s="167" t="s">
        <v>627</v>
      </c>
      <c r="L10" s="45">
        <v>18725.98</v>
      </c>
      <c r="M10" s="32">
        <v>45200</v>
      </c>
      <c r="N10" s="33">
        <v>48562</v>
      </c>
      <c r="O10" s="2"/>
      <c r="P10" s="39">
        <f>N10+M10+L10+I10+C10</f>
        <v>125355.98</v>
      </c>
      <c r="Q10" s="325">
        <f t="shared" si="0"/>
        <v>2.9799999999959255</v>
      </c>
      <c r="R10" s="319">
        <v>0</v>
      </c>
      <c r="S10" s="147"/>
      <c r="T10" s="128"/>
      <c r="U10" s="34">
        <v>0</v>
      </c>
      <c r="W10" s="234">
        <v>0</v>
      </c>
      <c r="X10" s="238"/>
      <c r="Y10" s="13"/>
    </row>
    <row r="11" spans="1:25" ht="18" thickBot="1" x14ac:dyDescent="0.35">
      <c r="A11" s="23"/>
      <c r="B11" s="24">
        <v>44654</v>
      </c>
      <c r="C11" s="25">
        <v>15824</v>
      </c>
      <c r="D11" s="35" t="s">
        <v>628</v>
      </c>
      <c r="E11" s="27">
        <v>44654</v>
      </c>
      <c r="F11" s="28">
        <v>87054</v>
      </c>
      <c r="G11" s="2"/>
      <c r="H11" s="36">
        <v>44654</v>
      </c>
      <c r="I11" s="30">
        <v>1419.5</v>
      </c>
      <c r="J11" s="43"/>
      <c r="K11" s="168"/>
      <c r="L11" s="39"/>
      <c r="M11" s="32">
        <v>75362.5</v>
      </c>
      <c r="N11" s="33">
        <v>23086</v>
      </c>
      <c r="O11" s="2"/>
      <c r="P11" s="39">
        <f t="shared" si="1"/>
        <v>115692</v>
      </c>
      <c r="Q11" s="325">
        <v>0</v>
      </c>
      <c r="R11" s="388">
        <v>28638</v>
      </c>
      <c r="S11" s="147"/>
      <c r="T11" s="128"/>
      <c r="U11" s="34">
        <v>0</v>
      </c>
      <c r="W11" s="234">
        <v>0</v>
      </c>
      <c r="X11" s="237"/>
      <c r="Y11" s="13"/>
    </row>
    <row r="12" spans="1:25" ht="18" thickBot="1" x14ac:dyDescent="0.35">
      <c r="A12" s="23"/>
      <c r="B12" s="24">
        <v>44655</v>
      </c>
      <c r="C12" s="25">
        <v>20396</v>
      </c>
      <c r="D12" s="35" t="s">
        <v>629</v>
      </c>
      <c r="E12" s="27">
        <v>44655</v>
      </c>
      <c r="F12" s="28">
        <v>110632</v>
      </c>
      <c r="G12" s="2"/>
      <c r="H12" s="36">
        <v>44655</v>
      </c>
      <c r="I12" s="30">
        <v>1651</v>
      </c>
      <c r="J12" s="37"/>
      <c r="K12" s="169"/>
      <c r="L12" s="39"/>
      <c r="M12" s="32">
        <v>48559</v>
      </c>
      <c r="N12" s="33">
        <v>40026</v>
      </c>
      <c r="O12" s="328"/>
      <c r="P12" s="39">
        <f t="shared" si="1"/>
        <v>110632</v>
      </c>
      <c r="Q12" s="325">
        <f t="shared" si="0"/>
        <v>0</v>
      </c>
      <c r="R12" s="319">
        <v>0</v>
      </c>
      <c r="S12" s="147"/>
      <c r="T12" s="128"/>
      <c r="U12" s="34">
        <f>SUM(U7:U11)</f>
        <v>0</v>
      </c>
      <c r="W12" s="234">
        <v>0</v>
      </c>
      <c r="X12" s="237"/>
      <c r="Y12" s="13"/>
    </row>
    <row r="13" spans="1:25" ht="18" thickBot="1" x14ac:dyDescent="0.35">
      <c r="A13" s="23"/>
      <c r="B13" s="24">
        <v>44656</v>
      </c>
      <c r="C13" s="25">
        <v>14935.5</v>
      </c>
      <c r="D13" s="42" t="s">
        <v>630</v>
      </c>
      <c r="E13" s="27">
        <v>44656</v>
      </c>
      <c r="F13" s="28">
        <v>91313</v>
      </c>
      <c r="G13" s="2"/>
      <c r="H13" s="36">
        <v>44656</v>
      </c>
      <c r="I13" s="30">
        <v>2222.5</v>
      </c>
      <c r="J13" s="37"/>
      <c r="K13" s="38"/>
      <c r="L13" s="39"/>
      <c r="M13" s="32">
        <v>52480</v>
      </c>
      <c r="N13" s="33">
        <v>21675</v>
      </c>
      <c r="O13" s="2"/>
      <c r="P13" s="39">
        <f t="shared" si="1"/>
        <v>91313</v>
      </c>
      <c r="Q13" s="325">
        <f t="shared" si="0"/>
        <v>0</v>
      </c>
      <c r="R13" s="319">
        <v>0</v>
      </c>
      <c r="S13" s="381"/>
      <c r="T13" s="128"/>
      <c r="U13" s="34"/>
      <c r="W13" s="234">
        <v>0</v>
      </c>
      <c r="X13" s="237"/>
      <c r="Y13" s="13"/>
    </row>
    <row r="14" spans="1:25" ht="18" thickBot="1" x14ac:dyDescent="0.35">
      <c r="A14" s="23"/>
      <c r="B14" s="24">
        <v>44657</v>
      </c>
      <c r="C14" s="25">
        <v>11860</v>
      </c>
      <c r="D14" s="40" t="s">
        <v>631</v>
      </c>
      <c r="E14" s="27">
        <v>44657</v>
      </c>
      <c r="F14" s="28">
        <v>92801</v>
      </c>
      <c r="G14" s="2"/>
      <c r="H14" s="36">
        <v>44657</v>
      </c>
      <c r="I14" s="30">
        <v>4649</v>
      </c>
      <c r="J14" s="37"/>
      <c r="K14" s="38"/>
      <c r="L14" s="39"/>
      <c r="M14" s="32">
        <v>53976</v>
      </c>
      <c r="N14" s="33">
        <v>32114</v>
      </c>
      <c r="O14" s="2"/>
      <c r="P14" s="39">
        <f t="shared" si="1"/>
        <v>102599</v>
      </c>
      <c r="Q14" s="325">
        <v>0</v>
      </c>
      <c r="R14" s="388">
        <v>9798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44658</v>
      </c>
      <c r="C15" s="25">
        <v>8090</v>
      </c>
      <c r="D15" s="40" t="s">
        <v>237</v>
      </c>
      <c r="E15" s="27">
        <v>44658</v>
      </c>
      <c r="F15" s="28">
        <v>75862</v>
      </c>
      <c r="G15" s="2"/>
      <c r="H15" s="36">
        <v>44658</v>
      </c>
      <c r="I15" s="30">
        <v>1192</v>
      </c>
      <c r="J15" s="37"/>
      <c r="K15" s="38"/>
      <c r="L15" s="39"/>
      <c r="M15" s="32">
        <v>44706</v>
      </c>
      <c r="N15" s="33">
        <v>21874</v>
      </c>
      <c r="P15" s="39">
        <f t="shared" si="1"/>
        <v>75862</v>
      </c>
      <c r="Q15" s="325">
        <f t="shared" si="0"/>
        <v>0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44659</v>
      </c>
      <c r="C16" s="25">
        <v>17672</v>
      </c>
      <c r="D16" s="35" t="s">
        <v>632</v>
      </c>
      <c r="E16" s="27">
        <v>44659</v>
      </c>
      <c r="F16" s="28">
        <v>106532</v>
      </c>
      <c r="G16" s="2"/>
      <c r="H16" s="36">
        <v>44659</v>
      </c>
      <c r="I16" s="30">
        <v>10802.5</v>
      </c>
      <c r="J16" s="37"/>
      <c r="K16" s="169"/>
      <c r="L16" s="9"/>
      <c r="M16" s="32">
        <v>46655.5</v>
      </c>
      <c r="N16" s="33">
        <v>31402</v>
      </c>
      <c r="O16" s="330"/>
      <c r="P16" s="39">
        <f t="shared" si="1"/>
        <v>106532</v>
      </c>
      <c r="Q16" s="325">
        <f t="shared" si="0"/>
        <v>0</v>
      </c>
      <c r="R16" s="319">
        <v>0</v>
      </c>
      <c r="S16" s="331"/>
      <c r="W16" s="234">
        <v>0</v>
      </c>
      <c r="X16" s="239"/>
      <c r="Y16" s="233"/>
    </row>
    <row r="17" spans="1:26" ht="18" thickBot="1" x14ac:dyDescent="0.35">
      <c r="A17" s="23"/>
      <c r="B17" s="24">
        <v>44660</v>
      </c>
      <c r="C17" s="25">
        <v>20121</v>
      </c>
      <c r="D17" s="42" t="s">
        <v>633</v>
      </c>
      <c r="E17" s="27">
        <v>44660</v>
      </c>
      <c r="F17" s="28">
        <v>123571</v>
      </c>
      <c r="G17" s="2"/>
      <c r="H17" s="36">
        <v>44660</v>
      </c>
      <c r="I17" s="30">
        <v>7186.5</v>
      </c>
      <c r="J17" s="37">
        <v>44660</v>
      </c>
      <c r="K17" s="38" t="s">
        <v>634</v>
      </c>
      <c r="L17" s="45">
        <v>20363</v>
      </c>
      <c r="M17" s="32">
        <v>31634.5</v>
      </c>
      <c r="N17" s="33">
        <v>44266</v>
      </c>
      <c r="P17" s="39">
        <f t="shared" si="1"/>
        <v>123571</v>
      </c>
      <c r="Q17" s="325">
        <f t="shared" si="0"/>
        <v>0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44661</v>
      </c>
      <c r="C18" s="25">
        <v>19394</v>
      </c>
      <c r="D18" s="35" t="s">
        <v>635</v>
      </c>
      <c r="E18" s="27">
        <v>44661</v>
      </c>
      <c r="F18" s="28">
        <v>78602</v>
      </c>
      <c r="G18" s="2"/>
      <c r="H18" s="36">
        <v>44661</v>
      </c>
      <c r="I18" s="30">
        <v>2156.5</v>
      </c>
      <c r="J18" s="37"/>
      <c r="K18" s="170"/>
      <c r="L18" s="39"/>
      <c r="M18" s="32">
        <v>32400</v>
      </c>
      <c r="N18" s="33">
        <v>24653</v>
      </c>
      <c r="P18" s="39">
        <f t="shared" si="1"/>
        <v>78603.5</v>
      </c>
      <c r="Q18" s="325">
        <f t="shared" si="0"/>
        <v>1.5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44662</v>
      </c>
      <c r="C19" s="25">
        <v>37019.5</v>
      </c>
      <c r="D19" s="35" t="s">
        <v>636</v>
      </c>
      <c r="E19" s="27">
        <v>44662</v>
      </c>
      <c r="F19" s="28">
        <v>99617</v>
      </c>
      <c r="G19" s="2"/>
      <c r="H19" s="36">
        <v>44662</v>
      </c>
      <c r="I19" s="30">
        <v>899.5</v>
      </c>
      <c r="J19" s="37"/>
      <c r="K19" s="46"/>
      <c r="L19" s="47"/>
      <c r="M19" s="32">
        <v>19790</v>
      </c>
      <c r="N19" s="33">
        <v>41908</v>
      </c>
      <c r="P19" s="39">
        <f t="shared" si="1"/>
        <v>99617</v>
      </c>
      <c r="Q19" s="325">
        <f t="shared" si="0"/>
        <v>0</v>
      </c>
      <c r="R19" s="319">
        <v>0</v>
      </c>
      <c r="S19" s="147"/>
      <c r="W19" s="883">
        <f>SUM(W6:W18)</f>
        <v>0</v>
      </c>
      <c r="X19" s="240"/>
      <c r="Y19" s="233"/>
    </row>
    <row r="20" spans="1:26" ht="18" thickBot="1" x14ac:dyDescent="0.35">
      <c r="A20" s="23"/>
      <c r="B20" s="24">
        <v>44663</v>
      </c>
      <c r="C20" s="25">
        <v>13442</v>
      </c>
      <c r="D20" s="35" t="s">
        <v>637</v>
      </c>
      <c r="E20" s="27">
        <v>44663</v>
      </c>
      <c r="F20" s="28">
        <v>90870</v>
      </c>
      <c r="G20" s="2"/>
      <c r="H20" s="36">
        <v>44663</v>
      </c>
      <c r="I20" s="30">
        <v>1715</v>
      </c>
      <c r="J20" s="37"/>
      <c r="K20" s="171"/>
      <c r="L20" s="45"/>
      <c r="M20" s="32">
        <v>36429</v>
      </c>
      <c r="N20" s="33">
        <v>39283</v>
      </c>
      <c r="P20" s="39">
        <f t="shared" si="1"/>
        <v>90869</v>
      </c>
      <c r="Q20" s="317">
        <f t="shared" si="0"/>
        <v>-1</v>
      </c>
      <c r="R20" s="319">
        <v>0</v>
      </c>
      <c r="S20" s="147"/>
      <c r="W20" s="884"/>
      <c r="X20" s="268"/>
      <c r="Y20" s="233"/>
    </row>
    <row r="21" spans="1:26" ht="18" thickBot="1" x14ac:dyDescent="0.35">
      <c r="A21" s="23"/>
      <c r="B21" s="24">
        <v>44664</v>
      </c>
      <c r="C21" s="25">
        <v>8539</v>
      </c>
      <c r="D21" s="35" t="s">
        <v>638</v>
      </c>
      <c r="E21" s="27">
        <v>44664</v>
      </c>
      <c r="F21" s="28">
        <v>95475</v>
      </c>
      <c r="G21" s="2"/>
      <c r="H21" s="36">
        <v>44664</v>
      </c>
      <c r="I21" s="30">
        <v>2376.5</v>
      </c>
      <c r="J21" s="37"/>
      <c r="K21" s="48"/>
      <c r="L21" s="45"/>
      <c r="M21" s="32">
        <v>55154.5</v>
      </c>
      <c r="N21" s="33">
        <v>29405</v>
      </c>
      <c r="P21" s="39">
        <f t="shared" si="1"/>
        <v>95475</v>
      </c>
      <c r="Q21" s="325">
        <f t="shared" si="0"/>
        <v>0</v>
      </c>
      <c r="R21" s="319">
        <v>0</v>
      </c>
      <c r="S21" s="147"/>
      <c r="W21" s="885"/>
      <c r="X21" s="885"/>
      <c r="Y21" s="233"/>
      <c r="Z21" s="128"/>
    </row>
    <row r="22" spans="1:26" ht="18" thickBot="1" x14ac:dyDescent="0.35">
      <c r="A22" s="23"/>
      <c r="B22" s="24">
        <v>44665</v>
      </c>
      <c r="C22" s="25">
        <v>17441</v>
      </c>
      <c r="D22" s="35" t="s">
        <v>639</v>
      </c>
      <c r="E22" s="27">
        <v>44665</v>
      </c>
      <c r="F22" s="28">
        <v>136630</v>
      </c>
      <c r="G22" s="2"/>
      <c r="H22" s="36">
        <v>44665</v>
      </c>
      <c r="I22" s="30">
        <v>2063</v>
      </c>
      <c r="J22" s="37"/>
      <c r="K22" s="31"/>
      <c r="L22" s="49"/>
      <c r="M22" s="32">
        <v>84420</v>
      </c>
      <c r="N22" s="33">
        <v>32706</v>
      </c>
      <c r="P22" s="39">
        <f t="shared" si="1"/>
        <v>136630</v>
      </c>
      <c r="Q22" s="325">
        <f t="shared" si="0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44666</v>
      </c>
      <c r="C23" s="25">
        <v>0</v>
      </c>
      <c r="D23" s="35"/>
      <c r="E23" s="27">
        <v>44666</v>
      </c>
      <c r="F23" s="28">
        <v>87396</v>
      </c>
      <c r="G23" s="2"/>
      <c r="H23" s="36">
        <v>44666</v>
      </c>
      <c r="I23" s="30">
        <v>1960</v>
      </c>
      <c r="J23" s="50"/>
      <c r="K23" s="172"/>
      <c r="L23" s="45"/>
      <c r="M23" s="32">
        <v>53912</v>
      </c>
      <c r="N23" s="33">
        <v>31524</v>
      </c>
      <c r="P23" s="39">
        <f t="shared" si="1"/>
        <v>87396</v>
      </c>
      <c r="Q23" s="325">
        <f t="shared" si="0"/>
        <v>0</v>
      </c>
      <c r="R23" s="319">
        <v>0</v>
      </c>
      <c r="S23" s="147"/>
      <c r="W23" s="886"/>
      <c r="X23" s="886"/>
      <c r="Y23" s="233"/>
      <c r="Z23" s="128"/>
    </row>
    <row r="24" spans="1:26" ht="18" thickBot="1" x14ac:dyDescent="0.35">
      <c r="A24" s="23"/>
      <c r="B24" s="24">
        <v>44667</v>
      </c>
      <c r="C24" s="25">
        <v>13715</v>
      </c>
      <c r="D24" s="42" t="s">
        <v>640</v>
      </c>
      <c r="E24" s="27">
        <v>44667</v>
      </c>
      <c r="F24" s="28">
        <v>149665</v>
      </c>
      <c r="G24" s="2"/>
      <c r="H24" s="36">
        <v>44667</v>
      </c>
      <c r="I24" s="30">
        <v>3412</v>
      </c>
      <c r="J24" s="51">
        <v>44667</v>
      </c>
      <c r="K24" s="173" t="s">
        <v>641</v>
      </c>
      <c r="L24" s="52">
        <v>18095</v>
      </c>
      <c r="M24" s="32">
        <v>65743</v>
      </c>
      <c r="N24" s="33">
        <v>48700</v>
      </c>
      <c r="P24" s="39">
        <f>N24+M24+L24+I24+C24</f>
        <v>149665</v>
      </c>
      <c r="Q24" s="325">
        <f t="shared" si="0"/>
        <v>0</v>
      </c>
      <c r="R24" s="319" t="s">
        <v>642</v>
      </c>
      <c r="S24" s="147"/>
      <c r="W24" s="886"/>
      <c r="X24" s="886"/>
      <c r="Y24" s="233"/>
      <c r="Z24" s="128"/>
    </row>
    <row r="25" spans="1:26" ht="19.5" thickBot="1" x14ac:dyDescent="0.35">
      <c r="A25" s="23"/>
      <c r="B25" s="24">
        <v>44668</v>
      </c>
      <c r="C25" s="25">
        <v>0</v>
      </c>
      <c r="D25" s="35"/>
      <c r="E25" s="27">
        <v>44668</v>
      </c>
      <c r="F25" s="28">
        <v>72012</v>
      </c>
      <c r="G25" s="2"/>
      <c r="H25" s="36">
        <v>44668</v>
      </c>
      <c r="I25" s="30">
        <v>925</v>
      </c>
      <c r="J25" s="50"/>
      <c r="K25" s="38"/>
      <c r="L25" s="54"/>
      <c r="M25" s="32">
        <v>43037</v>
      </c>
      <c r="N25" s="33">
        <v>28050</v>
      </c>
      <c r="P25" s="283">
        <f t="shared" si="1"/>
        <v>72012</v>
      </c>
      <c r="Q25" s="325">
        <f t="shared" si="0"/>
        <v>0</v>
      </c>
      <c r="R25" s="319">
        <v>0</v>
      </c>
      <c r="W25" s="887"/>
      <c r="X25" s="887"/>
      <c r="Y25" s="233"/>
      <c r="Z25" s="128"/>
    </row>
    <row r="26" spans="1:26" ht="19.5" thickBot="1" x14ac:dyDescent="0.35">
      <c r="A26" s="23"/>
      <c r="B26" s="24">
        <v>44669</v>
      </c>
      <c r="C26" s="25">
        <v>29211.5</v>
      </c>
      <c r="D26" s="35" t="s">
        <v>643</v>
      </c>
      <c r="E26" s="27">
        <v>44669</v>
      </c>
      <c r="F26" s="28">
        <v>646290</v>
      </c>
      <c r="G26" s="2"/>
      <c r="H26" s="36">
        <v>44669</v>
      </c>
      <c r="I26" s="30">
        <v>806.5</v>
      </c>
      <c r="J26" s="37"/>
      <c r="K26" s="173"/>
      <c r="L26" s="45"/>
      <c r="M26" s="533">
        <f>51054.31+554929.3</f>
        <v>605983.6100000001</v>
      </c>
      <c r="N26" s="33">
        <v>57122</v>
      </c>
      <c r="O26" s="534" t="s">
        <v>745</v>
      </c>
      <c r="P26" s="284">
        <f t="shared" si="1"/>
        <v>693123.6100000001</v>
      </c>
      <c r="Q26" s="386">
        <v>-26691</v>
      </c>
      <c r="R26" s="388">
        <v>73524.61</v>
      </c>
      <c r="W26" s="887"/>
      <c r="X26" s="887"/>
      <c r="Y26" s="233"/>
      <c r="Z26" s="128"/>
    </row>
    <row r="27" spans="1:26" ht="18" thickBot="1" x14ac:dyDescent="0.35">
      <c r="A27" s="23"/>
      <c r="B27" s="24">
        <v>44670</v>
      </c>
      <c r="C27" s="25">
        <v>20144</v>
      </c>
      <c r="D27" s="42" t="s">
        <v>644</v>
      </c>
      <c r="E27" s="27">
        <v>44670</v>
      </c>
      <c r="F27" s="28">
        <v>87344</v>
      </c>
      <c r="G27" s="2"/>
      <c r="H27" s="36">
        <v>44670</v>
      </c>
      <c r="I27" s="30">
        <v>2012</v>
      </c>
      <c r="J27" s="55"/>
      <c r="K27" s="174"/>
      <c r="L27" s="54"/>
      <c r="M27" s="533">
        <v>0</v>
      </c>
      <c r="N27" s="33">
        <v>24965</v>
      </c>
      <c r="O27" s="534" t="s">
        <v>745</v>
      </c>
      <c r="P27" s="39">
        <f t="shared" si="1"/>
        <v>47121</v>
      </c>
      <c r="Q27" s="386">
        <f t="shared" si="0"/>
        <v>-40223</v>
      </c>
      <c r="R27" s="319">
        <v>0</v>
      </c>
      <c r="W27" s="880"/>
      <c r="X27" s="881"/>
      <c r="Y27" s="882"/>
      <c r="Z27" s="128"/>
    </row>
    <row r="28" spans="1:26" ht="18" thickBot="1" x14ac:dyDescent="0.35">
      <c r="A28" s="23"/>
      <c r="B28" s="24">
        <v>44671</v>
      </c>
      <c r="C28" s="25">
        <v>6094</v>
      </c>
      <c r="D28" s="42" t="s">
        <v>112</v>
      </c>
      <c r="E28" s="27">
        <v>44671</v>
      </c>
      <c r="F28" s="28">
        <v>83354</v>
      </c>
      <c r="G28" s="2"/>
      <c r="H28" s="36">
        <v>44671</v>
      </c>
      <c r="I28" s="30">
        <v>2846.5</v>
      </c>
      <c r="J28" s="56"/>
      <c r="K28" s="57"/>
      <c r="L28" s="54"/>
      <c r="M28" s="533">
        <v>0</v>
      </c>
      <c r="N28" s="33">
        <v>27562</v>
      </c>
      <c r="O28" s="534" t="s">
        <v>745</v>
      </c>
      <c r="P28" s="34">
        <f t="shared" si="1"/>
        <v>36502.5</v>
      </c>
      <c r="Q28" s="386">
        <f t="shared" si="0"/>
        <v>-46851.5</v>
      </c>
      <c r="R28" s="319">
        <v>0</v>
      </c>
      <c r="W28" s="881"/>
      <c r="X28" s="881"/>
      <c r="Y28" s="882"/>
      <c r="Z28" s="128"/>
    </row>
    <row r="29" spans="1:26" ht="18" thickBot="1" x14ac:dyDescent="0.35">
      <c r="A29" s="23"/>
      <c r="B29" s="24">
        <v>44672</v>
      </c>
      <c r="C29" s="25">
        <v>7741</v>
      </c>
      <c r="D29" s="58" t="s">
        <v>645</v>
      </c>
      <c r="E29" s="27">
        <v>44672</v>
      </c>
      <c r="F29" s="28">
        <v>88318</v>
      </c>
      <c r="G29" s="2"/>
      <c r="H29" s="36">
        <v>44672</v>
      </c>
      <c r="I29" s="30">
        <v>2742</v>
      </c>
      <c r="J29" s="59"/>
      <c r="K29" s="175"/>
      <c r="L29" s="54"/>
      <c r="M29" s="533">
        <v>0</v>
      </c>
      <c r="N29" s="33">
        <v>22200</v>
      </c>
      <c r="O29" s="535" t="s">
        <v>745</v>
      </c>
      <c r="P29" s="34">
        <f t="shared" si="1"/>
        <v>32683</v>
      </c>
      <c r="Q29" s="386">
        <f t="shared" si="0"/>
        <v>-55635</v>
      </c>
      <c r="R29" s="319">
        <v>0</v>
      </c>
      <c r="T29" s="423">
        <v>7491</v>
      </c>
      <c r="U29" s="336"/>
      <c r="W29" s="128"/>
      <c r="X29" s="310"/>
      <c r="Y29" s="311"/>
      <c r="Z29" s="128"/>
    </row>
    <row r="30" spans="1:26" ht="18" thickBot="1" x14ac:dyDescent="0.35">
      <c r="A30" s="23"/>
      <c r="B30" s="24">
        <v>44673</v>
      </c>
      <c r="C30" s="25">
        <v>7157</v>
      </c>
      <c r="D30" s="58" t="s">
        <v>647</v>
      </c>
      <c r="E30" s="27">
        <v>44673</v>
      </c>
      <c r="F30" s="28">
        <v>146405</v>
      </c>
      <c r="G30" s="2"/>
      <c r="H30" s="36">
        <v>44673</v>
      </c>
      <c r="I30" s="30">
        <v>3389.5</v>
      </c>
      <c r="J30" s="60"/>
      <c r="K30" s="41"/>
      <c r="L30" s="61"/>
      <c r="M30" s="533">
        <f>166000+20000+59220+70000+19117</f>
        <v>334337</v>
      </c>
      <c r="N30" s="33">
        <v>40800</v>
      </c>
      <c r="O30" s="426"/>
      <c r="P30" s="34">
        <f t="shared" si="1"/>
        <v>385683.5</v>
      </c>
      <c r="Q30" s="325">
        <f t="shared" si="0"/>
        <v>239278.5</v>
      </c>
      <c r="R30" s="319">
        <v>0</v>
      </c>
      <c r="T30" s="423">
        <v>26626</v>
      </c>
      <c r="X30" s="225"/>
      <c r="Y30" s="227"/>
    </row>
    <row r="31" spans="1:26" ht="26.25" thickBot="1" x14ac:dyDescent="0.35">
      <c r="A31" s="23"/>
      <c r="B31" s="24">
        <v>44674</v>
      </c>
      <c r="C31" s="25">
        <v>12849.5</v>
      </c>
      <c r="D31" s="67" t="s">
        <v>648</v>
      </c>
      <c r="E31" s="27">
        <v>44674</v>
      </c>
      <c r="F31" s="28">
        <v>128304</v>
      </c>
      <c r="G31" s="2"/>
      <c r="H31" s="36">
        <v>44674</v>
      </c>
      <c r="I31" s="30">
        <v>4268.5</v>
      </c>
      <c r="J31" s="60">
        <v>44674</v>
      </c>
      <c r="K31" s="504" t="s">
        <v>649</v>
      </c>
      <c r="L31" s="63">
        <f>19296.22+4821.43</f>
        <v>24117.65</v>
      </c>
      <c r="M31" s="32">
        <v>31075</v>
      </c>
      <c r="N31" s="33">
        <v>55991</v>
      </c>
      <c r="O31" s="425"/>
      <c r="P31" s="34">
        <f t="shared" si="1"/>
        <v>128301.65</v>
      </c>
      <c r="Q31" s="325">
        <f t="shared" si="0"/>
        <v>-2.3500000000058208</v>
      </c>
      <c r="R31" s="319">
        <v>0</v>
      </c>
      <c r="T31" s="423">
        <v>10137</v>
      </c>
    </row>
    <row r="32" spans="1:26" ht="18" thickBot="1" x14ac:dyDescent="0.35">
      <c r="A32" s="23"/>
      <c r="B32" s="24">
        <v>44675</v>
      </c>
      <c r="C32" s="25">
        <v>30785</v>
      </c>
      <c r="D32" s="64" t="s">
        <v>651</v>
      </c>
      <c r="E32" s="27">
        <v>44675</v>
      </c>
      <c r="F32" s="28">
        <v>83944</v>
      </c>
      <c r="G32" s="2"/>
      <c r="H32" s="36">
        <v>44675</v>
      </c>
      <c r="I32" s="30">
        <v>812</v>
      </c>
      <c r="J32" s="60"/>
      <c r="K32" s="41"/>
      <c r="L32" s="61"/>
      <c r="M32" s="32">
        <v>32579</v>
      </c>
      <c r="N32" s="33">
        <v>19768</v>
      </c>
      <c r="O32" s="2"/>
      <c r="P32" s="34">
        <f t="shared" si="1"/>
        <v>83944</v>
      </c>
      <c r="Q32" s="325">
        <f t="shared" si="0"/>
        <v>0</v>
      </c>
      <c r="R32" s="319">
        <v>0</v>
      </c>
      <c r="T32" s="423">
        <v>0</v>
      </c>
    </row>
    <row r="33" spans="1:20" ht="18" thickBot="1" x14ac:dyDescent="0.35">
      <c r="A33" s="23"/>
      <c r="B33" s="24">
        <v>44676</v>
      </c>
      <c r="C33" s="25">
        <v>6587</v>
      </c>
      <c r="D33" s="65" t="s">
        <v>652</v>
      </c>
      <c r="E33" s="27">
        <v>44676</v>
      </c>
      <c r="F33" s="28">
        <v>122505</v>
      </c>
      <c r="G33" s="2"/>
      <c r="H33" s="36">
        <v>44676</v>
      </c>
      <c r="I33" s="30">
        <v>2206</v>
      </c>
      <c r="J33" s="60"/>
      <c r="K33" s="247"/>
      <c r="L33" s="66"/>
      <c r="M33" s="32">
        <f>69877+15079</f>
        <v>84956</v>
      </c>
      <c r="N33" s="33">
        <v>28756</v>
      </c>
      <c r="O33" s="2"/>
      <c r="P33" s="34">
        <f t="shared" si="1"/>
        <v>122505</v>
      </c>
      <c r="Q33" s="111">
        <f t="shared" ref="Q33:Q40" si="2">P33-F33</f>
        <v>0</v>
      </c>
      <c r="R33" s="319">
        <v>0</v>
      </c>
      <c r="T33" s="424">
        <f>SUM(T29:T32)</f>
        <v>44254</v>
      </c>
    </row>
    <row r="34" spans="1:20" ht="18" thickBot="1" x14ac:dyDescent="0.35">
      <c r="A34" s="23"/>
      <c r="B34" s="24">
        <v>44677</v>
      </c>
      <c r="C34" s="25">
        <v>13489</v>
      </c>
      <c r="D34" s="64" t="s">
        <v>654</v>
      </c>
      <c r="E34" s="27">
        <v>44677</v>
      </c>
      <c r="F34" s="28">
        <v>77669</v>
      </c>
      <c r="G34" s="2"/>
      <c r="H34" s="36">
        <v>44677</v>
      </c>
      <c r="I34" s="30">
        <v>879.5</v>
      </c>
      <c r="J34" s="266"/>
      <c r="K34" s="248"/>
      <c r="L34" s="44"/>
      <c r="M34" s="32">
        <f>40390+4760</f>
        <v>45150</v>
      </c>
      <c r="N34" s="33">
        <v>22911</v>
      </c>
      <c r="O34" s="2"/>
      <c r="P34" s="34">
        <f t="shared" si="1"/>
        <v>82429.5</v>
      </c>
      <c r="Q34" s="111">
        <v>0</v>
      </c>
      <c r="R34" s="388">
        <v>4760</v>
      </c>
    </row>
    <row r="35" spans="1:20" ht="18" thickBot="1" x14ac:dyDescent="0.35">
      <c r="A35" s="23"/>
      <c r="B35" s="24">
        <v>44678</v>
      </c>
      <c r="C35" s="25">
        <v>16685</v>
      </c>
      <c r="D35" s="65" t="s">
        <v>653</v>
      </c>
      <c r="E35" s="27">
        <v>44678</v>
      </c>
      <c r="F35" s="28">
        <v>88630</v>
      </c>
      <c r="G35" s="2"/>
      <c r="H35" s="36">
        <v>44678</v>
      </c>
      <c r="I35" s="30">
        <v>3261.5</v>
      </c>
      <c r="J35" s="266"/>
      <c r="K35" s="249"/>
      <c r="L35" s="66"/>
      <c r="M35" s="267">
        <v>46181.5</v>
      </c>
      <c r="N35" s="268">
        <v>22500</v>
      </c>
      <c r="P35" s="34">
        <f t="shared" si="1"/>
        <v>88628</v>
      </c>
      <c r="Q35" s="287">
        <f t="shared" si="2"/>
        <v>-2</v>
      </c>
      <c r="R35" s="319">
        <v>0</v>
      </c>
    </row>
    <row r="36" spans="1:20" ht="18" customHeight="1" thickBot="1" x14ac:dyDescent="0.4">
      <c r="A36" s="23"/>
      <c r="B36" s="24">
        <v>44679</v>
      </c>
      <c r="C36" s="25">
        <v>16710</v>
      </c>
      <c r="D36" s="67" t="s">
        <v>655</v>
      </c>
      <c r="E36" s="27">
        <v>44679</v>
      </c>
      <c r="F36" s="28">
        <v>149331</v>
      </c>
      <c r="G36" s="2"/>
      <c r="H36" s="36">
        <v>44679</v>
      </c>
      <c r="I36" s="30">
        <v>3361</v>
      </c>
      <c r="J36" s="266"/>
      <c r="K36" s="250"/>
      <c r="L36" s="44"/>
      <c r="M36" s="267">
        <f>99132+137</f>
        <v>99269</v>
      </c>
      <c r="N36" s="268">
        <v>29993</v>
      </c>
      <c r="O36" s="276"/>
      <c r="P36" s="34">
        <f t="shared" si="1"/>
        <v>149333</v>
      </c>
      <c r="Q36" s="111">
        <f t="shared" si="2"/>
        <v>2</v>
      </c>
      <c r="R36" s="319">
        <v>0</v>
      </c>
      <c r="S36" s="540"/>
    </row>
    <row r="37" spans="1:20" ht="18" customHeight="1" thickBot="1" x14ac:dyDescent="0.35">
      <c r="A37" s="23"/>
      <c r="B37" s="24">
        <v>44680</v>
      </c>
      <c r="C37" s="25">
        <v>10619</v>
      </c>
      <c r="D37" s="64" t="s">
        <v>656</v>
      </c>
      <c r="E37" s="27">
        <v>44680</v>
      </c>
      <c r="F37" s="28">
        <v>134928</v>
      </c>
      <c r="G37" s="2"/>
      <c r="H37" s="36">
        <v>44680</v>
      </c>
      <c r="I37" s="30">
        <v>3150</v>
      </c>
      <c r="J37" s="60"/>
      <c r="K37" s="41"/>
      <c r="L37" s="61"/>
      <c r="M37" s="267">
        <v>73283</v>
      </c>
      <c r="N37" s="268">
        <v>47876</v>
      </c>
      <c r="O37" s="276"/>
      <c r="P37" s="34">
        <f t="shared" si="1"/>
        <v>134928</v>
      </c>
      <c r="Q37" s="111">
        <f t="shared" si="2"/>
        <v>0</v>
      </c>
      <c r="R37" s="319">
        <v>0</v>
      </c>
    </row>
    <row r="38" spans="1:20" ht="18" thickBot="1" x14ac:dyDescent="0.35">
      <c r="A38" s="23"/>
      <c r="B38" s="24">
        <v>44681</v>
      </c>
      <c r="C38" s="25">
        <v>9895</v>
      </c>
      <c r="D38" s="506" t="s">
        <v>657</v>
      </c>
      <c r="E38" s="27">
        <v>44681</v>
      </c>
      <c r="F38" s="28">
        <v>148944</v>
      </c>
      <c r="G38" s="2"/>
      <c r="H38" s="36">
        <v>44681</v>
      </c>
      <c r="I38" s="30">
        <v>4895</v>
      </c>
      <c r="J38" s="60">
        <v>44681</v>
      </c>
      <c r="K38" s="177" t="s">
        <v>658</v>
      </c>
      <c r="L38" s="61">
        <v>20352</v>
      </c>
      <c r="M38" s="267">
        <v>51036</v>
      </c>
      <c r="N38" s="268">
        <v>62766</v>
      </c>
      <c r="P38" s="34">
        <f>N38+M38+L38+I38+C38</f>
        <v>148944</v>
      </c>
      <c r="Q38" s="111">
        <f t="shared" si="2"/>
        <v>0</v>
      </c>
      <c r="R38" s="319">
        <v>0</v>
      </c>
    </row>
    <row r="39" spans="1:20" ht="18" thickBot="1" x14ac:dyDescent="0.35">
      <c r="A39" s="23"/>
      <c r="B39" s="24">
        <v>44682</v>
      </c>
      <c r="C39" s="69">
        <v>6570</v>
      </c>
      <c r="D39" s="506" t="s">
        <v>659</v>
      </c>
      <c r="E39" s="27">
        <v>44682</v>
      </c>
      <c r="F39" s="508">
        <v>108254</v>
      </c>
      <c r="G39" s="2"/>
      <c r="H39" s="36">
        <v>44682</v>
      </c>
      <c r="I39" s="71">
        <v>3548</v>
      </c>
      <c r="J39" s="60"/>
      <c r="K39" s="177"/>
      <c r="L39" s="61"/>
      <c r="M39" s="267">
        <v>62551</v>
      </c>
      <c r="N39" s="268">
        <v>35585</v>
      </c>
      <c r="P39" s="34">
        <f t="shared" si="1"/>
        <v>108254</v>
      </c>
      <c r="Q39" s="111">
        <f t="shared" si="2"/>
        <v>0</v>
      </c>
      <c r="R39" s="319" t="s">
        <v>7</v>
      </c>
    </row>
    <row r="40" spans="1:20" ht="18" thickBot="1" x14ac:dyDescent="0.35">
      <c r="A40" s="23"/>
      <c r="B40" s="24"/>
      <c r="C40" s="69"/>
      <c r="D40" s="506"/>
      <c r="E40" s="27"/>
      <c r="F40" s="70"/>
      <c r="G40" s="2"/>
      <c r="H40" s="36"/>
      <c r="I40" s="71"/>
      <c r="J40" s="60"/>
      <c r="K40" s="41"/>
      <c r="L40" s="61"/>
      <c r="M40" s="267">
        <v>0</v>
      </c>
      <c r="N40" s="268">
        <v>0</v>
      </c>
      <c r="P40" s="34">
        <f t="shared" si="1"/>
        <v>0</v>
      </c>
      <c r="Q40" s="111">
        <f t="shared" si="2"/>
        <v>0</v>
      </c>
      <c r="R40" s="319">
        <v>0</v>
      </c>
    </row>
    <row r="41" spans="1:20" ht="18" thickBot="1" x14ac:dyDescent="0.35">
      <c r="A41" s="23"/>
      <c r="B41" s="24">
        <v>44650</v>
      </c>
      <c r="C41" s="615">
        <v>13429.46</v>
      </c>
      <c r="D41" s="633" t="s">
        <v>49</v>
      </c>
      <c r="E41" s="74"/>
      <c r="F41" s="75"/>
      <c r="G41" s="2"/>
      <c r="H41" s="76"/>
      <c r="I41" s="77"/>
      <c r="J41" s="622">
        <v>44653</v>
      </c>
      <c r="K41" s="623" t="s">
        <v>627</v>
      </c>
      <c r="L41" s="624">
        <v>15798.5</v>
      </c>
      <c r="M41" s="871">
        <f>SUM(M5:M40)</f>
        <v>2479367.6100000003</v>
      </c>
      <c r="N41" s="871">
        <f>SUM(N5:N40)</f>
        <v>1195667</v>
      </c>
      <c r="P41" s="505">
        <f>SUM(P5:P40)</f>
        <v>4355326.74</v>
      </c>
      <c r="Q41" s="936">
        <f>SUM(Q5:Q40)</f>
        <v>69878.629999999976</v>
      </c>
    </row>
    <row r="42" spans="1:20" ht="18" thickBot="1" x14ac:dyDescent="0.35">
      <c r="A42" s="23"/>
      <c r="B42" s="24">
        <v>44650</v>
      </c>
      <c r="C42" s="615">
        <v>396419.2</v>
      </c>
      <c r="D42" s="633" t="s">
        <v>49</v>
      </c>
      <c r="E42" s="74"/>
      <c r="F42" s="75"/>
      <c r="G42" s="2"/>
      <c r="H42" s="76"/>
      <c r="I42" s="77"/>
      <c r="J42" s="625">
        <v>44660</v>
      </c>
      <c r="K42" s="626" t="s">
        <v>634</v>
      </c>
      <c r="L42" s="627">
        <v>15298.5</v>
      </c>
      <c r="M42" s="872"/>
      <c r="N42" s="872"/>
      <c r="P42" s="34"/>
      <c r="Q42" s="937"/>
    </row>
    <row r="43" spans="1:20" ht="18" thickBot="1" x14ac:dyDescent="0.35">
      <c r="A43" s="23"/>
      <c r="B43" s="24">
        <v>44653</v>
      </c>
      <c r="C43" s="615">
        <v>1461.24</v>
      </c>
      <c r="D43" s="632" t="s">
        <v>847</v>
      </c>
      <c r="E43" s="74"/>
      <c r="F43" s="75"/>
      <c r="G43" s="2"/>
      <c r="H43" s="76"/>
      <c r="I43" s="77"/>
      <c r="J43" s="628">
        <v>44667</v>
      </c>
      <c r="K43" s="623" t="s">
        <v>641</v>
      </c>
      <c r="L43" s="629">
        <v>14698.79</v>
      </c>
      <c r="M43" s="269"/>
      <c r="N43" s="269"/>
      <c r="P43" s="34"/>
      <c r="Q43" s="13"/>
    </row>
    <row r="44" spans="1:20" ht="26.25" thickBot="1" x14ac:dyDescent="0.35">
      <c r="A44" s="23"/>
      <c r="B44" s="24">
        <v>44655</v>
      </c>
      <c r="C44" s="615">
        <v>435505.08</v>
      </c>
      <c r="D44" s="632" t="s">
        <v>836</v>
      </c>
      <c r="E44" s="74"/>
      <c r="F44" s="75"/>
      <c r="G44" s="2"/>
      <c r="H44" s="76"/>
      <c r="I44" s="77"/>
      <c r="J44" s="622">
        <v>44674</v>
      </c>
      <c r="K44" s="630" t="s">
        <v>650</v>
      </c>
      <c r="L44" s="624">
        <f>15598.49+4821.43</f>
        <v>20419.919999999998</v>
      </c>
      <c r="M44" s="269"/>
      <c r="N44" s="269"/>
      <c r="P44" s="34"/>
      <c r="Q44" s="13"/>
    </row>
    <row r="45" spans="1:20" ht="18" thickBot="1" x14ac:dyDescent="0.35">
      <c r="A45" s="23"/>
      <c r="B45" s="24">
        <v>44672</v>
      </c>
      <c r="C45" s="615">
        <v>17075.11</v>
      </c>
      <c r="D45" s="633" t="s">
        <v>849</v>
      </c>
      <c r="E45" s="74"/>
      <c r="F45" s="75"/>
      <c r="G45" s="2"/>
      <c r="H45" s="76"/>
      <c r="I45" s="77"/>
      <c r="J45" s="622">
        <v>44681</v>
      </c>
      <c r="K45" s="623" t="s">
        <v>658</v>
      </c>
      <c r="L45" s="624">
        <v>18269.490000000002</v>
      </c>
      <c r="M45" s="938">
        <f>M41+N41</f>
        <v>3675034.6100000003</v>
      </c>
      <c r="N45" s="939"/>
      <c r="P45" s="34"/>
      <c r="Q45" s="13"/>
    </row>
    <row r="46" spans="1:20" ht="18" thickBot="1" x14ac:dyDescent="0.35">
      <c r="A46" s="23"/>
      <c r="B46" s="24">
        <v>44673</v>
      </c>
      <c r="C46" s="615">
        <v>350000</v>
      </c>
      <c r="D46" s="633" t="s">
        <v>49</v>
      </c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20" ht="18" thickBot="1" x14ac:dyDescent="0.35">
      <c r="A47" s="23"/>
      <c r="B47" s="24">
        <v>44678</v>
      </c>
      <c r="C47" s="615">
        <v>347747.2</v>
      </c>
      <c r="D47" s="633" t="s">
        <v>49</v>
      </c>
      <c r="E47" s="74"/>
      <c r="F47" s="75"/>
      <c r="G47" s="2"/>
      <c r="H47" s="76"/>
      <c r="I47" s="77"/>
      <c r="J47" s="631">
        <v>44648</v>
      </c>
      <c r="K47" s="41" t="s">
        <v>202</v>
      </c>
      <c r="L47" s="603">
        <v>3590.59</v>
      </c>
      <c r="M47" s="269"/>
      <c r="N47" s="269"/>
      <c r="P47" s="34"/>
      <c r="Q47" s="13"/>
    </row>
    <row r="48" spans="1:20" ht="18" thickBot="1" x14ac:dyDescent="0.35">
      <c r="A48" s="23"/>
      <c r="B48" s="24">
        <v>44678</v>
      </c>
      <c r="C48" s="615">
        <v>71136</v>
      </c>
      <c r="D48" s="633" t="s">
        <v>49</v>
      </c>
      <c r="E48" s="74"/>
      <c r="F48" s="75"/>
      <c r="G48" s="2"/>
      <c r="H48" s="76"/>
      <c r="I48" s="77"/>
      <c r="J48" s="631">
        <v>44651</v>
      </c>
      <c r="K48" s="41" t="s">
        <v>840</v>
      </c>
      <c r="L48" s="603">
        <v>1096</v>
      </c>
      <c r="M48" s="269"/>
      <c r="N48" s="269"/>
      <c r="P48" s="34"/>
      <c r="Q48" s="13"/>
    </row>
    <row r="49" spans="1:17" ht="18" thickBot="1" x14ac:dyDescent="0.35">
      <c r="A49" s="23"/>
      <c r="B49" s="24"/>
      <c r="C49" s="72"/>
      <c r="D49" s="73"/>
      <c r="E49" s="74"/>
      <c r="F49" s="75"/>
      <c r="G49" s="2"/>
      <c r="H49" s="76"/>
      <c r="I49" s="77"/>
      <c r="J49" s="631">
        <v>44652</v>
      </c>
      <c r="K49" s="41" t="s">
        <v>835</v>
      </c>
      <c r="L49" s="603">
        <v>21460</v>
      </c>
      <c r="M49" s="593"/>
      <c r="N49" s="593"/>
      <c r="P49" s="34"/>
      <c r="Q49" s="13"/>
    </row>
    <row r="50" spans="1:17" ht="18" thickBot="1" x14ac:dyDescent="0.35">
      <c r="A50" s="23"/>
      <c r="B50" s="24"/>
      <c r="C50" s="72"/>
      <c r="D50" s="73"/>
      <c r="E50" s="74"/>
      <c r="F50" s="75"/>
      <c r="G50" s="2"/>
      <c r="H50" s="76"/>
      <c r="I50" s="77"/>
      <c r="J50" s="634">
        <v>44653</v>
      </c>
      <c r="K50" s="600" t="s">
        <v>826</v>
      </c>
      <c r="L50" s="617">
        <v>11200</v>
      </c>
      <c r="M50" s="593"/>
      <c r="N50" s="593"/>
      <c r="P50" s="34"/>
      <c r="Q50" s="13"/>
    </row>
    <row r="51" spans="1:17" ht="18" thickBot="1" x14ac:dyDescent="0.35">
      <c r="A51" s="23"/>
      <c r="B51" s="24"/>
      <c r="C51" s="72"/>
      <c r="D51" s="73"/>
      <c r="E51" s="74"/>
      <c r="F51" s="75"/>
      <c r="G51" s="2"/>
      <c r="H51" s="76"/>
      <c r="I51" s="77"/>
      <c r="J51" s="634">
        <v>44656</v>
      </c>
      <c r="K51" s="600" t="s">
        <v>835</v>
      </c>
      <c r="L51" s="617">
        <v>1508</v>
      </c>
      <c r="M51" s="593"/>
      <c r="N51" s="593"/>
      <c r="P51" s="34"/>
      <c r="Q51" s="13"/>
    </row>
    <row r="52" spans="1:17" ht="18" thickBot="1" x14ac:dyDescent="0.35">
      <c r="A52" s="23"/>
      <c r="B52" s="24"/>
      <c r="C52" s="72"/>
      <c r="D52" s="73"/>
      <c r="E52" s="74"/>
      <c r="F52" s="75"/>
      <c r="G52" s="2"/>
      <c r="H52" s="76"/>
      <c r="I52" s="77"/>
      <c r="J52" s="634">
        <v>44657</v>
      </c>
      <c r="K52" s="600" t="s">
        <v>202</v>
      </c>
      <c r="L52" s="617">
        <v>14604.03</v>
      </c>
      <c r="M52" s="593"/>
      <c r="N52" s="593"/>
      <c r="P52" s="34"/>
      <c r="Q52" s="13"/>
    </row>
    <row r="53" spans="1:17" ht="18" thickBot="1" x14ac:dyDescent="0.35">
      <c r="A53" s="23"/>
      <c r="B53" s="24"/>
      <c r="C53" s="72"/>
      <c r="D53" s="73"/>
      <c r="E53" s="74"/>
      <c r="F53" s="75"/>
      <c r="G53" s="2"/>
      <c r="H53" s="76"/>
      <c r="I53" s="77"/>
      <c r="J53" s="635">
        <v>44657</v>
      </c>
      <c r="K53" s="577" t="s">
        <v>827</v>
      </c>
      <c r="L53" s="618">
        <v>754</v>
      </c>
      <c r="M53" s="593"/>
      <c r="N53" s="593"/>
      <c r="P53" s="34"/>
      <c r="Q53" s="13"/>
    </row>
    <row r="54" spans="1:17" ht="18" thickBot="1" x14ac:dyDescent="0.35">
      <c r="A54" s="23"/>
      <c r="B54" s="24"/>
      <c r="C54" s="72"/>
      <c r="D54" s="73"/>
      <c r="E54" s="74"/>
      <c r="F54" s="75"/>
      <c r="G54" s="2"/>
      <c r="H54" s="76"/>
      <c r="I54" s="77"/>
      <c r="J54" s="634">
        <v>44658</v>
      </c>
      <c r="K54" s="600" t="s">
        <v>824</v>
      </c>
      <c r="L54" s="617">
        <v>4006.5</v>
      </c>
      <c r="M54" s="593"/>
      <c r="N54" s="593"/>
      <c r="P54" s="34"/>
      <c r="Q54" s="13"/>
    </row>
    <row r="55" spans="1:17" ht="18" thickBot="1" x14ac:dyDescent="0.35">
      <c r="A55" s="23"/>
      <c r="B55" s="24"/>
      <c r="C55" s="72"/>
      <c r="D55" s="73"/>
      <c r="E55" s="74"/>
      <c r="F55" s="75"/>
      <c r="G55" s="2"/>
      <c r="H55" s="76"/>
      <c r="I55" s="77"/>
      <c r="J55" s="634">
        <v>44662</v>
      </c>
      <c r="K55" s="600" t="s">
        <v>201</v>
      </c>
      <c r="L55" s="617">
        <v>549</v>
      </c>
      <c r="M55" s="593"/>
      <c r="N55" s="593"/>
      <c r="P55" s="34"/>
      <c r="Q55" s="13"/>
    </row>
    <row r="56" spans="1:17" ht="18" thickBot="1" x14ac:dyDescent="0.35">
      <c r="A56" s="23"/>
      <c r="B56" s="24"/>
      <c r="C56" s="72"/>
      <c r="D56" s="73"/>
      <c r="E56" s="74"/>
      <c r="F56" s="75"/>
      <c r="G56" s="2"/>
      <c r="H56" s="76"/>
      <c r="I56" s="77"/>
      <c r="J56" s="634">
        <v>44663</v>
      </c>
      <c r="K56" s="600" t="s">
        <v>202</v>
      </c>
      <c r="L56" s="617">
        <v>2279.54</v>
      </c>
      <c r="M56" s="593"/>
      <c r="N56" s="593"/>
      <c r="P56" s="34"/>
      <c r="Q56" s="13"/>
    </row>
    <row r="57" spans="1:17" ht="18" thickBot="1" x14ac:dyDescent="0.35">
      <c r="A57" s="23"/>
      <c r="B57" s="24"/>
      <c r="C57" s="72"/>
      <c r="D57" s="73"/>
      <c r="E57" s="74"/>
      <c r="F57" s="75"/>
      <c r="G57" s="2"/>
      <c r="H57" s="76"/>
      <c r="I57" s="77"/>
      <c r="J57" s="634">
        <v>44664</v>
      </c>
      <c r="K57" s="678" t="s">
        <v>837</v>
      </c>
      <c r="L57" s="617">
        <v>5974</v>
      </c>
      <c r="M57" s="593"/>
      <c r="N57" s="593"/>
      <c r="P57" s="34"/>
      <c r="Q57" s="13"/>
    </row>
    <row r="58" spans="1:17" ht="18" thickBot="1" x14ac:dyDescent="0.35">
      <c r="A58" s="23"/>
      <c r="B58" s="24"/>
      <c r="C58" s="72"/>
      <c r="D58" s="73"/>
      <c r="E58" s="74"/>
      <c r="F58" s="75"/>
      <c r="G58" s="2"/>
      <c r="H58" s="76"/>
      <c r="I58" s="77"/>
      <c r="J58" s="634">
        <v>44664</v>
      </c>
      <c r="K58" s="600" t="s">
        <v>838</v>
      </c>
      <c r="L58" s="617">
        <v>3712</v>
      </c>
      <c r="M58" s="593"/>
      <c r="N58" s="593"/>
      <c r="P58" s="34"/>
      <c r="Q58" s="13"/>
    </row>
    <row r="59" spans="1:17" ht="18" thickBot="1" x14ac:dyDescent="0.35">
      <c r="A59" s="23"/>
      <c r="B59" s="24"/>
      <c r="C59" s="72"/>
      <c r="D59" s="73"/>
      <c r="E59" s="74"/>
      <c r="F59" s="75"/>
      <c r="G59" s="2"/>
      <c r="H59" s="76"/>
      <c r="I59" s="77"/>
      <c r="J59" s="634">
        <v>44669</v>
      </c>
      <c r="K59" s="600" t="s">
        <v>830</v>
      </c>
      <c r="L59" s="617">
        <v>1856</v>
      </c>
      <c r="M59" s="593"/>
      <c r="N59" s="593"/>
      <c r="P59" s="34"/>
      <c r="Q59" s="13"/>
    </row>
    <row r="60" spans="1:17" ht="18" thickBot="1" x14ac:dyDescent="0.35">
      <c r="A60" s="23"/>
      <c r="B60" s="24"/>
      <c r="C60" s="72"/>
      <c r="D60" s="73"/>
      <c r="E60" s="74"/>
      <c r="F60" s="75"/>
      <c r="G60" s="2"/>
      <c r="H60" s="76"/>
      <c r="I60" s="77"/>
      <c r="J60" s="634">
        <v>44669</v>
      </c>
      <c r="K60" s="679" t="s">
        <v>848</v>
      </c>
      <c r="L60" s="617">
        <v>10483.26</v>
      </c>
      <c r="M60" s="594"/>
      <c r="N60" s="594"/>
      <c r="P60" s="34"/>
      <c r="Q60" s="13"/>
    </row>
    <row r="61" spans="1:17" ht="18" thickBot="1" x14ac:dyDescent="0.35">
      <c r="A61" s="23"/>
      <c r="B61" s="24"/>
      <c r="C61" s="72"/>
      <c r="D61" s="73"/>
      <c r="E61" s="74"/>
      <c r="F61" s="75"/>
      <c r="G61" s="2"/>
      <c r="H61" s="76"/>
      <c r="I61" s="77"/>
      <c r="J61" s="634">
        <v>44670</v>
      </c>
      <c r="K61" s="600" t="s">
        <v>834</v>
      </c>
      <c r="L61" s="617">
        <v>5324.4</v>
      </c>
      <c r="M61" s="594"/>
      <c r="N61" s="594"/>
      <c r="P61" s="34"/>
      <c r="Q61" s="13"/>
    </row>
    <row r="62" spans="1:17" ht="18" thickBot="1" x14ac:dyDescent="0.35">
      <c r="A62" s="23"/>
      <c r="B62" s="24"/>
      <c r="C62" s="72"/>
      <c r="D62" s="73"/>
      <c r="E62" s="74"/>
      <c r="F62" s="75"/>
      <c r="G62" s="2"/>
      <c r="H62" s="76"/>
      <c r="I62" s="77"/>
      <c r="J62" s="634">
        <v>44673</v>
      </c>
      <c r="K62" s="600" t="s">
        <v>825</v>
      </c>
      <c r="L62" s="617">
        <v>2320</v>
      </c>
      <c r="M62" s="594"/>
      <c r="N62" s="594"/>
      <c r="P62" s="34"/>
      <c r="Q62" s="13"/>
    </row>
    <row r="63" spans="1:17" ht="18" thickBot="1" x14ac:dyDescent="0.35">
      <c r="A63" s="23"/>
      <c r="B63" s="24"/>
      <c r="C63" s="72"/>
      <c r="D63" s="73"/>
      <c r="E63" s="74"/>
      <c r="F63" s="75"/>
      <c r="G63" s="2"/>
      <c r="H63" s="76"/>
      <c r="I63" s="77"/>
      <c r="J63" s="634">
        <v>44677</v>
      </c>
      <c r="K63" s="600" t="s">
        <v>202</v>
      </c>
      <c r="L63" s="617">
        <v>2379.5500000000002</v>
      </c>
      <c r="M63" s="594"/>
      <c r="N63" s="594"/>
      <c r="P63" s="34"/>
      <c r="Q63" s="13"/>
    </row>
    <row r="64" spans="1:17" ht="18" thickBot="1" x14ac:dyDescent="0.35">
      <c r="A64" s="23"/>
      <c r="B64" s="24"/>
      <c r="C64" s="72"/>
      <c r="D64" s="73"/>
      <c r="E64" s="74"/>
      <c r="F64" s="75"/>
      <c r="G64" s="2"/>
      <c r="H64" s="76"/>
      <c r="I64" s="77"/>
      <c r="J64" s="634">
        <v>44680</v>
      </c>
      <c r="K64" s="600" t="s">
        <v>826</v>
      </c>
      <c r="L64" s="617">
        <v>11200</v>
      </c>
      <c r="M64" s="594"/>
      <c r="N64" s="594"/>
      <c r="P64" s="34"/>
      <c r="Q64" s="13"/>
    </row>
    <row r="65" spans="1:17" ht="18" thickBot="1" x14ac:dyDescent="0.35">
      <c r="A65" s="23"/>
      <c r="B65" s="24"/>
      <c r="C65" s="72"/>
      <c r="D65" s="73"/>
      <c r="E65" s="74"/>
      <c r="F65" s="75"/>
      <c r="G65" s="2"/>
      <c r="H65" s="76"/>
      <c r="I65" s="77"/>
      <c r="J65" s="634">
        <v>44680</v>
      </c>
      <c r="K65" s="600" t="s">
        <v>838</v>
      </c>
      <c r="L65" s="617">
        <v>3712</v>
      </c>
      <c r="M65" s="594"/>
      <c r="N65" s="594"/>
      <c r="P65" s="34"/>
      <c r="Q65" s="13"/>
    </row>
    <row r="66" spans="1:17" ht="18" thickBot="1" x14ac:dyDescent="0.35">
      <c r="A66" s="23"/>
      <c r="B66" s="24"/>
      <c r="C66" s="72"/>
      <c r="D66" s="73"/>
      <c r="E66" s="74"/>
      <c r="F66" s="75"/>
      <c r="G66" s="2"/>
      <c r="H66" s="76"/>
      <c r="I66" s="77"/>
      <c r="J66" s="634">
        <v>44680</v>
      </c>
      <c r="K66" s="600" t="s">
        <v>835</v>
      </c>
      <c r="L66" s="617">
        <v>835.2</v>
      </c>
      <c r="M66" s="594"/>
      <c r="N66" s="594"/>
      <c r="P66" s="34"/>
      <c r="Q66" s="13"/>
    </row>
    <row r="67" spans="1:17" ht="16.5" thickBot="1" x14ac:dyDescent="0.3">
      <c r="A67" s="23"/>
      <c r="B67" s="80"/>
      <c r="C67" s="25">
        <v>0</v>
      </c>
      <c r="D67" s="81"/>
      <c r="E67" s="82"/>
      <c r="F67" s="72"/>
      <c r="H67" s="83"/>
      <c r="I67" s="77"/>
      <c r="J67" s="634" t="s">
        <v>850</v>
      </c>
      <c r="K67" s="679" t="s">
        <v>851</v>
      </c>
      <c r="L67" s="617">
        <v>30189.64</v>
      </c>
      <c r="M67" s="34"/>
      <c r="N67" s="34"/>
      <c r="P67" s="34"/>
      <c r="Q67" s="13"/>
    </row>
    <row r="68" spans="1:17" ht="16.5" thickBot="1" x14ac:dyDescent="0.3">
      <c r="B68" s="86" t="s">
        <v>8</v>
      </c>
      <c r="C68" s="87">
        <f>SUM(C5:C67)</f>
        <v>2108428.79</v>
      </c>
      <c r="D68" s="88"/>
      <c r="E68" s="89" t="s">
        <v>8</v>
      </c>
      <c r="F68" s="90">
        <f>SUM(F5:F67)</f>
        <v>4167672</v>
      </c>
      <c r="G68" s="88"/>
      <c r="H68" s="91" t="s">
        <v>9</v>
      </c>
      <c r="I68" s="92">
        <f>SUM(I5:I67)</f>
        <v>102983</v>
      </c>
      <c r="J68" s="93"/>
      <c r="K68" s="94" t="s">
        <v>10</v>
      </c>
      <c r="L68" s="95">
        <f>SUM(L5:L67)</f>
        <v>325172.54000000004</v>
      </c>
      <c r="M68" s="96"/>
      <c r="N68" s="96"/>
      <c r="P68" s="34"/>
      <c r="Q68" s="13"/>
    </row>
    <row r="69" spans="1:17" ht="16.5" thickTop="1" x14ac:dyDescent="0.25">
      <c r="C69" s="3" t="s">
        <v>7</v>
      </c>
      <c r="P69" s="34"/>
      <c r="Q69" s="13"/>
    </row>
    <row r="70" spans="1:17" ht="18.75" x14ac:dyDescent="0.25">
      <c r="A70" s="98"/>
      <c r="B70" s="99"/>
      <c r="C70" s="1"/>
      <c r="H70" s="848" t="s">
        <v>11</v>
      </c>
      <c r="I70" s="849"/>
      <c r="J70" s="100"/>
      <c r="K70" s="850">
        <f>I68+L68</f>
        <v>428155.54000000004</v>
      </c>
      <c r="L70" s="877"/>
      <c r="M70" s="272"/>
      <c r="N70" s="272"/>
      <c r="P70" s="34"/>
      <c r="Q70" s="13"/>
    </row>
    <row r="71" spans="1:17" x14ac:dyDescent="0.25">
      <c r="D71" s="854" t="s">
        <v>12</v>
      </c>
      <c r="E71" s="854"/>
      <c r="F71" s="312">
        <f>F68-K70-C68</f>
        <v>1631087.67</v>
      </c>
      <c r="I71" s="102"/>
      <c r="J71" s="103"/>
      <c r="P71" s="34"/>
    </row>
    <row r="72" spans="1:17" ht="18.75" x14ac:dyDescent="0.3">
      <c r="D72" s="878" t="s">
        <v>95</v>
      </c>
      <c r="E72" s="878"/>
      <c r="F72" s="111">
        <v>-1884975.46</v>
      </c>
      <c r="I72" s="855" t="s">
        <v>13</v>
      </c>
      <c r="J72" s="856"/>
      <c r="K72" s="857">
        <f>F74+F75+F76</f>
        <v>1777829.89</v>
      </c>
      <c r="L72" s="857"/>
      <c r="M72" s="404"/>
      <c r="N72" s="404"/>
      <c r="O72" s="404"/>
      <c r="P72" s="404"/>
      <c r="Q72" s="404"/>
    </row>
    <row r="73" spans="1:17" ht="19.5" thickBot="1" x14ac:dyDescent="0.35">
      <c r="D73" s="313" t="s">
        <v>94</v>
      </c>
      <c r="E73" s="314"/>
      <c r="F73" s="315">
        <v>-363428.24</v>
      </c>
      <c r="I73" s="105"/>
      <c r="J73" s="106"/>
      <c r="K73" s="178"/>
      <c r="L73" s="107"/>
      <c r="M73" s="404"/>
      <c r="N73" s="404"/>
      <c r="O73" s="404"/>
      <c r="P73" s="404"/>
      <c r="Q73" s="404"/>
    </row>
    <row r="74" spans="1:17" ht="19.5" thickTop="1" x14ac:dyDescent="0.3">
      <c r="C74" s="4" t="s">
        <v>7</v>
      </c>
      <c r="E74" s="98" t="s">
        <v>14</v>
      </c>
      <c r="F74" s="96">
        <f>SUM(F71:F73)</f>
        <v>-617316.03</v>
      </c>
      <c r="H74" s="23"/>
      <c r="I74" s="108" t="s">
        <v>15</v>
      </c>
      <c r="J74" s="109"/>
      <c r="K74" s="859">
        <f>-C4</f>
        <v>-1792817.68</v>
      </c>
      <c r="L74" s="860"/>
      <c r="P74" s="34"/>
    </row>
    <row r="75" spans="1:17" ht="16.5" thickBot="1" x14ac:dyDescent="0.3">
      <c r="D75" s="110" t="s">
        <v>16</v>
      </c>
      <c r="E75" s="98" t="s">
        <v>17</v>
      </c>
      <c r="F75" s="111">
        <v>283074</v>
      </c>
      <c r="P75" s="34"/>
    </row>
    <row r="76" spans="1:17" ht="20.25" thickTop="1" thickBot="1" x14ac:dyDescent="0.35">
      <c r="C76" s="112">
        <v>44682</v>
      </c>
      <c r="D76" s="837" t="s">
        <v>18</v>
      </c>
      <c r="E76" s="838"/>
      <c r="F76" s="113">
        <v>2112071.92</v>
      </c>
      <c r="I76" s="839" t="s">
        <v>852</v>
      </c>
      <c r="J76" s="840"/>
      <c r="K76" s="841">
        <f>K72+K74</f>
        <v>-14987.790000000037</v>
      </c>
      <c r="L76" s="841"/>
      <c r="P76" s="34"/>
    </row>
    <row r="77" spans="1:17" ht="17.25" x14ac:dyDescent="0.3">
      <c r="C77" s="114"/>
      <c r="D77" s="115"/>
      <c r="E77" s="116"/>
      <c r="F77" s="117"/>
      <c r="J77" s="118"/>
      <c r="P77" s="34"/>
    </row>
    <row r="78" spans="1:17" ht="20.25" customHeight="1" x14ac:dyDescent="0.25">
      <c r="I78" s="119"/>
      <c r="J78" s="119"/>
      <c r="K78" s="179"/>
      <c r="L78" s="120"/>
      <c r="P78" s="34"/>
    </row>
    <row r="79" spans="1:17" ht="16.5" customHeight="1" x14ac:dyDescent="0.25">
      <c r="B79" s="121"/>
      <c r="C79" s="122"/>
      <c r="D79" s="123"/>
      <c r="E79" s="34"/>
      <c r="I79" s="119"/>
      <c r="J79" s="119"/>
      <c r="K79" s="179"/>
      <c r="L79" s="120"/>
      <c r="M79" s="124"/>
      <c r="N79" s="98"/>
      <c r="P79" s="34"/>
    </row>
    <row r="80" spans="1:17" x14ac:dyDescent="0.25">
      <c r="B80" s="121"/>
      <c r="C80" s="125"/>
      <c r="E80" s="34"/>
      <c r="M80" s="124"/>
      <c r="N80" s="98"/>
      <c r="P80" s="34"/>
    </row>
    <row r="81" spans="2:16" x14ac:dyDescent="0.25">
      <c r="B81" s="121"/>
      <c r="C81" s="125"/>
      <c r="E81" s="34"/>
      <c r="F81" s="126"/>
      <c r="L81" s="127"/>
      <c r="M81" s="1"/>
      <c r="P81" s="34"/>
    </row>
    <row r="82" spans="2:16" x14ac:dyDescent="0.25">
      <c r="B82" s="121"/>
      <c r="C82" s="125"/>
      <c r="E82" s="34"/>
      <c r="M82" s="1"/>
      <c r="P82" s="34"/>
    </row>
    <row r="83" spans="2:16" x14ac:dyDescent="0.25">
      <c r="B83" s="121"/>
      <c r="C83" s="125"/>
      <c r="D83" s="128"/>
      <c r="E83" s="34"/>
      <c r="F83" s="129"/>
      <c r="M83" s="1"/>
      <c r="P83" s="34"/>
    </row>
    <row r="84" spans="2:16" x14ac:dyDescent="0.25">
      <c r="D84" s="128"/>
      <c r="E84" s="130"/>
      <c r="F84" s="34"/>
      <c r="M84" s="1"/>
      <c r="P84" s="34"/>
    </row>
    <row r="85" spans="2:16" x14ac:dyDescent="0.25">
      <c r="D85" s="128"/>
      <c r="E85" s="130"/>
      <c r="F85" s="34"/>
      <c r="M85" s="1"/>
      <c r="P85" s="34"/>
    </row>
    <row r="86" spans="2:16" x14ac:dyDescent="0.25">
      <c r="D86" s="128"/>
      <c r="E86" s="130"/>
      <c r="F86" s="34"/>
      <c r="M86" s="1"/>
      <c r="P86" s="34"/>
    </row>
    <row r="87" spans="2:16" x14ac:dyDescent="0.25">
      <c r="D87" s="128"/>
      <c r="E87" s="130"/>
      <c r="F87" s="34"/>
      <c r="M87" s="1"/>
      <c r="P87" s="34"/>
    </row>
    <row r="88" spans="2:16" x14ac:dyDescent="0.25">
      <c r="D88" s="128"/>
      <c r="E88" s="130"/>
      <c r="F88" s="34"/>
      <c r="M88" s="1"/>
      <c r="P88" s="457"/>
    </row>
    <row r="89" spans="2:16" x14ac:dyDescent="0.25">
      <c r="D89" s="128"/>
      <c r="E89" s="130"/>
      <c r="F89" s="34"/>
      <c r="M89" s="1"/>
    </row>
    <row r="90" spans="2:16" x14ac:dyDescent="0.25">
      <c r="D90" s="128"/>
      <c r="E90" s="130"/>
      <c r="F90" s="34"/>
      <c r="M90" s="1"/>
    </row>
    <row r="91" spans="2:16" x14ac:dyDescent="0.25">
      <c r="D91" s="128"/>
      <c r="E91" s="130"/>
      <c r="F91" s="34"/>
      <c r="M91" s="1"/>
    </row>
    <row r="92" spans="2:16" x14ac:dyDescent="0.25">
      <c r="D92" s="128"/>
      <c r="E92" s="130"/>
      <c r="F92" s="34"/>
      <c r="M92" s="1"/>
    </row>
    <row r="93" spans="2:16" x14ac:dyDescent="0.25">
      <c r="D93" s="128"/>
      <c r="E93" s="130"/>
      <c r="F93" s="34"/>
      <c r="M93" s="1"/>
    </row>
    <row r="94" spans="2:16" x14ac:dyDescent="0.25">
      <c r="D94" s="128"/>
      <c r="E94" s="130"/>
      <c r="F94" s="34"/>
      <c r="M94" s="1"/>
    </row>
    <row r="95" spans="2:16" x14ac:dyDescent="0.25">
      <c r="D95" s="128"/>
      <c r="E95" s="130"/>
      <c r="F95" s="34"/>
    </row>
    <row r="96" spans="2:16" x14ac:dyDescent="0.25">
      <c r="D96" s="128"/>
      <c r="E96" s="128"/>
      <c r="F96" s="129"/>
    </row>
    <row r="97" spans="4:6" x14ac:dyDescent="0.25">
      <c r="D97" s="128"/>
      <c r="E97" s="128"/>
      <c r="F97" s="129"/>
    </row>
    <row r="98" spans="4:6" x14ac:dyDescent="0.25">
      <c r="D98" s="128"/>
      <c r="E98" s="128"/>
      <c r="F98" s="129"/>
    </row>
  </sheetData>
  <sortState ref="J47:L67">
    <sortCondition ref="J47:J67"/>
  </sortState>
  <mergeCells count="30">
    <mergeCell ref="W26:X26"/>
    <mergeCell ref="R3:R4"/>
    <mergeCell ref="W27:X28"/>
    <mergeCell ref="B1:B2"/>
    <mergeCell ref="C1:M1"/>
    <mergeCell ref="B3:C3"/>
    <mergeCell ref="H3:I3"/>
    <mergeCell ref="P3:P4"/>
    <mergeCell ref="E4:F4"/>
    <mergeCell ref="H4:I4"/>
    <mergeCell ref="W4:X5"/>
    <mergeCell ref="W19:W20"/>
    <mergeCell ref="W21:X21"/>
    <mergeCell ref="W23:X24"/>
    <mergeCell ref="W25:X25"/>
    <mergeCell ref="Y27:Y28"/>
    <mergeCell ref="M41:M42"/>
    <mergeCell ref="N41:N42"/>
    <mergeCell ref="Q41:Q42"/>
    <mergeCell ref="K74:L74"/>
    <mergeCell ref="M45:N45"/>
    <mergeCell ref="D76:E76"/>
    <mergeCell ref="I76:J76"/>
    <mergeCell ref="K76:L76"/>
    <mergeCell ref="H70:I70"/>
    <mergeCell ref="K70:L70"/>
    <mergeCell ref="D71:E71"/>
    <mergeCell ref="D72:E72"/>
    <mergeCell ref="I72:J72"/>
    <mergeCell ref="K72:L72"/>
  </mergeCells>
  <pageMargins left="0.23622047244094491" right="0.23622047244094491" top="0.39370078740157483" bottom="0.35433070866141736" header="0.31496062992125984" footer="0.31496062992125984"/>
  <pageSetup scale="85" orientation="landscape" horizontalDpi="0" verticalDpi="0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N130"/>
  <sheetViews>
    <sheetView workbookViewId="0">
      <pane ySplit="2" topLeftCell="A33" activePane="bottomLeft" state="frozen"/>
      <selection pane="bottomLeft" activeCell="D49" sqref="D49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7.5703125" style="4" bestFit="1" customWidth="1"/>
    <col min="4" max="4" width="13.85546875" style="257" bestFit="1" customWidth="1"/>
    <col min="5" max="5" width="15.57031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7.42578125" style="4" bestFit="1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I1" s="301" t="s">
        <v>318</v>
      </c>
      <c r="J1" s="302"/>
      <c r="K1" s="303"/>
      <c r="L1" s="367"/>
      <c r="M1" s="303"/>
      <c r="N1" s="377" t="s">
        <v>314</v>
      </c>
    </row>
    <row r="2" spans="1:14" ht="21.75" customHeight="1" thickTop="1" thickBot="1" x14ac:dyDescent="0.35">
      <c r="A2" s="451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1:14" ht="15.75" x14ac:dyDescent="0.25">
      <c r="A3" s="492">
        <v>44648</v>
      </c>
      <c r="B3" s="493" t="s">
        <v>610</v>
      </c>
      <c r="C3" s="494">
        <v>10026.200000000001</v>
      </c>
      <c r="D3" s="411">
        <v>44670</v>
      </c>
      <c r="E3" s="410">
        <v>10026.200000000001</v>
      </c>
      <c r="F3" s="410">
        <f>C3-E3</f>
        <v>0</v>
      </c>
      <c r="I3" s="497" t="s">
        <v>716</v>
      </c>
      <c r="J3" s="520">
        <v>8871</v>
      </c>
      <c r="K3" s="499">
        <v>0</v>
      </c>
      <c r="L3" s="712">
        <v>44744</v>
      </c>
      <c r="M3" s="710"/>
      <c r="N3" s="183">
        <f>K3-M3</f>
        <v>0</v>
      </c>
    </row>
    <row r="4" spans="1:14" ht="18.75" x14ac:dyDescent="0.3">
      <c r="A4" s="492">
        <v>44649</v>
      </c>
      <c r="B4" s="495" t="s">
        <v>611</v>
      </c>
      <c r="C4" s="488">
        <v>94987.44</v>
      </c>
      <c r="D4" s="411">
        <v>44670</v>
      </c>
      <c r="E4" s="111">
        <v>94987.44</v>
      </c>
      <c r="F4" s="111">
        <f t="shared" ref="F4:F67" si="0">C4-E4</f>
        <v>0</v>
      </c>
      <c r="G4" s="138"/>
      <c r="I4" s="500" t="s">
        <v>717</v>
      </c>
      <c r="J4" s="521">
        <v>8877</v>
      </c>
      <c r="K4" s="502">
        <v>16921.599999999999</v>
      </c>
      <c r="L4" s="712">
        <v>44744</v>
      </c>
      <c r="M4" s="711">
        <v>16921.599999999999</v>
      </c>
      <c r="N4" s="137">
        <f>N3+K4-M4</f>
        <v>0</v>
      </c>
    </row>
    <row r="5" spans="1:14" ht="15.75" x14ac:dyDescent="0.25">
      <c r="A5" s="492">
        <v>44650</v>
      </c>
      <c r="B5" s="495" t="s">
        <v>612</v>
      </c>
      <c r="C5" s="488">
        <v>8900.25</v>
      </c>
      <c r="D5" s="411">
        <v>44670</v>
      </c>
      <c r="E5" s="111">
        <v>8900.25</v>
      </c>
      <c r="F5" s="111">
        <f t="shared" si="0"/>
        <v>0</v>
      </c>
      <c r="I5" s="497" t="s">
        <v>718</v>
      </c>
      <c r="J5" s="520">
        <v>8883</v>
      </c>
      <c r="K5" s="499">
        <v>24058.799999999999</v>
      </c>
      <c r="L5" s="712">
        <v>44744</v>
      </c>
      <c r="M5" s="710">
        <v>24058.799999999999</v>
      </c>
      <c r="N5" s="137">
        <f t="shared" ref="N5:N78" si="1">N4+K5-M5</f>
        <v>0</v>
      </c>
    </row>
    <row r="6" spans="1:14" ht="15.75" x14ac:dyDescent="0.25">
      <c r="A6" s="492">
        <v>44650</v>
      </c>
      <c r="B6" s="495" t="s">
        <v>613</v>
      </c>
      <c r="C6" s="488">
        <v>8045.4</v>
      </c>
      <c r="D6" s="411">
        <v>44670</v>
      </c>
      <c r="E6" s="111">
        <v>8045.4</v>
      </c>
      <c r="F6" s="111">
        <f t="shared" si="0"/>
        <v>0</v>
      </c>
      <c r="I6" s="497" t="s">
        <v>719</v>
      </c>
      <c r="J6" s="520">
        <v>8891</v>
      </c>
      <c r="K6" s="499">
        <v>11335.2</v>
      </c>
      <c r="L6" s="712">
        <v>44744</v>
      </c>
      <c r="M6" s="710">
        <v>11335.2</v>
      </c>
      <c r="N6" s="137">
        <f t="shared" si="1"/>
        <v>0</v>
      </c>
    </row>
    <row r="7" spans="1:14" ht="15.75" x14ac:dyDescent="0.25">
      <c r="A7" s="496">
        <v>44651</v>
      </c>
      <c r="B7" s="495" t="s">
        <v>614</v>
      </c>
      <c r="C7" s="488">
        <v>41855.9</v>
      </c>
      <c r="D7" s="411">
        <v>44670</v>
      </c>
      <c r="E7" s="111">
        <v>41855.9</v>
      </c>
      <c r="F7" s="111">
        <f t="shared" si="0"/>
        <v>0</v>
      </c>
      <c r="I7" s="500" t="s">
        <v>720</v>
      </c>
      <c r="J7" s="501">
        <v>8902</v>
      </c>
      <c r="K7" s="502">
        <v>529</v>
      </c>
      <c r="L7" s="712">
        <v>44744</v>
      </c>
      <c r="M7" s="711">
        <v>529</v>
      </c>
      <c r="N7" s="137">
        <f t="shared" si="1"/>
        <v>0</v>
      </c>
    </row>
    <row r="8" spans="1:14" ht="15.75" x14ac:dyDescent="0.25">
      <c r="A8" s="587">
        <v>44652</v>
      </c>
      <c r="B8" s="355" t="s">
        <v>660</v>
      </c>
      <c r="C8" s="96">
        <v>40594.699999999997</v>
      </c>
      <c r="D8" s="411">
        <v>44670</v>
      </c>
      <c r="E8" s="96">
        <v>40594.699999999997</v>
      </c>
      <c r="F8" s="111">
        <f t="shared" si="0"/>
        <v>0</v>
      </c>
      <c r="I8" s="497" t="s">
        <v>721</v>
      </c>
      <c r="J8" s="498">
        <v>8912</v>
      </c>
      <c r="K8" s="499">
        <v>4369.8</v>
      </c>
      <c r="L8" s="712">
        <v>44744</v>
      </c>
      <c r="M8" s="710">
        <v>4369.8</v>
      </c>
      <c r="N8" s="137">
        <f t="shared" si="1"/>
        <v>0</v>
      </c>
    </row>
    <row r="9" spans="1:14" ht="15.75" x14ac:dyDescent="0.25">
      <c r="A9" s="587">
        <v>44652</v>
      </c>
      <c r="B9" s="355" t="s">
        <v>661</v>
      </c>
      <c r="C9" s="96">
        <v>33750.6</v>
      </c>
      <c r="D9" s="411">
        <v>44670</v>
      </c>
      <c r="E9" s="96">
        <v>33750.6</v>
      </c>
      <c r="F9" s="111">
        <f t="shared" si="0"/>
        <v>0</v>
      </c>
      <c r="I9" s="500" t="s">
        <v>721</v>
      </c>
      <c r="J9" s="501">
        <v>8914</v>
      </c>
      <c r="K9" s="502">
        <v>1236.5999999999999</v>
      </c>
      <c r="L9" s="712">
        <v>44744</v>
      </c>
      <c r="M9" s="711">
        <v>1236.5999999999999</v>
      </c>
      <c r="N9" s="137">
        <f t="shared" si="1"/>
        <v>0</v>
      </c>
    </row>
    <row r="10" spans="1:14" ht="18.75" x14ac:dyDescent="0.3">
      <c r="A10" s="587">
        <v>44653</v>
      </c>
      <c r="B10" s="355" t="s">
        <v>662</v>
      </c>
      <c r="C10" s="96">
        <v>56947.7</v>
      </c>
      <c r="D10" s="411">
        <v>44670</v>
      </c>
      <c r="E10" s="96">
        <v>56947.7</v>
      </c>
      <c r="F10" s="111">
        <f t="shared" si="0"/>
        <v>0</v>
      </c>
      <c r="G10" s="138"/>
      <c r="I10" s="500" t="s">
        <v>722</v>
      </c>
      <c r="J10" s="501">
        <v>8918</v>
      </c>
      <c r="K10" s="502">
        <v>450</v>
      </c>
      <c r="L10" s="712">
        <v>44744</v>
      </c>
      <c r="M10" s="711">
        <v>450</v>
      </c>
      <c r="N10" s="137">
        <f t="shared" si="1"/>
        <v>0</v>
      </c>
    </row>
    <row r="11" spans="1:14" ht="15.75" x14ac:dyDescent="0.25">
      <c r="A11" s="587">
        <v>44653</v>
      </c>
      <c r="B11" s="355" t="s">
        <v>663</v>
      </c>
      <c r="C11" s="96">
        <v>41220.6</v>
      </c>
      <c r="D11" s="411">
        <v>44670</v>
      </c>
      <c r="E11" s="96">
        <v>41220.6</v>
      </c>
      <c r="F11" s="111">
        <f t="shared" si="0"/>
        <v>0</v>
      </c>
      <c r="I11" s="497" t="s">
        <v>723</v>
      </c>
      <c r="J11" s="498">
        <v>8920</v>
      </c>
      <c r="K11" s="499">
        <v>1472</v>
      </c>
      <c r="L11" s="712">
        <v>44744</v>
      </c>
      <c r="M11" s="710">
        <v>1472</v>
      </c>
      <c r="N11" s="137">
        <f t="shared" si="1"/>
        <v>0</v>
      </c>
    </row>
    <row r="12" spans="1:14" ht="15.75" x14ac:dyDescent="0.25">
      <c r="A12" s="587">
        <v>44655</v>
      </c>
      <c r="B12" s="355" t="s">
        <v>664</v>
      </c>
      <c r="C12" s="96">
        <v>45972.7</v>
      </c>
      <c r="D12" s="411">
        <v>44670</v>
      </c>
      <c r="E12" s="96">
        <v>45972.7</v>
      </c>
      <c r="F12" s="111">
        <f t="shared" si="0"/>
        <v>0</v>
      </c>
      <c r="I12" s="500" t="s">
        <v>723</v>
      </c>
      <c r="J12" s="501">
        <v>8922</v>
      </c>
      <c r="K12" s="502">
        <v>1584</v>
      </c>
      <c r="L12" s="712">
        <v>44744</v>
      </c>
      <c r="M12" s="711">
        <v>1584</v>
      </c>
      <c r="N12" s="137">
        <f t="shared" si="1"/>
        <v>0</v>
      </c>
    </row>
    <row r="13" spans="1:14" ht="15.75" x14ac:dyDescent="0.25">
      <c r="A13" s="587">
        <v>44656</v>
      </c>
      <c r="B13" s="355" t="s">
        <v>665</v>
      </c>
      <c r="C13" s="96">
        <v>0</v>
      </c>
      <c r="D13" s="411">
        <v>44670</v>
      </c>
      <c r="E13" s="96">
        <v>0</v>
      </c>
      <c r="F13" s="111">
        <f t="shared" si="0"/>
        <v>0</v>
      </c>
      <c r="I13" s="497" t="s">
        <v>724</v>
      </c>
      <c r="J13" s="498">
        <v>8937</v>
      </c>
      <c r="K13" s="499">
        <v>930</v>
      </c>
      <c r="L13" s="712">
        <v>44744</v>
      </c>
      <c r="M13" s="710">
        <v>930</v>
      </c>
      <c r="N13" s="137">
        <f t="shared" si="1"/>
        <v>0</v>
      </c>
    </row>
    <row r="14" spans="1:14" ht="15.75" x14ac:dyDescent="0.25">
      <c r="A14" s="587">
        <v>44656</v>
      </c>
      <c r="B14" s="355" t="s">
        <v>666</v>
      </c>
      <c r="C14" s="96">
        <v>98237.45</v>
      </c>
      <c r="D14" s="411">
        <v>44670</v>
      </c>
      <c r="E14" s="96">
        <v>98237.45</v>
      </c>
      <c r="F14" s="111">
        <f t="shared" si="0"/>
        <v>0</v>
      </c>
      <c r="I14" s="500" t="s">
        <v>725</v>
      </c>
      <c r="J14" s="501">
        <v>8942</v>
      </c>
      <c r="K14" s="502">
        <v>450</v>
      </c>
      <c r="L14" s="712">
        <v>44744</v>
      </c>
      <c r="M14" s="711">
        <v>450</v>
      </c>
      <c r="N14" s="137">
        <f t="shared" si="1"/>
        <v>0</v>
      </c>
    </row>
    <row r="15" spans="1:14" ht="15.75" x14ac:dyDescent="0.25">
      <c r="A15" s="587">
        <v>44657</v>
      </c>
      <c r="B15" s="355" t="s">
        <v>667</v>
      </c>
      <c r="C15" s="96">
        <v>113177.8</v>
      </c>
      <c r="D15" s="411">
        <v>44670</v>
      </c>
      <c r="E15" s="96">
        <v>113177.8</v>
      </c>
      <c r="F15" s="111">
        <f t="shared" si="0"/>
        <v>0</v>
      </c>
      <c r="I15" s="497" t="s">
        <v>725</v>
      </c>
      <c r="J15" s="498">
        <v>8945</v>
      </c>
      <c r="K15" s="499">
        <v>1080</v>
      </c>
      <c r="L15" s="712">
        <v>44744</v>
      </c>
      <c r="M15" s="710">
        <v>1080</v>
      </c>
      <c r="N15" s="137">
        <f t="shared" si="1"/>
        <v>0</v>
      </c>
    </row>
    <row r="16" spans="1:14" ht="15.75" x14ac:dyDescent="0.25">
      <c r="A16" s="587">
        <v>44657</v>
      </c>
      <c r="B16" s="355" t="s">
        <v>668</v>
      </c>
      <c r="C16" s="96">
        <v>56460</v>
      </c>
      <c r="D16" s="411">
        <v>44670</v>
      </c>
      <c r="E16" s="96">
        <v>56460</v>
      </c>
      <c r="F16" s="111">
        <f t="shared" si="0"/>
        <v>0</v>
      </c>
      <c r="I16" s="497" t="s">
        <v>726</v>
      </c>
      <c r="J16" s="498">
        <v>8957</v>
      </c>
      <c r="K16" s="499">
        <v>21899.8</v>
      </c>
      <c r="L16" s="712">
        <v>44744</v>
      </c>
      <c r="M16" s="710">
        <v>21899.8</v>
      </c>
      <c r="N16" s="137">
        <f t="shared" si="1"/>
        <v>0</v>
      </c>
    </row>
    <row r="17" spans="1:14" ht="15.75" x14ac:dyDescent="0.25">
      <c r="A17" s="587">
        <v>44657</v>
      </c>
      <c r="B17" s="355" t="s">
        <v>669</v>
      </c>
      <c r="C17" s="96">
        <v>704</v>
      </c>
      <c r="D17" s="411">
        <v>44670</v>
      </c>
      <c r="E17" s="96">
        <v>704</v>
      </c>
      <c r="F17" s="111">
        <f t="shared" si="0"/>
        <v>0</v>
      </c>
      <c r="I17" s="497" t="s">
        <v>727</v>
      </c>
      <c r="J17" s="498">
        <v>8964</v>
      </c>
      <c r="K17" s="499">
        <v>1180</v>
      </c>
      <c r="L17" s="712">
        <v>44744</v>
      </c>
      <c r="M17" s="710">
        <v>1180</v>
      </c>
      <c r="N17" s="137">
        <f t="shared" si="1"/>
        <v>0</v>
      </c>
    </row>
    <row r="18" spans="1:14" ht="15.75" x14ac:dyDescent="0.25">
      <c r="A18" s="587">
        <v>44658</v>
      </c>
      <c r="B18" s="355" t="s">
        <v>670</v>
      </c>
      <c r="C18" s="96">
        <v>59508.4</v>
      </c>
      <c r="D18" s="411">
        <v>44670</v>
      </c>
      <c r="E18" s="96">
        <v>59508.4</v>
      </c>
      <c r="F18" s="111">
        <f t="shared" si="0"/>
        <v>0</v>
      </c>
      <c r="I18" s="497" t="s">
        <v>728</v>
      </c>
      <c r="J18" s="498">
        <v>8977</v>
      </c>
      <c r="K18" s="499">
        <v>1200</v>
      </c>
      <c r="L18" s="712">
        <v>44744</v>
      </c>
      <c r="M18" s="710">
        <v>1200</v>
      </c>
      <c r="N18" s="137">
        <f t="shared" si="1"/>
        <v>0</v>
      </c>
    </row>
    <row r="19" spans="1:14" ht="15.75" x14ac:dyDescent="0.25">
      <c r="A19" s="587">
        <v>44659</v>
      </c>
      <c r="B19" s="355" t="s">
        <v>671</v>
      </c>
      <c r="C19" s="96">
        <v>69583.75</v>
      </c>
      <c r="D19" s="411">
        <v>44670</v>
      </c>
      <c r="E19" s="96">
        <v>69583.75</v>
      </c>
      <c r="F19" s="111">
        <f t="shared" si="0"/>
        <v>0</v>
      </c>
      <c r="I19" s="497" t="s">
        <v>728</v>
      </c>
      <c r="J19" s="498">
        <v>8978</v>
      </c>
      <c r="K19" s="499">
        <v>1081</v>
      </c>
      <c r="L19" s="712">
        <v>44744</v>
      </c>
      <c r="M19" s="710">
        <v>1081</v>
      </c>
      <c r="N19" s="137">
        <f t="shared" si="1"/>
        <v>0</v>
      </c>
    </row>
    <row r="20" spans="1:14" ht="15.75" x14ac:dyDescent="0.25">
      <c r="A20" s="587">
        <v>44659</v>
      </c>
      <c r="B20" s="355" t="s">
        <v>672</v>
      </c>
      <c r="C20" s="96">
        <v>49806</v>
      </c>
      <c r="D20" s="411">
        <v>44670</v>
      </c>
      <c r="E20" s="96">
        <v>49806</v>
      </c>
      <c r="F20" s="111">
        <f t="shared" si="0"/>
        <v>0</v>
      </c>
      <c r="I20" s="500" t="s">
        <v>729</v>
      </c>
      <c r="J20" s="501">
        <v>8987</v>
      </c>
      <c r="K20" s="502">
        <v>270</v>
      </c>
      <c r="L20" s="712">
        <v>44744</v>
      </c>
      <c r="M20" s="711">
        <v>270</v>
      </c>
      <c r="N20" s="137">
        <f t="shared" si="1"/>
        <v>0</v>
      </c>
    </row>
    <row r="21" spans="1:14" ht="15.75" x14ac:dyDescent="0.25">
      <c r="A21" s="587">
        <v>44660</v>
      </c>
      <c r="B21" s="355" t="s">
        <v>674</v>
      </c>
      <c r="C21" s="96">
        <v>67001.67</v>
      </c>
      <c r="D21" s="582">
        <v>44706</v>
      </c>
      <c r="E21" s="586">
        <v>67001.67</v>
      </c>
      <c r="F21" s="111">
        <f t="shared" si="0"/>
        <v>0</v>
      </c>
      <c r="I21" s="500" t="s">
        <v>730</v>
      </c>
      <c r="J21" s="501">
        <v>8994</v>
      </c>
      <c r="K21" s="502">
        <v>1894.8</v>
      </c>
      <c r="L21" s="712">
        <v>44744</v>
      </c>
      <c r="M21" s="711">
        <v>1894.8</v>
      </c>
      <c r="N21" s="137">
        <f t="shared" si="1"/>
        <v>0</v>
      </c>
    </row>
    <row r="22" spans="1:14" ht="18.75" x14ac:dyDescent="0.3">
      <c r="A22" s="587">
        <v>44660</v>
      </c>
      <c r="B22" s="355" t="s">
        <v>675</v>
      </c>
      <c r="C22" s="96">
        <v>5256</v>
      </c>
      <c r="D22" s="582">
        <v>44706</v>
      </c>
      <c r="E22" s="586">
        <v>5256</v>
      </c>
      <c r="F22" s="111">
        <f t="shared" si="0"/>
        <v>0</v>
      </c>
      <c r="G22" s="138"/>
      <c r="I22" s="497" t="s">
        <v>730</v>
      </c>
      <c r="J22" s="498">
        <v>8997</v>
      </c>
      <c r="K22" s="499">
        <v>2360</v>
      </c>
      <c r="L22" s="712">
        <v>44744</v>
      </c>
      <c r="M22" s="710">
        <v>2360</v>
      </c>
      <c r="N22" s="137">
        <f t="shared" si="1"/>
        <v>0</v>
      </c>
    </row>
    <row r="23" spans="1:14" ht="15.75" x14ac:dyDescent="0.25">
      <c r="A23" s="587">
        <v>44662</v>
      </c>
      <c r="B23" s="355" t="s">
        <v>677</v>
      </c>
      <c r="C23" s="96">
        <v>40472.6</v>
      </c>
      <c r="D23" s="582">
        <v>44706</v>
      </c>
      <c r="E23" s="586">
        <v>40472.6</v>
      </c>
      <c r="F23" s="111">
        <f t="shared" si="0"/>
        <v>0</v>
      </c>
      <c r="I23" s="497" t="s">
        <v>731</v>
      </c>
      <c r="J23" s="498">
        <v>9005</v>
      </c>
      <c r="K23" s="499">
        <v>19679.400000000001</v>
      </c>
      <c r="L23" s="712">
        <v>44744</v>
      </c>
      <c r="M23" s="710">
        <v>19679.400000000001</v>
      </c>
      <c r="N23" s="137">
        <f t="shared" si="1"/>
        <v>0</v>
      </c>
    </row>
    <row r="24" spans="1:14" ht="15.75" x14ac:dyDescent="0.25">
      <c r="A24" s="587">
        <v>44662</v>
      </c>
      <c r="B24" s="355" t="s">
        <v>678</v>
      </c>
      <c r="C24" s="96">
        <v>3906</v>
      </c>
      <c r="D24" s="582">
        <v>44706</v>
      </c>
      <c r="E24" s="586">
        <v>3906</v>
      </c>
      <c r="F24" s="111">
        <f t="shared" si="0"/>
        <v>0</v>
      </c>
      <c r="I24" s="497" t="s">
        <v>731</v>
      </c>
      <c r="J24" s="498">
        <v>9007</v>
      </c>
      <c r="K24" s="499">
        <v>36567.599999999999</v>
      </c>
      <c r="L24" s="712">
        <v>44744</v>
      </c>
      <c r="M24" s="710">
        <v>36567.599999999999</v>
      </c>
      <c r="N24" s="137">
        <f t="shared" si="1"/>
        <v>0</v>
      </c>
    </row>
    <row r="25" spans="1:14" ht="15.75" x14ac:dyDescent="0.25">
      <c r="A25" s="587">
        <v>44663</v>
      </c>
      <c r="B25" s="355" t="s">
        <v>680</v>
      </c>
      <c r="C25" s="96">
        <v>33820.800000000003</v>
      </c>
      <c r="D25" s="582">
        <v>44706</v>
      </c>
      <c r="E25" s="586">
        <v>33820.800000000003</v>
      </c>
      <c r="F25" s="111">
        <f t="shared" si="0"/>
        <v>0</v>
      </c>
      <c r="I25" s="497" t="s">
        <v>732</v>
      </c>
      <c r="J25" s="498">
        <v>9011</v>
      </c>
      <c r="K25" s="499">
        <v>2588.64</v>
      </c>
      <c r="L25" s="712">
        <v>44744</v>
      </c>
      <c r="M25" s="710">
        <v>2588.64</v>
      </c>
      <c r="N25" s="137">
        <f t="shared" si="1"/>
        <v>0</v>
      </c>
    </row>
    <row r="26" spans="1:14" ht="15.75" x14ac:dyDescent="0.25">
      <c r="A26" s="587">
        <v>44664</v>
      </c>
      <c r="B26" s="355" t="s">
        <v>682</v>
      </c>
      <c r="C26" s="96">
        <v>36277.25</v>
      </c>
      <c r="D26" s="582">
        <v>44706</v>
      </c>
      <c r="E26" s="586">
        <v>36277.25</v>
      </c>
      <c r="F26" s="111">
        <f t="shared" si="0"/>
        <v>0</v>
      </c>
      <c r="I26" s="500" t="s">
        <v>732</v>
      </c>
      <c r="J26" s="501">
        <v>9014</v>
      </c>
      <c r="K26" s="502">
        <v>1080</v>
      </c>
      <c r="L26" s="712">
        <v>44744</v>
      </c>
      <c r="M26" s="711">
        <v>1080</v>
      </c>
      <c r="N26" s="137">
        <f t="shared" si="1"/>
        <v>0</v>
      </c>
    </row>
    <row r="27" spans="1:14" ht="15.75" x14ac:dyDescent="0.25">
      <c r="A27" s="587">
        <v>44665</v>
      </c>
      <c r="B27" s="355" t="s">
        <v>684</v>
      </c>
      <c r="C27" s="96">
        <v>61531.34</v>
      </c>
      <c r="D27" s="582">
        <v>44706</v>
      </c>
      <c r="E27" s="586">
        <v>61531.34</v>
      </c>
      <c r="F27" s="111">
        <f t="shared" si="0"/>
        <v>0</v>
      </c>
      <c r="I27" s="500" t="s">
        <v>732</v>
      </c>
      <c r="J27" s="501">
        <v>9017</v>
      </c>
      <c r="K27" s="502">
        <v>28960.799999999999</v>
      </c>
      <c r="L27" s="712">
        <v>44744</v>
      </c>
      <c r="M27" s="711">
        <v>28960.799999999999</v>
      </c>
      <c r="N27" s="137">
        <f t="shared" si="1"/>
        <v>0</v>
      </c>
    </row>
    <row r="28" spans="1:14" ht="15.75" x14ac:dyDescent="0.25">
      <c r="A28" s="587">
        <v>44665</v>
      </c>
      <c r="B28" s="355" t="s">
        <v>685</v>
      </c>
      <c r="C28" s="96">
        <v>12189.9</v>
      </c>
      <c r="D28" s="582">
        <v>44706</v>
      </c>
      <c r="E28" s="586">
        <v>12189.9</v>
      </c>
      <c r="F28" s="111">
        <f t="shared" si="0"/>
        <v>0</v>
      </c>
      <c r="I28" s="500" t="s">
        <v>733</v>
      </c>
      <c r="J28" s="501">
        <v>9033</v>
      </c>
      <c r="K28" s="502">
        <v>2238.5</v>
      </c>
      <c r="L28" s="712">
        <v>44744</v>
      </c>
      <c r="M28" s="711">
        <v>2238.5</v>
      </c>
      <c r="N28" s="137">
        <f t="shared" si="1"/>
        <v>0</v>
      </c>
    </row>
    <row r="29" spans="1:14" ht="15.75" x14ac:dyDescent="0.25">
      <c r="A29" s="587">
        <v>44667</v>
      </c>
      <c r="B29" s="355" t="s">
        <v>687</v>
      </c>
      <c r="C29" s="96">
        <v>64256.75</v>
      </c>
      <c r="D29" s="582">
        <v>44706</v>
      </c>
      <c r="E29" s="586">
        <v>64256.75</v>
      </c>
      <c r="F29" s="111">
        <f t="shared" si="0"/>
        <v>0</v>
      </c>
      <c r="I29" s="497" t="s">
        <v>733</v>
      </c>
      <c r="J29" s="498">
        <v>9041</v>
      </c>
      <c r="K29" s="499">
        <v>1771.6</v>
      </c>
      <c r="L29" s="712">
        <v>44744</v>
      </c>
      <c r="M29" s="710">
        <v>1771.6</v>
      </c>
      <c r="N29" s="137">
        <f t="shared" si="1"/>
        <v>0</v>
      </c>
    </row>
    <row r="30" spans="1:14" ht="18.75" x14ac:dyDescent="0.3">
      <c r="A30" s="587">
        <v>44669</v>
      </c>
      <c r="B30" s="355" t="s">
        <v>689</v>
      </c>
      <c r="C30" s="96">
        <v>53375.8</v>
      </c>
      <c r="D30" s="582">
        <v>44706</v>
      </c>
      <c r="E30" s="586">
        <v>53375.8</v>
      </c>
      <c r="F30" s="111">
        <f t="shared" si="0"/>
        <v>0</v>
      </c>
      <c r="G30" s="138"/>
      <c r="I30" s="500" t="s">
        <v>734</v>
      </c>
      <c r="J30" s="501">
        <v>9044</v>
      </c>
      <c r="K30" s="502">
        <v>36114.800000000003</v>
      </c>
      <c r="L30" s="712">
        <v>44744</v>
      </c>
      <c r="M30" s="711">
        <v>36114.800000000003</v>
      </c>
      <c r="N30" s="137">
        <f t="shared" si="1"/>
        <v>0</v>
      </c>
    </row>
    <row r="31" spans="1:14" ht="15.75" x14ac:dyDescent="0.25">
      <c r="A31" s="587">
        <v>44670</v>
      </c>
      <c r="B31" s="355" t="s">
        <v>691</v>
      </c>
      <c r="C31" s="96">
        <v>126366.49</v>
      </c>
      <c r="D31" s="582">
        <v>44706</v>
      </c>
      <c r="E31" s="586">
        <v>126366.49</v>
      </c>
      <c r="F31" s="111">
        <f t="shared" si="0"/>
        <v>0</v>
      </c>
      <c r="I31" s="497" t="s">
        <v>735</v>
      </c>
      <c r="J31" s="498">
        <v>9049</v>
      </c>
      <c r="K31" s="499">
        <v>744</v>
      </c>
      <c r="L31" s="712">
        <v>44744</v>
      </c>
      <c r="M31" s="710">
        <v>744</v>
      </c>
      <c r="N31" s="137">
        <f t="shared" si="1"/>
        <v>0</v>
      </c>
    </row>
    <row r="32" spans="1:14" ht="15.75" x14ac:dyDescent="0.25">
      <c r="A32" s="587">
        <v>44670</v>
      </c>
      <c r="B32" s="355" t="s">
        <v>692</v>
      </c>
      <c r="C32" s="96">
        <v>6102</v>
      </c>
      <c r="D32" s="582">
        <v>44706</v>
      </c>
      <c r="E32" s="586">
        <v>6102</v>
      </c>
      <c r="F32" s="111">
        <f t="shared" si="0"/>
        <v>0</v>
      </c>
      <c r="I32" s="500" t="s">
        <v>735</v>
      </c>
      <c r="J32" s="501">
        <v>9050</v>
      </c>
      <c r="K32" s="502">
        <v>25869.8</v>
      </c>
      <c r="L32" s="712">
        <v>44744</v>
      </c>
      <c r="M32" s="711">
        <v>25869.8</v>
      </c>
      <c r="N32" s="137">
        <f t="shared" si="1"/>
        <v>0</v>
      </c>
    </row>
    <row r="33" spans="1:14" ht="15.75" x14ac:dyDescent="0.25">
      <c r="A33" s="587">
        <v>44670</v>
      </c>
      <c r="B33" s="355" t="s">
        <v>693</v>
      </c>
      <c r="C33" s="96">
        <v>4812</v>
      </c>
      <c r="D33" s="582">
        <v>44706</v>
      </c>
      <c r="E33" s="586">
        <v>4812</v>
      </c>
      <c r="F33" s="111">
        <f t="shared" si="0"/>
        <v>0</v>
      </c>
      <c r="I33" s="497" t="s">
        <v>736</v>
      </c>
      <c r="J33" s="498">
        <v>9059</v>
      </c>
      <c r="K33" s="499">
        <v>5027</v>
      </c>
      <c r="L33" s="712">
        <v>44744</v>
      </c>
      <c r="M33" s="710">
        <v>5027</v>
      </c>
      <c r="N33" s="137">
        <f t="shared" si="1"/>
        <v>0</v>
      </c>
    </row>
    <row r="34" spans="1:14" ht="15.75" x14ac:dyDescent="0.25">
      <c r="A34" s="587">
        <v>44671</v>
      </c>
      <c r="B34" s="355" t="s">
        <v>695</v>
      </c>
      <c r="C34" s="96">
        <v>10160.6</v>
      </c>
      <c r="D34" s="582">
        <v>44706</v>
      </c>
      <c r="E34" s="586">
        <v>10160.6</v>
      </c>
      <c r="F34" s="111">
        <f t="shared" si="0"/>
        <v>0</v>
      </c>
      <c r="I34" s="500" t="s">
        <v>737</v>
      </c>
      <c r="J34" s="501">
        <v>9065</v>
      </c>
      <c r="K34" s="502">
        <v>1820.8</v>
      </c>
      <c r="L34" s="712">
        <v>44744</v>
      </c>
      <c r="M34" s="711">
        <v>1820.8</v>
      </c>
      <c r="N34" s="137">
        <f t="shared" si="1"/>
        <v>0</v>
      </c>
    </row>
    <row r="35" spans="1:14" ht="15.75" x14ac:dyDescent="0.25">
      <c r="A35" s="587">
        <v>44671</v>
      </c>
      <c r="B35" s="355" t="s">
        <v>696</v>
      </c>
      <c r="C35" s="96">
        <v>75337.5</v>
      </c>
      <c r="D35" s="582">
        <v>44706</v>
      </c>
      <c r="E35" s="586">
        <v>75337.5</v>
      </c>
      <c r="F35" s="111">
        <f t="shared" si="0"/>
        <v>0</v>
      </c>
      <c r="I35" s="497" t="s">
        <v>738</v>
      </c>
      <c r="J35" s="498">
        <v>9078</v>
      </c>
      <c r="K35" s="499">
        <v>43759.6</v>
      </c>
      <c r="L35" s="712">
        <v>44744</v>
      </c>
      <c r="M35" s="710">
        <v>43759.6</v>
      </c>
      <c r="N35" s="137">
        <f t="shared" si="1"/>
        <v>0</v>
      </c>
    </row>
    <row r="36" spans="1:14" ht="15.75" x14ac:dyDescent="0.25">
      <c r="A36" s="587">
        <v>44672</v>
      </c>
      <c r="B36" s="355" t="s">
        <v>698</v>
      </c>
      <c r="C36" s="96">
        <v>29920.44</v>
      </c>
      <c r="D36" s="582">
        <v>44706</v>
      </c>
      <c r="E36" s="586">
        <v>29920.44</v>
      </c>
      <c r="F36" s="111">
        <f t="shared" si="0"/>
        <v>0</v>
      </c>
      <c r="I36" s="500" t="s">
        <v>739</v>
      </c>
      <c r="J36" s="501">
        <v>9090</v>
      </c>
      <c r="K36" s="502">
        <v>1331</v>
      </c>
      <c r="L36" s="712">
        <v>44744</v>
      </c>
      <c r="M36" s="711">
        <v>1331</v>
      </c>
      <c r="N36" s="137">
        <f t="shared" si="1"/>
        <v>0</v>
      </c>
    </row>
    <row r="37" spans="1:14" ht="15.75" x14ac:dyDescent="0.25">
      <c r="A37" s="587">
        <v>44673</v>
      </c>
      <c r="B37" s="355" t="s">
        <v>700</v>
      </c>
      <c r="C37" s="96">
        <v>72246.7</v>
      </c>
      <c r="D37" s="582">
        <v>44706</v>
      </c>
      <c r="E37" s="586">
        <v>72246.7</v>
      </c>
      <c r="F37" s="111">
        <f t="shared" si="0"/>
        <v>0</v>
      </c>
      <c r="I37" s="497" t="s">
        <v>740</v>
      </c>
      <c r="J37" s="498">
        <v>9104</v>
      </c>
      <c r="K37" s="499">
        <v>32504.400000000001</v>
      </c>
      <c r="L37" s="712">
        <v>44744</v>
      </c>
      <c r="M37" s="710">
        <v>32504.400000000001</v>
      </c>
      <c r="N37" s="137">
        <f t="shared" si="1"/>
        <v>0</v>
      </c>
    </row>
    <row r="38" spans="1:14" ht="15.75" x14ac:dyDescent="0.25">
      <c r="A38" s="587">
        <v>44673</v>
      </c>
      <c r="B38" s="355" t="s">
        <v>701</v>
      </c>
      <c r="C38" s="96">
        <v>3036</v>
      </c>
      <c r="D38" s="582">
        <v>44706</v>
      </c>
      <c r="E38" s="586">
        <v>3036</v>
      </c>
      <c r="F38" s="111">
        <f t="shared" si="0"/>
        <v>0</v>
      </c>
      <c r="I38" s="497" t="s">
        <v>741</v>
      </c>
      <c r="J38" s="498">
        <v>9107</v>
      </c>
      <c r="K38" s="499">
        <v>15257</v>
      </c>
      <c r="L38" s="712">
        <v>44744</v>
      </c>
      <c r="M38" s="710">
        <v>15257</v>
      </c>
      <c r="N38" s="137">
        <f t="shared" si="1"/>
        <v>0</v>
      </c>
    </row>
    <row r="39" spans="1:14" ht="15.75" x14ac:dyDescent="0.25">
      <c r="A39" s="587">
        <v>44674</v>
      </c>
      <c r="B39" s="355" t="s">
        <v>703</v>
      </c>
      <c r="C39" s="96">
        <v>1627.2</v>
      </c>
      <c r="D39" s="582">
        <v>44706</v>
      </c>
      <c r="E39" s="586">
        <v>1627.2</v>
      </c>
      <c r="F39" s="111">
        <f t="shared" si="0"/>
        <v>0</v>
      </c>
      <c r="I39" s="497" t="s">
        <v>742</v>
      </c>
      <c r="J39" s="498">
        <v>9123</v>
      </c>
      <c r="K39" s="499">
        <v>5516</v>
      </c>
      <c r="L39" s="712">
        <v>44744</v>
      </c>
      <c r="M39" s="710">
        <v>5516</v>
      </c>
      <c r="N39" s="137">
        <f t="shared" si="1"/>
        <v>0</v>
      </c>
    </row>
    <row r="40" spans="1:14" ht="15.75" x14ac:dyDescent="0.25">
      <c r="A40" s="587">
        <v>44674</v>
      </c>
      <c r="B40" s="355" t="s">
        <v>704</v>
      </c>
      <c r="C40" s="96">
        <v>1238.8</v>
      </c>
      <c r="D40" s="582">
        <v>44706</v>
      </c>
      <c r="E40" s="586">
        <v>1238.8</v>
      </c>
      <c r="F40" s="111">
        <f t="shared" si="0"/>
        <v>0</v>
      </c>
      <c r="I40" s="500" t="s">
        <v>743</v>
      </c>
      <c r="J40" s="501">
        <v>9132</v>
      </c>
      <c r="K40" s="502">
        <v>600</v>
      </c>
      <c r="L40" s="712">
        <v>44744</v>
      </c>
      <c r="M40" s="711">
        <v>600</v>
      </c>
      <c r="N40" s="137">
        <f t="shared" si="1"/>
        <v>0</v>
      </c>
    </row>
    <row r="41" spans="1:14" ht="31.5" x14ac:dyDescent="0.25">
      <c r="A41" s="587">
        <v>44674</v>
      </c>
      <c r="B41" s="355" t="s">
        <v>705</v>
      </c>
      <c r="C41" s="96">
        <v>62762.55</v>
      </c>
      <c r="D41" s="646" t="s">
        <v>915</v>
      </c>
      <c r="E41" s="583">
        <f>50646.16+12116.39</f>
        <v>62762.55</v>
      </c>
      <c r="F41" s="111">
        <f t="shared" si="0"/>
        <v>0</v>
      </c>
      <c r="I41" s="500" t="s">
        <v>744</v>
      </c>
      <c r="J41" s="501">
        <v>9138</v>
      </c>
      <c r="K41" s="502">
        <v>6614.7</v>
      </c>
      <c r="L41" s="712">
        <v>44744</v>
      </c>
      <c r="M41" s="711">
        <v>6614.7</v>
      </c>
      <c r="N41" s="137">
        <f t="shared" si="1"/>
        <v>0</v>
      </c>
    </row>
    <row r="42" spans="1:14" ht="15.75" x14ac:dyDescent="0.25">
      <c r="A42" s="587">
        <v>44676</v>
      </c>
      <c r="B42" s="355" t="s">
        <v>706</v>
      </c>
      <c r="C42" s="96">
        <v>46744.6</v>
      </c>
      <c r="D42" s="647">
        <v>44722</v>
      </c>
      <c r="E42" s="648">
        <v>46744.6</v>
      </c>
      <c r="F42" s="111">
        <f t="shared" si="0"/>
        <v>0</v>
      </c>
      <c r="I42" s="500" t="s">
        <v>744</v>
      </c>
      <c r="J42" s="501">
        <v>9140</v>
      </c>
      <c r="K42" s="502">
        <v>1080</v>
      </c>
      <c r="L42" s="712">
        <v>44744</v>
      </c>
      <c r="M42" s="711">
        <v>1080</v>
      </c>
      <c r="N42" s="137">
        <f t="shared" si="1"/>
        <v>0</v>
      </c>
    </row>
    <row r="43" spans="1:14" ht="15.75" x14ac:dyDescent="0.25">
      <c r="A43" s="587">
        <v>44677</v>
      </c>
      <c r="B43" s="355" t="s">
        <v>707</v>
      </c>
      <c r="C43" s="96">
        <v>14500.7</v>
      </c>
      <c r="D43" s="647">
        <v>44722</v>
      </c>
      <c r="E43" s="648">
        <v>14500.7</v>
      </c>
      <c r="F43" s="111">
        <f t="shared" si="0"/>
        <v>0</v>
      </c>
      <c r="I43" s="288"/>
      <c r="J43" s="57"/>
      <c r="K43" s="111"/>
      <c r="L43" s="370"/>
      <c r="M43" s="69"/>
      <c r="N43" s="137">
        <f t="shared" si="1"/>
        <v>0</v>
      </c>
    </row>
    <row r="44" spans="1:14" ht="15.75" x14ac:dyDescent="0.25">
      <c r="A44" s="587">
        <v>44677</v>
      </c>
      <c r="B44" s="355" t="s">
        <v>708</v>
      </c>
      <c r="C44" s="96">
        <v>41351.199999999997</v>
      </c>
      <c r="D44" s="647">
        <v>44722</v>
      </c>
      <c r="E44" s="648">
        <v>41351.199999999997</v>
      </c>
      <c r="F44" s="111">
        <f t="shared" si="0"/>
        <v>0</v>
      </c>
      <c r="I44" s="288"/>
      <c r="J44" s="57"/>
      <c r="K44" s="111"/>
      <c r="L44" s="370"/>
      <c r="M44" s="69"/>
      <c r="N44" s="137"/>
    </row>
    <row r="45" spans="1:14" ht="15.75" x14ac:dyDescent="0.25">
      <c r="A45" s="587">
        <v>44677</v>
      </c>
      <c r="B45" s="355" t="s">
        <v>709</v>
      </c>
      <c r="C45" s="96">
        <v>5624</v>
      </c>
      <c r="D45" s="647">
        <v>44722</v>
      </c>
      <c r="E45" s="648">
        <v>5624</v>
      </c>
      <c r="F45" s="111">
        <f t="shared" si="0"/>
        <v>0</v>
      </c>
      <c r="I45" s="288"/>
      <c r="J45" s="57"/>
      <c r="K45" s="111"/>
      <c r="L45" s="370"/>
      <c r="M45" s="69"/>
      <c r="N45" s="137"/>
    </row>
    <row r="46" spans="1:14" ht="15.75" x14ac:dyDescent="0.25">
      <c r="A46" s="587">
        <v>44678</v>
      </c>
      <c r="B46" s="355" t="s">
        <v>710</v>
      </c>
      <c r="C46" s="96">
        <v>45618</v>
      </c>
      <c r="D46" s="647">
        <v>44722</v>
      </c>
      <c r="E46" s="648">
        <v>45618</v>
      </c>
      <c r="F46" s="111">
        <f t="shared" si="0"/>
        <v>0</v>
      </c>
      <c r="I46" s="288"/>
      <c r="J46" s="57"/>
      <c r="K46" s="111"/>
      <c r="L46" s="370"/>
      <c r="M46" s="69"/>
      <c r="N46" s="137"/>
    </row>
    <row r="47" spans="1:14" ht="15.75" x14ac:dyDescent="0.25">
      <c r="A47" s="587">
        <v>44679</v>
      </c>
      <c r="B47" s="355" t="s">
        <v>711</v>
      </c>
      <c r="C47" s="96">
        <v>35193.4</v>
      </c>
      <c r="D47" s="647">
        <v>44722</v>
      </c>
      <c r="E47" s="648">
        <v>35193.4</v>
      </c>
      <c r="F47" s="111">
        <f t="shared" si="0"/>
        <v>0</v>
      </c>
      <c r="I47" s="288"/>
      <c r="J47" s="57"/>
      <c r="K47" s="111"/>
      <c r="L47" s="370"/>
      <c r="M47" s="69"/>
      <c r="N47" s="137"/>
    </row>
    <row r="48" spans="1:14" ht="15.75" x14ac:dyDescent="0.25">
      <c r="A48" s="587">
        <v>44680</v>
      </c>
      <c r="B48" s="355" t="s">
        <v>712</v>
      </c>
      <c r="C48" s="96">
        <v>69268.88</v>
      </c>
      <c r="D48" s="647">
        <v>44722</v>
      </c>
      <c r="E48" s="648">
        <v>69268.88</v>
      </c>
      <c r="F48" s="111">
        <f t="shared" si="0"/>
        <v>0</v>
      </c>
      <c r="I48" s="288"/>
      <c r="J48" s="57"/>
      <c r="K48" s="111"/>
      <c r="L48" s="370"/>
      <c r="M48" s="69"/>
      <c r="N48" s="137"/>
    </row>
    <row r="49" spans="1:14" ht="15.75" x14ac:dyDescent="0.25">
      <c r="A49" s="587">
        <v>44681</v>
      </c>
      <c r="B49" s="355" t="s">
        <v>713</v>
      </c>
      <c r="C49" s="96">
        <v>25197.4</v>
      </c>
      <c r="D49" s="647">
        <v>44722</v>
      </c>
      <c r="E49" s="648">
        <v>25197.4</v>
      </c>
      <c r="F49" s="111">
        <f t="shared" si="0"/>
        <v>0</v>
      </c>
      <c r="I49" s="288"/>
      <c r="J49" s="57"/>
      <c r="K49" s="111"/>
      <c r="L49" s="370"/>
      <c r="M49" s="69"/>
      <c r="N49" s="137"/>
    </row>
    <row r="50" spans="1:14" ht="15.75" x14ac:dyDescent="0.25">
      <c r="A50" s="454"/>
      <c r="B50" s="439"/>
      <c r="C50" s="413"/>
      <c r="D50" s="413"/>
      <c r="E50" s="413"/>
      <c r="F50" s="111">
        <f t="shared" si="0"/>
        <v>0</v>
      </c>
      <c r="I50" s="288"/>
      <c r="J50" s="57"/>
      <c r="K50" s="111"/>
      <c r="L50" s="370"/>
      <c r="M50" s="69"/>
      <c r="N50" s="137"/>
    </row>
    <row r="51" spans="1:14" ht="15.75" x14ac:dyDescent="0.25">
      <c r="A51" s="454"/>
      <c r="B51" s="439"/>
      <c r="C51" s="413"/>
      <c r="D51" s="413"/>
      <c r="E51" s="413"/>
      <c r="F51" s="111">
        <f t="shared" si="0"/>
        <v>0</v>
      </c>
      <c r="I51" s="288"/>
      <c r="J51" s="57"/>
      <c r="K51" s="111"/>
      <c r="L51" s="370"/>
      <c r="M51" s="69"/>
      <c r="N51" s="137"/>
    </row>
    <row r="52" spans="1:14" ht="15.75" x14ac:dyDescent="0.25">
      <c r="A52" s="454"/>
      <c r="B52" s="439"/>
      <c r="C52" s="413"/>
      <c r="D52" s="413"/>
      <c r="E52" s="413"/>
      <c r="F52" s="111">
        <f t="shared" si="0"/>
        <v>0</v>
      </c>
      <c r="I52" s="288"/>
      <c r="J52" s="57"/>
      <c r="K52" s="111"/>
      <c r="L52" s="370"/>
      <c r="M52" s="69"/>
      <c r="N52" s="137"/>
    </row>
    <row r="53" spans="1:14" ht="15.75" x14ac:dyDescent="0.25">
      <c r="A53" s="454"/>
      <c r="B53" s="439"/>
      <c r="C53" s="413"/>
      <c r="D53" s="413"/>
      <c r="E53" s="413"/>
      <c r="F53" s="111">
        <f t="shared" si="0"/>
        <v>0</v>
      </c>
      <c r="I53" s="288"/>
      <c r="J53" s="57"/>
      <c r="K53" s="111"/>
      <c r="L53" s="370"/>
      <c r="M53" s="69"/>
      <c r="N53" s="137"/>
    </row>
    <row r="54" spans="1:14" ht="15.75" x14ac:dyDescent="0.25">
      <c r="A54" s="454"/>
      <c r="B54" s="439"/>
      <c r="C54" s="413"/>
      <c r="D54" s="413"/>
      <c r="E54" s="413"/>
      <c r="F54" s="111">
        <f t="shared" si="0"/>
        <v>0</v>
      </c>
      <c r="I54" s="930" t="s">
        <v>594</v>
      </c>
      <c r="J54" s="931"/>
      <c r="K54" s="111"/>
      <c r="L54" s="370"/>
      <c r="M54" s="69"/>
      <c r="N54" s="137"/>
    </row>
    <row r="55" spans="1:14" ht="15.75" x14ac:dyDescent="0.25">
      <c r="A55" s="454"/>
      <c r="B55" s="439"/>
      <c r="C55" s="413"/>
      <c r="D55" s="413"/>
      <c r="E55" s="413"/>
      <c r="F55" s="111">
        <f t="shared" si="0"/>
        <v>0</v>
      </c>
      <c r="I55" s="932"/>
      <c r="J55" s="933"/>
      <c r="K55" s="111"/>
      <c r="L55" s="370"/>
      <c r="M55" s="69"/>
      <c r="N55" s="137"/>
    </row>
    <row r="56" spans="1:14" ht="15.75" x14ac:dyDescent="0.25">
      <c r="A56" s="454"/>
      <c r="B56" s="439"/>
      <c r="C56" s="413"/>
      <c r="D56" s="413"/>
      <c r="E56" s="413"/>
      <c r="F56" s="111">
        <f t="shared" si="0"/>
        <v>0</v>
      </c>
      <c r="I56" s="934"/>
      <c r="J56" s="935"/>
      <c r="K56" s="111"/>
      <c r="L56" s="370"/>
      <c r="M56" s="69"/>
      <c r="N56" s="137"/>
    </row>
    <row r="57" spans="1:14" ht="15.75" x14ac:dyDescent="0.25">
      <c r="A57" s="454"/>
      <c r="B57" s="439"/>
      <c r="C57" s="413"/>
      <c r="D57" s="413"/>
      <c r="E57" s="413"/>
      <c r="F57" s="111">
        <f t="shared" si="0"/>
        <v>0</v>
      </c>
      <c r="I57" s="288"/>
      <c r="J57" s="57"/>
      <c r="K57" s="111"/>
      <c r="L57" s="370"/>
      <c r="M57" s="69"/>
      <c r="N57" s="137"/>
    </row>
    <row r="58" spans="1:14" ht="15.75" x14ac:dyDescent="0.25">
      <c r="A58" s="454"/>
      <c r="B58" s="439"/>
      <c r="C58" s="413"/>
      <c r="D58" s="413"/>
      <c r="E58" s="413"/>
      <c r="F58" s="111">
        <f t="shared" si="0"/>
        <v>0</v>
      </c>
      <c r="I58" s="288"/>
      <c r="J58" s="57"/>
      <c r="K58" s="111"/>
      <c r="L58" s="370"/>
      <c r="M58" s="69"/>
      <c r="N58" s="137"/>
    </row>
    <row r="59" spans="1:14" ht="15.75" x14ac:dyDescent="0.25">
      <c r="A59" s="454"/>
      <c r="B59" s="439"/>
      <c r="C59" s="413"/>
      <c r="D59" s="413"/>
      <c r="E59" s="413"/>
      <c r="F59" s="111">
        <f t="shared" si="0"/>
        <v>0</v>
      </c>
      <c r="I59" s="288"/>
      <c r="J59" s="57"/>
      <c r="K59" s="111"/>
      <c r="L59" s="370"/>
      <c r="M59" s="69"/>
      <c r="N59" s="137"/>
    </row>
    <row r="60" spans="1:14" ht="15.75" x14ac:dyDescent="0.25">
      <c r="A60" s="454"/>
      <c r="B60" s="439"/>
      <c r="C60" s="413"/>
      <c r="D60" s="413"/>
      <c r="E60" s="413"/>
      <c r="F60" s="111">
        <f t="shared" si="0"/>
        <v>0</v>
      </c>
      <c r="I60" s="288"/>
      <c r="J60" s="57"/>
      <c r="K60" s="111"/>
      <c r="L60" s="370"/>
      <c r="M60" s="69"/>
      <c r="N60" s="137"/>
    </row>
    <row r="61" spans="1:14" ht="15.75" hidden="1" x14ac:dyDescent="0.25">
      <c r="A61" s="134"/>
      <c r="B61" s="139"/>
      <c r="C61" s="69"/>
      <c r="D61" s="253"/>
      <c r="E61" s="69"/>
      <c r="F61" s="111">
        <f t="shared" si="0"/>
        <v>0</v>
      </c>
      <c r="I61" s="134"/>
      <c r="J61" s="139"/>
      <c r="K61" s="69"/>
      <c r="L61" s="253"/>
      <c r="M61" s="69"/>
      <c r="N61" s="137" t="e">
        <f>#REF!+K61-M61</f>
        <v>#REF!</v>
      </c>
    </row>
    <row r="62" spans="1:14" ht="15.75" hidden="1" x14ac:dyDescent="0.25">
      <c r="A62" s="134"/>
      <c r="B62" s="139"/>
      <c r="C62" s="69"/>
      <c r="D62" s="253"/>
      <c r="E62" s="69"/>
      <c r="F62" s="111">
        <f t="shared" si="0"/>
        <v>0</v>
      </c>
      <c r="I62" s="134"/>
      <c r="J62" s="139"/>
      <c r="K62" s="69"/>
      <c r="L62" s="253"/>
      <c r="M62" s="69"/>
      <c r="N62" s="137" t="e">
        <f t="shared" si="1"/>
        <v>#REF!</v>
      </c>
    </row>
    <row r="63" spans="1:14" ht="15.75" hidden="1" x14ac:dyDescent="0.25">
      <c r="A63" s="134"/>
      <c r="B63" s="139"/>
      <c r="C63" s="69"/>
      <c r="D63" s="253"/>
      <c r="E63" s="69"/>
      <c r="F63" s="111">
        <f t="shared" si="0"/>
        <v>0</v>
      </c>
      <c r="I63" s="134"/>
      <c r="J63" s="139"/>
      <c r="K63" s="69"/>
      <c r="L63" s="253"/>
      <c r="M63" s="69"/>
      <c r="N63" s="137" t="e">
        <f t="shared" si="1"/>
        <v>#REF!</v>
      </c>
    </row>
    <row r="64" spans="1:14" ht="15.75" hidden="1" x14ac:dyDescent="0.25">
      <c r="A64" s="134"/>
      <c r="B64" s="139"/>
      <c r="C64" s="69"/>
      <c r="D64" s="253"/>
      <c r="E64" s="69"/>
      <c r="F64" s="111">
        <f t="shared" si="0"/>
        <v>0</v>
      </c>
      <c r="I64" s="134"/>
      <c r="J64" s="139"/>
      <c r="K64" s="69"/>
      <c r="L64" s="253"/>
      <c r="M64" s="69"/>
      <c r="N64" s="137" t="e">
        <f t="shared" si="1"/>
        <v>#REF!</v>
      </c>
    </row>
    <row r="65" spans="1:14" ht="15.75" hidden="1" x14ac:dyDescent="0.25">
      <c r="A65" s="134"/>
      <c r="B65" s="139"/>
      <c r="C65" s="69"/>
      <c r="D65" s="253"/>
      <c r="E65" s="69"/>
      <c r="F65" s="111">
        <f t="shared" si="0"/>
        <v>0</v>
      </c>
      <c r="I65" s="134"/>
      <c r="J65" s="139"/>
      <c r="K65" s="69"/>
      <c r="L65" s="253"/>
      <c r="M65" s="69"/>
      <c r="N65" s="137" t="e">
        <f t="shared" si="1"/>
        <v>#REF!</v>
      </c>
    </row>
    <row r="66" spans="1:14" ht="15.75" hidden="1" x14ac:dyDescent="0.25">
      <c r="A66" s="134"/>
      <c r="B66" s="139"/>
      <c r="C66" s="69"/>
      <c r="D66" s="253"/>
      <c r="E66" s="69"/>
      <c r="F66" s="111">
        <f t="shared" si="0"/>
        <v>0</v>
      </c>
      <c r="I66" s="134"/>
      <c r="J66" s="139"/>
      <c r="K66" s="69"/>
      <c r="L66" s="253"/>
      <c r="M66" s="69"/>
      <c r="N66" s="137" t="e">
        <f t="shared" si="1"/>
        <v>#REF!</v>
      </c>
    </row>
    <row r="67" spans="1:14" ht="15.75" hidden="1" x14ac:dyDescent="0.25">
      <c r="A67" s="134"/>
      <c r="B67" s="139"/>
      <c r="C67" s="69"/>
      <c r="D67" s="253"/>
      <c r="E67" s="69"/>
      <c r="F67" s="111">
        <f t="shared" si="0"/>
        <v>0</v>
      </c>
      <c r="I67" s="134"/>
      <c r="J67" s="139"/>
      <c r="K67" s="69"/>
      <c r="L67" s="253"/>
      <c r="M67" s="69"/>
      <c r="N67" s="137" t="e">
        <f t="shared" si="1"/>
        <v>#REF!</v>
      </c>
    </row>
    <row r="68" spans="1:14" ht="15.75" hidden="1" x14ac:dyDescent="0.25">
      <c r="A68" s="134"/>
      <c r="B68" s="139"/>
      <c r="C68" s="69"/>
      <c r="D68" s="253"/>
      <c r="E68" s="69"/>
      <c r="F68" s="111">
        <f t="shared" ref="F68:F87" si="2">C68-E68</f>
        <v>0</v>
      </c>
      <c r="I68" s="134"/>
      <c r="J68" s="139"/>
      <c r="K68" s="69"/>
      <c r="L68" s="253"/>
      <c r="M68" s="69"/>
      <c r="N68" s="137" t="e">
        <f t="shared" si="1"/>
        <v>#REF!</v>
      </c>
    </row>
    <row r="69" spans="1:14" ht="15.75" hidden="1" x14ac:dyDescent="0.25">
      <c r="A69" s="134"/>
      <c r="B69" s="139"/>
      <c r="C69" s="69"/>
      <c r="D69" s="253"/>
      <c r="E69" s="69"/>
      <c r="F69" s="111">
        <f t="shared" si="2"/>
        <v>0</v>
      </c>
      <c r="I69" s="134"/>
      <c r="J69" s="139"/>
      <c r="K69" s="69"/>
      <c r="L69" s="253"/>
      <c r="M69" s="69"/>
      <c r="N69" s="137" t="e">
        <f t="shared" si="1"/>
        <v>#REF!</v>
      </c>
    </row>
    <row r="70" spans="1:14" ht="15.75" hidden="1" x14ac:dyDescent="0.25">
      <c r="A70" s="134"/>
      <c r="B70" s="139"/>
      <c r="C70" s="69"/>
      <c r="D70" s="253"/>
      <c r="E70" s="69"/>
      <c r="F70" s="111">
        <f t="shared" si="2"/>
        <v>0</v>
      </c>
      <c r="I70" s="134"/>
      <c r="J70" s="139"/>
      <c r="K70" s="69"/>
      <c r="L70" s="253"/>
      <c r="M70" s="69"/>
      <c r="N70" s="137" t="e">
        <f t="shared" si="1"/>
        <v>#REF!</v>
      </c>
    </row>
    <row r="71" spans="1:14" ht="15.75" hidden="1" x14ac:dyDescent="0.25">
      <c r="A71" s="134"/>
      <c r="B71" s="139"/>
      <c r="C71" s="69"/>
      <c r="D71" s="253"/>
      <c r="E71" s="69"/>
      <c r="F71" s="111">
        <f t="shared" si="2"/>
        <v>0</v>
      </c>
      <c r="I71" s="134"/>
      <c r="J71" s="139"/>
      <c r="K71" s="69"/>
      <c r="L71" s="253"/>
      <c r="M71" s="69"/>
      <c r="N71" s="137" t="e">
        <f t="shared" si="1"/>
        <v>#REF!</v>
      </c>
    </row>
    <row r="72" spans="1:14" ht="15.75" hidden="1" x14ac:dyDescent="0.25">
      <c r="A72" s="134"/>
      <c r="B72" s="139"/>
      <c r="C72" s="69"/>
      <c r="D72" s="254"/>
      <c r="E72" s="69"/>
      <c r="F72" s="111">
        <f t="shared" si="2"/>
        <v>0</v>
      </c>
      <c r="I72" s="356"/>
      <c r="J72" s="357"/>
      <c r="K72" s="34"/>
      <c r="L72" s="118"/>
      <c r="M72" s="34"/>
      <c r="N72" s="137" t="e">
        <f t="shared" si="1"/>
        <v>#REF!</v>
      </c>
    </row>
    <row r="73" spans="1:14" ht="15.75" hidden="1" x14ac:dyDescent="0.25">
      <c r="A73" s="134"/>
      <c r="B73" s="139"/>
      <c r="C73" s="69"/>
      <c r="D73" s="254"/>
      <c r="E73" s="69"/>
      <c r="F73" s="111">
        <f t="shared" si="2"/>
        <v>0</v>
      </c>
      <c r="I73" s="356"/>
      <c r="J73" s="357"/>
      <c r="K73" s="34"/>
      <c r="L73" s="118"/>
      <c r="M73" s="34"/>
      <c r="N73" s="137" t="e">
        <f t="shared" si="1"/>
        <v>#REF!</v>
      </c>
    </row>
    <row r="74" spans="1:14" ht="15.75" hidden="1" x14ac:dyDescent="0.25">
      <c r="A74" s="134"/>
      <c r="B74" s="139"/>
      <c r="C74" s="69"/>
      <c r="D74" s="254"/>
      <c r="E74" s="69"/>
      <c r="F74" s="111">
        <f t="shared" si="2"/>
        <v>0</v>
      </c>
      <c r="I74" s="356"/>
      <c r="J74" s="357"/>
      <c r="K74" s="34"/>
      <c r="L74" s="118"/>
      <c r="M74" s="34"/>
      <c r="N74" s="137" t="e">
        <f t="shared" si="1"/>
        <v>#REF!</v>
      </c>
    </row>
    <row r="75" spans="1:14" ht="15.75" hidden="1" x14ac:dyDescent="0.25">
      <c r="A75" s="134"/>
      <c r="B75" s="139"/>
      <c r="C75" s="69"/>
      <c r="D75" s="254"/>
      <c r="E75" s="69"/>
      <c r="F75" s="111">
        <f t="shared" si="2"/>
        <v>0</v>
      </c>
      <c r="I75" s="356"/>
      <c r="J75" s="357"/>
      <c r="K75" s="34"/>
      <c r="L75" s="118"/>
      <c r="M75" s="34"/>
      <c r="N75" s="137" t="e">
        <f t="shared" si="1"/>
        <v>#REF!</v>
      </c>
    </row>
    <row r="76" spans="1:14" ht="15.75" hidden="1" x14ac:dyDescent="0.25">
      <c r="A76" s="134"/>
      <c r="B76" s="139"/>
      <c r="C76" s="69"/>
      <c r="D76" s="254"/>
      <c r="E76" s="69"/>
      <c r="F76" s="111">
        <f t="shared" si="2"/>
        <v>0</v>
      </c>
      <c r="I76" s="356"/>
      <c r="J76" s="357"/>
      <c r="K76" s="34"/>
      <c r="L76" s="118"/>
      <c r="M76" s="34"/>
      <c r="N76" s="137" t="e">
        <f t="shared" si="1"/>
        <v>#REF!</v>
      </c>
    </row>
    <row r="77" spans="1:14" ht="15.75" hidden="1" x14ac:dyDescent="0.25">
      <c r="A77" s="356"/>
      <c r="B77" s="357"/>
      <c r="C77" s="34"/>
      <c r="D77" s="118"/>
      <c r="E77" s="34"/>
      <c r="F77" s="111">
        <f t="shared" si="2"/>
        <v>0</v>
      </c>
      <c r="I77" s="356"/>
      <c r="J77" s="357"/>
      <c r="K77" s="34"/>
      <c r="L77" s="118"/>
      <c r="M77" s="34"/>
      <c r="N77" s="137" t="e">
        <f t="shared" si="1"/>
        <v>#REF!</v>
      </c>
    </row>
    <row r="78" spans="1:14" ht="15.75" hidden="1" x14ac:dyDescent="0.25">
      <c r="A78" s="134"/>
      <c r="B78" s="139"/>
      <c r="C78" s="69"/>
      <c r="D78" s="254"/>
      <c r="E78" s="69"/>
      <c r="F78" s="111">
        <f t="shared" si="2"/>
        <v>0</v>
      </c>
      <c r="I78" s="134"/>
      <c r="J78" s="139"/>
      <c r="K78" s="69"/>
      <c r="L78" s="254"/>
      <c r="M78" s="69"/>
      <c r="N78" s="137" t="e">
        <f t="shared" si="1"/>
        <v>#REF!</v>
      </c>
    </row>
    <row r="79" spans="1:14" ht="15.75" hidden="1" x14ac:dyDescent="0.25">
      <c r="A79" s="134"/>
      <c r="B79" s="139"/>
      <c r="C79" s="69"/>
      <c r="D79" s="254"/>
      <c r="E79" s="69"/>
      <c r="F79" s="111">
        <f t="shared" si="2"/>
        <v>0</v>
      </c>
      <c r="I79" s="134"/>
      <c r="J79" s="139"/>
      <c r="K79" s="69"/>
      <c r="L79" s="254"/>
      <c r="M79" s="69"/>
      <c r="N79" s="137" t="e">
        <f t="shared" ref="N79:N87" si="3">N78+K79-M79</f>
        <v>#REF!</v>
      </c>
    </row>
    <row r="80" spans="1:14" ht="15.75" hidden="1" x14ac:dyDescent="0.25">
      <c r="A80" s="134"/>
      <c r="B80" s="139"/>
      <c r="C80" s="69"/>
      <c r="D80" s="254"/>
      <c r="E80" s="69"/>
      <c r="F80" s="111">
        <f t="shared" si="2"/>
        <v>0</v>
      </c>
      <c r="I80" s="134"/>
      <c r="J80" s="139"/>
      <c r="K80" s="69"/>
      <c r="L80" s="254"/>
      <c r="M80" s="69"/>
      <c r="N80" s="137" t="e">
        <f t="shared" si="3"/>
        <v>#REF!</v>
      </c>
    </row>
    <row r="81" spans="1:14" ht="15.75" hidden="1" x14ac:dyDescent="0.25">
      <c r="A81" s="134"/>
      <c r="B81" s="139"/>
      <c r="C81" s="69"/>
      <c r="D81" s="254"/>
      <c r="E81" s="69"/>
      <c r="F81" s="111">
        <f t="shared" si="2"/>
        <v>0</v>
      </c>
      <c r="I81" s="134"/>
      <c r="J81" s="139"/>
      <c r="K81" s="69"/>
      <c r="L81" s="254"/>
      <c r="M81" s="69"/>
      <c r="N81" s="137" t="e">
        <f t="shared" si="3"/>
        <v>#REF!</v>
      </c>
    </row>
    <row r="82" spans="1:14" ht="15.75" hidden="1" x14ac:dyDescent="0.25">
      <c r="A82" s="134"/>
      <c r="B82" s="139"/>
      <c r="C82" s="69"/>
      <c r="D82" s="254"/>
      <c r="E82" s="69"/>
      <c r="F82" s="111">
        <f t="shared" si="2"/>
        <v>0</v>
      </c>
      <c r="I82" s="134"/>
      <c r="J82" s="139"/>
      <c r="K82" s="69"/>
      <c r="L82" s="254"/>
      <c r="M82" s="69"/>
      <c r="N82" s="137" t="e">
        <f t="shared" si="3"/>
        <v>#REF!</v>
      </c>
    </row>
    <row r="83" spans="1:14" ht="15.75" hidden="1" x14ac:dyDescent="0.25">
      <c r="A83" s="134"/>
      <c r="B83" s="139"/>
      <c r="C83" s="69"/>
      <c r="D83" s="254"/>
      <c r="E83" s="69"/>
      <c r="F83" s="111">
        <f t="shared" si="2"/>
        <v>0</v>
      </c>
      <c r="I83" s="134"/>
      <c r="J83" s="139"/>
      <c r="K83" s="69"/>
      <c r="L83" s="254"/>
      <c r="M83" s="69"/>
      <c r="N83" s="137" t="e">
        <f t="shared" si="3"/>
        <v>#REF!</v>
      </c>
    </row>
    <row r="84" spans="1:14" ht="15.75" hidden="1" x14ac:dyDescent="0.25">
      <c r="A84" s="134"/>
      <c r="B84" s="139"/>
      <c r="C84" s="69"/>
      <c r="D84" s="254"/>
      <c r="E84" s="69"/>
      <c r="F84" s="111">
        <f t="shared" si="2"/>
        <v>0</v>
      </c>
      <c r="I84" s="134"/>
      <c r="J84" s="139"/>
      <c r="K84" s="69"/>
      <c r="L84" s="254"/>
      <c r="M84" s="69"/>
      <c r="N84" s="137" t="e">
        <f t="shared" si="3"/>
        <v>#REF!</v>
      </c>
    </row>
    <row r="85" spans="1:14" ht="15.75" hidden="1" x14ac:dyDescent="0.25">
      <c r="A85" s="134"/>
      <c r="B85" s="139"/>
      <c r="C85" s="69"/>
      <c r="D85" s="254"/>
      <c r="E85" s="69"/>
      <c r="F85" s="111">
        <f t="shared" si="2"/>
        <v>0</v>
      </c>
      <c r="I85" s="134"/>
      <c r="J85" s="139"/>
      <c r="K85" s="69"/>
      <c r="L85" s="254"/>
      <c r="M85" s="69"/>
      <c r="N85" s="137" t="e">
        <f t="shared" si="3"/>
        <v>#REF!</v>
      </c>
    </row>
    <row r="86" spans="1:14" ht="15.75" hidden="1" x14ac:dyDescent="0.25">
      <c r="A86" s="134"/>
      <c r="B86" s="139"/>
      <c r="C86" s="69"/>
      <c r="D86" s="254"/>
      <c r="E86" s="69"/>
      <c r="F86" s="111">
        <f t="shared" si="2"/>
        <v>0</v>
      </c>
      <c r="I86" s="134"/>
      <c r="J86" s="139"/>
      <c r="K86" s="69"/>
      <c r="L86" s="254"/>
      <c r="M86" s="69"/>
      <c r="N86" s="137" t="e">
        <f t="shared" si="3"/>
        <v>#REF!</v>
      </c>
    </row>
    <row r="87" spans="1:14" ht="15.75" hidden="1" x14ac:dyDescent="0.25">
      <c r="A87" s="134"/>
      <c r="B87" s="139"/>
      <c r="C87" s="69"/>
      <c r="D87" s="254"/>
      <c r="E87" s="69"/>
      <c r="F87" s="111">
        <f t="shared" si="2"/>
        <v>0</v>
      </c>
      <c r="I87" s="134"/>
      <c r="J87" s="139"/>
      <c r="K87" s="69"/>
      <c r="L87" s="254"/>
      <c r="M87" s="69"/>
      <c r="N87" s="137" t="e">
        <f t="shared" si="3"/>
        <v>#REF!</v>
      </c>
    </row>
    <row r="88" spans="1:14" ht="16.5" thickBot="1" x14ac:dyDescent="0.3">
      <c r="A88" s="149"/>
      <c r="B88" s="210"/>
      <c r="C88" s="34">
        <v>0</v>
      </c>
      <c r="D88" s="255"/>
      <c r="E88" s="151"/>
      <c r="F88" s="137">
        <v>0</v>
      </c>
      <c r="I88" s="149"/>
      <c r="J88" s="150"/>
      <c r="K88" s="151">
        <v>0</v>
      </c>
      <c r="L88" s="255"/>
      <c r="M88" s="151"/>
      <c r="N88" s="137"/>
    </row>
    <row r="89" spans="1:14" ht="19.5" thickTop="1" x14ac:dyDescent="0.3">
      <c r="B89" s="440"/>
      <c r="C89" s="212">
        <f>SUM(C3:C88)</f>
        <v>1884975.46</v>
      </c>
      <c r="D89" s="407"/>
      <c r="E89" s="395">
        <f>SUM(E3:E88)</f>
        <v>1884975.46</v>
      </c>
      <c r="F89" s="153">
        <f>SUM(F3:F88)</f>
        <v>0</v>
      </c>
      <c r="K89" s="522">
        <f>SUM(K3:K88)</f>
        <v>363428.24</v>
      </c>
      <c r="L89" s="713"/>
      <c r="M89" s="209">
        <f>SUM(M3:M88)</f>
        <v>363428.24</v>
      </c>
      <c r="N89" s="153">
        <f>N88</f>
        <v>0</v>
      </c>
    </row>
    <row r="90" spans="1:14" ht="15.75" thickBot="1" x14ac:dyDescent="0.3">
      <c r="B90" s="441"/>
      <c r="C90" s="214"/>
      <c r="D90" s="256"/>
      <c r="E90" s="3"/>
      <c r="F90" s="888" t="s">
        <v>207</v>
      </c>
      <c r="K90" s="1"/>
      <c r="L90" s="256"/>
      <c r="M90" s="3"/>
      <c r="N90" s="1"/>
    </row>
    <row r="91" spans="1:14" x14ac:dyDescent="0.25">
      <c r="B91" s="163"/>
      <c r="C91" s="1"/>
      <c r="D91" s="256"/>
      <c r="E91" s="3"/>
      <c r="F91" s="889"/>
      <c r="K91" s="1"/>
      <c r="L91" s="256"/>
      <c r="M91" s="3"/>
      <c r="N91" s="1"/>
    </row>
    <row r="92" spans="1:14" ht="16.5" thickBot="1" x14ac:dyDescent="0.3">
      <c r="A92" s="456"/>
      <c r="B92" s="442"/>
      <c r="H92" s="2"/>
      <c r="I92" s="14"/>
      <c r="J92" s="503"/>
      <c r="K92" s="6"/>
      <c r="L92" s="714"/>
      <c r="M92" s="6"/>
    </row>
    <row r="93" spans="1:14" x14ac:dyDescent="0.25">
      <c r="A93" s="456"/>
      <c r="B93" s="442"/>
      <c r="I93" s="926" t="s">
        <v>594</v>
      </c>
      <c r="J93" s="927"/>
    </row>
    <row r="94" spans="1:14" ht="19.5" thickBot="1" x14ac:dyDescent="0.35">
      <c r="A94" s="456"/>
      <c r="B94" s="516" t="s">
        <v>715</v>
      </c>
      <c r="C94" s="517"/>
      <c r="D94" s="518"/>
      <c r="E94" s="519"/>
      <c r="I94" s="928"/>
      <c r="J94" s="929"/>
    </row>
    <row r="95" spans="1:14" x14ac:dyDescent="0.25">
      <c r="A95" s="456"/>
      <c r="B95" s="442"/>
      <c r="F95"/>
      <c r="I95"/>
      <c r="J95" s="194"/>
      <c r="N95"/>
    </row>
    <row r="96" spans="1:14" x14ac:dyDescent="0.25">
      <c r="A96" s="456"/>
      <c r="B96" s="442"/>
      <c r="F96"/>
      <c r="I96"/>
      <c r="J96" s="194"/>
      <c r="N96"/>
    </row>
    <row r="97" spans="1:14" x14ac:dyDescent="0.25">
      <c r="A97" s="509"/>
      <c r="B97" s="510"/>
      <c r="C97" s="129"/>
      <c r="F97"/>
      <c r="I97"/>
      <c r="J97" s="194"/>
      <c r="N97"/>
    </row>
    <row r="98" spans="1:14" x14ac:dyDescent="0.25">
      <c r="A98" s="509"/>
      <c r="B98" s="510"/>
      <c r="C98" s="129"/>
      <c r="F98"/>
      <c r="I98"/>
      <c r="J98" s="194"/>
      <c r="N98"/>
    </row>
    <row r="99" spans="1:14" ht="15.75" x14ac:dyDescent="0.25">
      <c r="A99" s="511"/>
      <c r="B99" s="512"/>
      <c r="C99" s="233"/>
      <c r="F99"/>
      <c r="I99"/>
      <c r="J99" s="194"/>
      <c r="N99"/>
    </row>
    <row r="100" spans="1:14" ht="15.75" x14ac:dyDescent="0.25">
      <c r="A100" s="511"/>
      <c r="B100" s="512"/>
      <c r="C100" s="233"/>
      <c r="F100"/>
      <c r="I100"/>
      <c r="J100" s="194"/>
      <c r="N100"/>
    </row>
    <row r="101" spans="1:14" ht="15.75" x14ac:dyDescent="0.25">
      <c r="A101" s="511"/>
      <c r="B101" s="512"/>
      <c r="C101" s="233"/>
      <c r="F101"/>
      <c r="I101"/>
      <c r="J101" s="194"/>
      <c r="N101"/>
    </row>
    <row r="102" spans="1:14" ht="15.75" x14ac:dyDescent="0.25">
      <c r="A102" s="511"/>
      <c r="B102" s="512"/>
      <c r="C102" s="233"/>
      <c r="F102"/>
      <c r="I102"/>
      <c r="J102" s="194"/>
      <c r="N102"/>
    </row>
    <row r="103" spans="1:14" ht="15.75" x14ac:dyDescent="0.25">
      <c r="A103" s="511"/>
      <c r="B103" s="512"/>
      <c r="C103" s="233"/>
      <c r="F103" s="3">
        <v>12116.39</v>
      </c>
      <c r="I103"/>
      <c r="J103" s="194"/>
      <c r="N103"/>
    </row>
    <row r="104" spans="1:14" ht="15.75" x14ac:dyDescent="0.25">
      <c r="A104" s="509"/>
      <c r="B104" s="510"/>
      <c r="C104" s="129"/>
      <c r="E104"/>
      <c r="F104" s="96">
        <v>46744.6</v>
      </c>
      <c r="I104"/>
      <c r="J104" s="194"/>
      <c r="M104"/>
      <c r="N104"/>
    </row>
    <row r="105" spans="1:14" ht="15.75" x14ac:dyDescent="0.25">
      <c r="A105" s="456"/>
      <c r="B105" s="442"/>
      <c r="E105"/>
      <c r="F105" s="96">
        <v>14500.7</v>
      </c>
      <c r="I105"/>
      <c r="J105" s="194"/>
      <c r="M105"/>
      <c r="N105"/>
    </row>
    <row r="106" spans="1:14" ht="15.75" x14ac:dyDescent="0.25">
      <c r="A106" s="456"/>
      <c r="B106" s="354" t="s">
        <v>673</v>
      </c>
      <c r="C106" s="355" t="s">
        <v>674</v>
      </c>
      <c r="D106" s="96">
        <v>67001.67</v>
      </c>
      <c r="E106"/>
      <c r="F106" s="96">
        <v>41351.199999999997</v>
      </c>
      <c r="I106"/>
      <c r="J106" s="194"/>
      <c r="M106"/>
      <c r="N106"/>
    </row>
    <row r="107" spans="1:14" ht="15.75" x14ac:dyDescent="0.25">
      <c r="A107" s="456"/>
      <c r="B107" s="354" t="s">
        <v>673</v>
      </c>
      <c r="C107" s="355" t="s">
        <v>675</v>
      </c>
      <c r="D107" s="96">
        <v>5256</v>
      </c>
      <c r="E107"/>
      <c r="F107" s="96">
        <v>5624</v>
      </c>
      <c r="I107"/>
      <c r="J107" s="194"/>
      <c r="M107"/>
      <c r="N107"/>
    </row>
    <row r="108" spans="1:14" ht="15.75" x14ac:dyDescent="0.25">
      <c r="B108" s="354" t="s">
        <v>676</v>
      </c>
      <c r="C108" s="355" t="s">
        <v>677</v>
      </c>
      <c r="D108" s="96">
        <v>40472.6</v>
      </c>
      <c r="E108" s="257"/>
      <c r="F108" s="96">
        <v>45618</v>
      </c>
      <c r="I108"/>
      <c r="J108" s="194"/>
      <c r="M108"/>
      <c r="N108"/>
    </row>
    <row r="109" spans="1:14" ht="15.75" x14ac:dyDescent="0.25">
      <c r="B109" s="354" t="s">
        <v>676</v>
      </c>
      <c r="C109" s="355" t="s">
        <v>678</v>
      </c>
      <c r="D109" s="96">
        <v>3906</v>
      </c>
      <c r="E109" s="257"/>
      <c r="F109" s="96">
        <v>35193.4</v>
      </c>
      <c r="I109"/>
      <c r="J109" s="194"/>
      <c r="M109"/>
      <c r="N109"/>
    </row>
    <row r="110" spans="1:14" ht="15.75" x14ac:dyDescent="0.25">
      <c r="B110" s="354" t="s">
        <v>679</v>
      </c>
      <c r="C110" s="355" t="s">
        <v>680</v>
      </c>
      <c r="D110" s="96">
        <v>33820.800000000003</v>
      </c>
      <c r="E110" s="257"/>
      <c r="F110" s="96">
        <v>69268.88</v>
      </c>
      <c r="J110" s="194"/>
      <c r="M110"/>
    </row>
    <row r="111" spans="1:14" ht="15.75" x14ac:dyDescent="0.25">
      <c r="B111" s="354" t="s">
        <v>681</v>
      </c>
      <c r="C111" s="355" t="s">
        <v>682</v>
      </c>
      <c r="D111" s="96">
        <v>36277.25</v>
      </c>
      <c r="E111" s="257"/>
      <c r="F111" s="96">
        <v>25197.4</v>
      </c>
      <c r="J111" s="194"/>
      <c r="M111"/>
    </row>
    <row r="112" spans="1:14" ht="15.75" x14ac:dyDescent="0.25">
      <c r="B112" s="354" t="s">
        <v>683</v>
      </c>
      <c r="C112" s="355" t="s">
        <v>684</v>
      </c>
      <c r="D112" s="96">
        <v>61531.34</v>
      </c>
      <c r="E112" s="257"/>
      <c r="J112" s="194"/>
      <c r="M112"/>
    </row>
    <row r="113" spans="2:13" ht="15.75" x14ac:dyDescent="0.25">
      <c r="B113" s="354" t="s">
        <v>683</v>
      </c>
      <c r="C113" s="355" t="s">
        <v>685</v>
      </c>
      <c r="D113" s="96">
        <v>12189.9</v>
      </c>
      <c r="E113" s="257"/>
      <c r="J113" s="194"/>
      <c r="M113"/>
    </row>
    <row r="114" spans="2:13" ht="15.75" x14ac:dyDescent="0.25">
      <c r="B114" s="354" t="s">
        <v>686</v>
      </c>
      <c r="C114" s="355" t="s">
        <v>687</v>
      </c>
      <c r="D114" s="96">
        <v>64256.75</v>
      </c>
      <c r="E114" s="257"/>
      <c r="J114" s="194"/>
      <c r="M114"/>
    </row>
    <row r="115" spans="2:13" ht="15.75" x14ac:dyDescent="0.25">
      <c r="B115" s="354" t="s">
        <v>688</v>
      </c>
      <c r="C115" s="355" t="s">
        <v>689</v>
      </c>
      <c r="D115" s="96">
        <v>53375.8</v>
      </c>
      <c r="E115" s="257"/>
      <c r="J115" s="194"/>
      <c r="M115"/>
    </row>
    <row r="116" spans="2:13" ht="15.75" x14ac:dyDescent="0.25">
      <c r="B116" s="354" t="s">
        <v>690</v>
      </c>
      <c r="C116" s="355" t="s">
        <v>691</v>
      </c>
      <c r="D116" s="96">
        <v>126366.49</v>
      </c>
      <c r="E116" s="257"/>
      <c r="J116" s="194"/>
      <c r="M116"/>
    </row>
    <row r="117" spans="2:13" ht="15.75" x14ac:dyDescent="0.25">
      <c r="B117" s="354" t="s">
        <v>690</v>
      </c>
      <c r="C117" s="355" t="s">
        <v>692</v>
      </c>
      <c r="D117" s="96">
        <v>6102</v>
      </c>
      <c r="E117" s="257"/>
      <c r="J117" s="194"/>
      <c r="M117"/>
    </row>
    <row r="118" spans="2:13" ht="15.75" x14ac:dyDescent="0.25">
      <c r="B118" s="354" t="s">
        <v>690</v>
      </c>
      <c r="C118" s="355" t="s">
        <v>693</v>
      </c>
      <c r="D118" s="96">
        <v>4812</v>
      </c>
      <c r="E118" s="257"/>
      <c r="J118" s="194"/>
      <c r="M118"/>
    </row>
    <row r="119" spans="2:13" ht="15.75" x14ac:dyDescent="0.25">
      <c r="B119" s="354" t="s">
        <v>694</v>
      </c>
      <c r="C119" s="355" t="s">
        <v>695</v>
      </c>
      <c r="D119" s="96">
        <v>10160.6</v>
      </c>
      <c r="E119" s="257"/>
      <c r="J119" s="194"/>
    </row>
    <row r="120" spans="2:13" ht="15.75" x14ac:dyDescent="0.25">
      <c r="B120" s="354" t="s">
        <v>694</v>
      </c>
      <c r="C120" s="355" t="s">
        <v>696</v>
      </c>
      <c r="D120" s="96">
        <v>75337.5</v>
      </c>
      <c r="E120" s="257"/>
      <c r="J120" s="194"/>
    </row>
    <row r="121" spans="2:13" ht="15.75" x14ac:dyDescent="0.25">
      <c r="B121" s="354" t="s">
        <v>697</v>
      </c>
      <c r="C121" s="355" t="s">
        <v>698</v>
      </c>
      <c r="D121" s="96">
        <v>29920.44</v>
      </c>
      <c r="E121" s="257"/>
      <c r="J121" s="194"/>
    </row>
    <row r="122" spans="2:13" ht="15.75" x14ac:dyDescent="0.25">
      <c r="B122" s="354" t="s">
        <v>699</v>
      </c>
      <c r="C122" s="355" t="s">
        <v>700</v>
      </c>
      <c r="D122" s="96">
        <v>72246.7</v>
      </c>
      <c r="E122" s="257"/>
      <c r="J122" s="194"/>
    </row>
    <row r="123" spans="2:13" ht="15.75" x14ac:dyDescent="0.25">
      <c r="B123" s="354" t="s">
        <v>699</v>
      </c>
      <c r="C123" s="355" t="s">
        <v>701</v>
      </c>
      <c r="D123" s="96">
        <v>3036</v>
      </c>
      <c r="E123" s="257"/>
      <c r="J123" s="194"/>
    </row>
    <row r="124" spans="2:13" ht="15.75" x14ac:dyDescent="0.25">
      <c r="B124" s="354" t="s">
        <v>702</v>
      </c>
      <c r="C124" s="355" t="s">
        <v>703</v>
      </c>
      <c r="D124" s="96">
        <v>1627.2</v>
      </c>
      <c r="E124" s="257"/>
      <c r="J124" s="194"/>
    </row>
    <row r="125" spans="2:13" ht="18.75" x14ac:dyDescent="0.3">
      <c r="B125" s="354" t="s">
        <v>702</v>
      </c>
      <c r="C125" s="355" t="s">
        <v>704</v>
      </c>
      <c r="D125" s="96">
        <v>1238.8</v>
      </c>
      <c r="E125" s="257"/>
      <c r="K125" s="154"/>
    </row>
    <row r="126" spans="2:13" ht="15.75" x14ac:dyDescent="0.25">
      <c r="B126" s="354" t="s">
        <v>702</v>
      </c>
      <c r="C126" s="355" t="s">
        <v>705</v>
      </c>
      <c r="D126" s="96">
        <v>50646.16</v>
      </c>
      <c r="E126" s="257"/>
    </row>
    <row r="127" spans="2:13" ht="15.75" x14ac:dyDescent="0.25">
      <c r="B127" s="354"/>
      <c r="C127" s="355"/>
      <c r="D127" s="96"/>
      <c r="E127" s="257"/>
    </row>
    <row r="128" spans="2:13" ht="15.75" x14ac:dyDescent="0.25">
      <c r="B128" s="354"/>
      <c r="C128" s="355"/>
      <c r="D128" s="96"/>
      <c r="E128" s="257"/>
    </row>
    <row r="129" spans="2:5" ht="16.5" thickBot="1" x14ac:dyDescent="0.3">
      <c r="B129" s="354"/>
      <c r="C129" s="355"/>
      <c r="D129" s="96"/>
      <c r="E129" s="581"/>
    </row>
    <row r="130" spans="2:5" ht="21.75" thickBot="1" x14ac:dyDescent="0.4">
      <c r="B130" s="455"/>
      <c r="C130" s="940">
        <f>SUM(D106:D129)</f>
        <v>759581.99999999988</v>
      </c>
      <c r="D130" s="941"/>
      <c r="E130" s="257"/>
    </row>
  </sheetData>
  <mergeCells count="4">
    <mergeCell ref="F90:F91"/>
    <mergeCell ref="I93:J94"/>
    <mergeCell ref="C130:D130"/>
    <mergeCell ref="I54:J56"/>
  </mergeCells>
  <pageMargins left="0.34" right="0.13" top="0.26" bottom="0.26" header="0.3" footer="0.3"/>
  <pageSetup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H17"/>
  <sheetViews>
    <sheetView workbookViewId="0">
      <selection activeCell="J16" sqref="J16"/>
    </sheetView>
  </sheetViews>
  <sheetFormatPr baseColWidth="10" defaultRowHeight="15" x14ac:dyDescent="0.25"/>
  <cols>
    <col min="1" max="1" width="4.28515625" customWidth="1"/>
    <col min="2" max="3" width="14.42578125" style="256" customWidth="1"/>
    <col min="4" max="4" width="18" style="3" customWidth="1"/>
    <col min="5" max="5" width="15" customWidth="1"/>
    <col min="8" max="8" width="12.5703125" bestFit="1" customWidth="1"/>
  </cols>
  <sheetData>
    <row r="1" spans="2:8" ht="15.75" thickBot="1" x14ac:dyDescent="0.3"/>
    <row r="2" spans="2:8" x14ac:dyDescent="0.25">
      <c r="B2" s="955" t="s">
        <v>1242</v>
      </c>
      <c r="C2" s="956"/>
      <c r="D2" s="957"/>
      <c r="F2" s="943" t="s">
        <v>1241</v>
      </c>
      <c r="G2" s="944"/>
      <c r="H2" s="945"/>
    </row>
    <row r="3" spans="2:8" ht="27.75" customHeight="1" thickBot="1" x14ac:dyDescent="0.3">
      <c r="B3" s="958"/>
      <c r="C3" s="959"/>
      <c r="D3" s="960"/>
      <c r="F3" s="946"/>
      <c r="G3" s="947"/>
      <c r="H3" s="948"/>
    </row>
    <row r="4" spans="2:8" ht="32.25" thickBot="1" x14ac:dyDescent="0.3">
      <c r="B4" s="523" t="s">
        <v>747</v>
      </c>
      <c r="C4" s="525" t="s">
        <v>746</v>
      </c>
      <c r="D4" s="524" t="s">
        <v>21</v>
      </c>
      <c r="F4" s="530" t="s">
        <v>747</v>
      </c>
      <c r="G4" s="531" t="s">
        <v>746</v>
      </c>
      <c r="H4" s="532" t="s">
        <v>21</v>
      </c>
    </row>
    <row r="5" spans="2:8" s="98" customFormat="1" ht="32.25" thickTop="1" x14ac:dyDescent="0.25">
      <c r="B5" s="118">
        <v>44669</v>
      </c>
      <c r="C5" s="118">
        <v>44674</v>
      </c>
      <c r="D5" s="1">
        <v>26691</v>
      </c>
      <c r="E5" s="526" t="s">
        <v>748</v>
      </c>
      <c r="F5" s="254">
        <v>44673</v>
      </c>
      <c r="G5" s="254"/>
      <c r="H5" s="327">
        <v>166000</v>
      </c>
    </row>
    <row r="6" spans="2:8" s="98" customFormat="1" ht="31.5" x14ac:dyDescent="0.25">
      <c r="B6" s="254">
        <v>44670</v>
      </c>
      <c r="C6" s="254">
        <v>44674</v>
      </c>
      <c r="D6" s="327">
        <v>39942</v>
      </c>
      <c r="E6" s="526" t="s">
        <v>748</v>
      </c>
      <c r="F6" s="254">
        <v>44673</v>
      </c>
      <c r="G6" s="254"/>
      <c r="H6" s="327">
        <v>20000</v>
      </c>
    </row>
    <row r="7" spans="2:8" s="98" customFormat="1" ht="31.5" x14ac:dyDescent="0.25">
      <c r="B7" s="254">
        <v>44671</v>
      </c>
      <c r="C7" s="254">
        <v>44674</v>
      </c>
      <c r="D7" s="327">
        <v>46851.5</v>
      </c>
      <c r="E7" s="526" t="s">
        <v>748</v>
      </c>
      <c r="F7" s="254">
        <v>44673</v>
      </c>
      <c r="G7" s="254"/>
      <c r="H7" s="327">
        <v>59220</v>
      </c>
    </row>
    <row r="8" spans="2:8" s="98" customFormat="1" ht="31.5" x14ac:dyDescent="0.25">
      <c r="B8" s="254">
        <v>44672</v>
      </c>
      <c r="C8" s="254">
        <v>44674</v>
      </c>
      <c r="D8" s="327">
        <v>55917</v>
      </c>
      <c r="E8" s="526" t="s">
        <v>748</v>
      </c>
      <c r="F8" s="254">
        <v>44673</v>
      </c>
      <c r="G8" s="254"/>
      <c r="H8" s="327">
        <v>70000</v>
      </c>
    </row>
    <row r="9" spans="2:8" s="98" customFormat="1" ht="31.5" x14ac:dyDescent="0.25">
      <c r="B9" s="254">
        <v>44673</v>
      </c>
      <c r="C9" s="254">
        <v>44674</v>
      </c>
      <c r="D9" s="327">
        <v>95058.5</v>
      </c>
      <c r="E9" s="526" t="s">
        <v>748</v>
      </c>
      <c r="F9" s="254">
        <v>44673</v>
      </c>
      <c r="G9" s="254"/>
      <c r="H9" s="327">
        <v>19117</v>
      </c>
    </row>
    <row r="10" spans="2:8" s="98" customFormat="1" ht="20.25" customHeight="1" thickBot="1" x14ac:dyDescent="0.3">
      <c r="B10" s="118"/>
      <c r="C10" s="118"/>
      <c r="D10" s="1">
        <v>0</v>
      </c>
      <c r="H10" s="1">
        <v>0</v>
      </c>
    </row>
    <row r="11" spans="2:8" ht="36" customHeight="1" thickBot="1" x14ac:dyDescent="0.4">
      <c r="C11" s="527" t="s">
        <v>8</v>
      </c>
      <c r="D11" s="528">
        <f>SUM(D5:D10)</f>
        <v>264460</v>
      </c>
      <c r="G11" s="949">
        <f>SUM(H5:H10)</f>
        <v>334337</v>
      </c>
      <c r="H11" s="950"/>
    </row>
    <row r="13" spans="2:8" ht="18.75" x14ac:dyDescent="0.3">
      <c r="B13" s="529" t="s">
        <v>594</v>
      </c>
      <c r="C13" s="529" t="s">
        <v>750</v>
      </c>
      <c r="D13" s="154">
        <v>334337</v>
      </c>
    </row>
    <row r="14" spans="2:8" ht="19.5" thickBot="1" x14ac:dyDescent="0.35">
      <c r="C14" s="529"/>
    </row>
    <row r="15" spans="2:8" ht="21" customHeight="1" x14ac:dyDescent="0.25">
      <c r="C15" s="953" t="s">
        <v>749</v>
      </c>
      <c r="D15" s="951">
        <f>D11-D13</f>
        <v>-69877</v>
      </c>
      <c r="E15" s="961" t="s">
        <v>1243</v>
      </c>
      <c r="F15" s="962"/>
      <c r="G15" s="962"/>
      <c r="H15" s="963"/>
    </row>
    <row r="16" spans="2:8" ht="18.75" customHeight="1" thickBot="1" x14ac:dyDescent="0.3">
      <c r="C16" s="954"/>
      <c r="D16" s="952"/>
      <c r="E16" s="964"/>
      <c r="F16" s="965"/>
      <c r="G16" s="965"/>
      <c r="H16" s="966"/>
    </row>
    <row r="17" spans="3:4" ht="18.75" x14ac:dyDescent="0.3">
      <c r="C17" s="942" t="s">
        <v>751</v>
      </c>
      <c r="D17" s="942"/>
    </row>
  </sheetData>
  <mergeCells count="7">
    <mergeCell ref="C17:D17"/>
    <mergeCell ref="F2:H3"/>
    <mergeCell ref="G11:H11"/>
    <mergeCell ref="D15:D16"/>
    <mergeCell ref="C15:C16"/>
    <mergeCell ref="B2:D3"/>
    <mergeCell ref="E15:H16"/>
  </mergeCells>
  <pageMargins left="0.19" right="0.13" top="0.75" bottom="0.75" header="0.3" footer="0.3"/>
  <pageSetup orientation="portrait" horizontalDpi="0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C99FF"/>
  </sheetPr>
  <dimension ref="A1:Z91"/>
  <sheetViews>
    <sheetView workbookViewId="0">
      <pane xSplit="1" ySplit="4" topLeftCell="B29" activePane="bottomRight" state="frozen"/>
      <selection pane="topRight" activeCell="B1" sqref="B1"/>
      <selection pane="bottomLeft" activeCell="A5" sqref="A5"/>
      <selection pane="bottomRight" activeCell="P41" sqref="P41"/>
    </sheetView>
  </sheetViews>
  <sheetFormatPr baseColWidth="10" defaultRowHeight="15.75" x14ac:dyDescent="0.25"/>
  <cols>
    <col min="1" max="1" width="2.85546875" customWidth="1"/>
    <col min="2" max="2" width="12.42578125" style="551" customWidth="1"/>
    <col min="3" max="3" width="15.5703125" style="4" bestFit="1" customWidth="1"/>
    <col min="4" max="4" width="15.28515625" customWidth="1"/>
    <col min="5" max="5" width="11.42578125" style="552"/>
    <col min="6" max="6" width="15.28515625" style="4" customWidth="1"/>
    <col min="7" max="7" width="1.85546875" style="552" customWidth="1"/>
    <col min="8" max="8" width="11.85546875" style="552" customWidth="1"/>
    <col min="9" max="9" width="15.7109375" style="4" customWidth="1"/>
    <col min="10" max="10" width="11.7109375" style="12" customWidth="1"/>
    <col min="11" max="11" width="14.42578125" style="561" customWidth="1"/>
    <col min="12" max="12" width="14.5703125" style="3" customWidth="1"/>
    <col min="13" max="13" width="17.5703125" style="4" bestFit="1" customWidth="1"/>
    <col min="14" max="14" width="17.5703125" style="1" bestFit="1" customWidth="1"/>
    <col min="15" max="15" width="8.85546875" style="576" bestFit="1" customWidth="1"/>
    <col min="16" max="16" width="16.85546875" customWidth="1"/>
    <col min="17" max="17" width="21.28515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826"/>
      <c r="C1" s="892" t="s">
        <v>752</v>
      </c>
      <c r="D1" s="893"/>
      <c r="E1" s="893"/>
      <c r="F1" s="893"/>
      <c r="G1" s="893"/>
      <c r="H1" s="893"/>
      <c r="I1" s="893"/>
      <c r="J1" s="893"/>
      <c r="K1" s="893"/>
      <c r="L1" s="893"/>
      <c r="M1" s="893"/>
    </row>
    <row r="2" spans="1:25" ht="16.5" thickBot="1" x14ac:dyDescent="0.3">
      <c r="B2" s="827"/>
      <c r="C2" s="3"/>
      <c r="H2" s="5"/>
      <c r="I2" s="6"/>
      <c r="J2" s="7"/>
      <c r="L2" s="8"/>
      <c r="M2" s="6"/>
      <c r="N2" s="9"/>
    </row>
    <row r="3" spans="1:25" ht="21.75" thickBot="1" x14ac:dyDescent="0.35">
      <c r="B3" s="830" t="s">
        <v>0</v>
      </c>
      <c r="C3" s="831"/>
      <c r="D3" s="10"/>
      <c r="E3" s="553"/>
      <c r="F3" s="11"/>
      <c r="H3" s="832" t="s">
        <v>26</v>
      </c>
      <c r="I3" s="832"/>
      <c r="K3" s="165"/>
      <c r="L3" s="13"/>
      <c r="M3" s="14"/>
      <c r="P3" s="869" t="s">
        <v>6</v>
      </c>
      <c r="R3" s="890" t="s">
        <v>216</v>
      </c>
      <c r="U3" s="34"/>
      <c r="V3" s="128"/>
      <c r="W3" s="128"/>
      <c r="X3" s="128"/>
    </row>
    <row r="4" spans="1:25" ht="32.25" thickTop="1" thickBot="1" x14ac:dyDescent="0.35">
      <c r="A4" s="15" t="s">
        <v>1</v>
      </c>
      <c r="B4" s="16"/>
      <c r="C4" s="17">
        <v>2112071.92</v>
      </c>
      <c r="D4" s="18">
        <v>44682</v>
      </c>
      <c r="E4" s="833" t="s">
        <v>2</v>
      </c>
      <c r="F4" s="834"/>
      <c r="H4" s="835" t="s">
        <v>3</v>
      </c>
      <c r="I4" s="836"/>
      <c r="J4" s="556"/>
      <c r="K4" s="562"/>
      <c r="L4" s="563"/>
      <c r="M4" s="21" t="s">
        <v>4</v>
      </c>
      <c r="N4" s="22" t="s">
        <v>5</v>
      </c>
      <c r="P4" s="870"/>
      <c r="Q4" s="322" t="s">
        <v>217</v>
      </c>
      <c r="R4" s="891"/>
      <c r="U4" s="34"/>
      <c r="V4" s="128"/>
      <c r="W4" s="967"/>
      <c r="X4" s="967"/>
      <c r="Y4" s="227"/>
    </row>
    <row r="5" spans="1:25" ht="18" thickBot="1" x14ac:dyDescent="0.35">
      <c r="A5" s="23" t="s">
        <v>7</v>
      </c>
      <c r="B5" s="24">
        <v>44683</v>
      </c>
      <c r="C5" s="25">
        <v>17249</v>
      </c>
      <c r="D5" s="26" t="s">
        <v>753</v>
      </c>
      <c r="E5" s="27">
        <v>44683</v>
      </c>
      <c r="F5" s="28">
        <v>112678</v>
      </c>
      <c r="G5" s="572"/>
      <c r="H5" s="29">
        <v>44683</v>
      </c>
      <c r="I5" s="30">
        <v>1858.5</v>
      </c>
      <c r="J5" s="37"/>
      <c r="K5" s="31"/>
      <c r="L5" s="9"/>
      <c r="M5" s="32">
        <f>61008.5+2210</f>
        <v>63218.5</v>
      </c>
      <c r="N5" s="33">
        <v>30352</v>
      </c>
      <c r="O5" s="575"/>
      <c r="P5" s="34">
        <f>N5+M5+L5+I5+C5</f>
        <v>112678</v>
      </c>
      <c r="Q5" s="325">
        <f>P5-F5</f>
        <v>0</v>
      </c>
      <c r="R5" s="379">
        <v>0</v>
      </c>
      <c r="S5" s="324"/>
      <c r="U5" s="34"/>
      <c r="V5" s="128"/>
      <c r="W5" s="967"/>
      <c r="X5" s="967"/>
      <c r="Y5" s="233"/>
    </row>
    <row r="6" spans="1:25" ht="18" thickBot="1" x14ac:dyDescent="0.35">
      <c r="A6" s="23"/>
      <c r="B6" s="24">
        <v>44684</v>
      </c>
      <c r="C6" s="25">
        <v>26350</v>
      </c>
      <c r="D6" s="35" t="s">
        <v>754</v>
      </c>
      <c r="E6" s="27">
        <v>44684</v>
      </c>
      <c r="F6" s="28">
        <v>99636</v>
      </c>
      <c r="G6" s="572"/>
      <c r="H6" s="29">
        <v>44684</v>
      </c>
      <c r="I6" s="30">
        <v>3791</v>
      </c>
      <c r="J6" s="37"/>
      <c r="K6" s="38"/>
      <c r="L6" s="39"/>
      <c r="M6" s="32">
        <v>39813</v>
      </c>
      <c r="N6" s="33">
        <v>29682</v>
      </c>
      <c r="O6" s="575"/>
      <c r="P6" s="39">
        <f>N6+M6+L6+I6+C6</f>
        <v>99636</v>
      </c>
      <c r="Q6" s="325">
        <f t="shared" ref="Q6:Q35" si="0">P6-F6</f>
        <v>0</v>
      </c>
      <c r="R6" s="319">
        <v>0</v>
      </c>
      <c r="S6" s="147"/>
      <c r="T6" s="128"/>
      <c r="U6" s="380"/>
      <c r="V6" s="128"/>
      <c r="W6" s="233"/>
      <c r="X6" s="239"/>
      <c r="Y6" s="13"/>
    </row>
    <row r="7" spans="1:25" ht="18" thickBot="1" x14ac:dyDescent="0.35">
      <c r="A7" s="23"/>
      <c r="B7" s="24">
        <v>44685</v>
      </c>
      <c r="C7" s="25">
        <v>17460</v>
      </c>
      <c r="D7" s="40" t="s">
        <v>755</v>
      </c>
      <c r="E7" s="27">
        <v>44685</v>
      </c>
      <c r="F7" s="28">
        <v>102561</v>
      </c>
      <c r="G7" s="572"/>
      <c r="H7" s="29">
        <v>44685</v>
      </c>
      <c r="I7" s="30">
        <v>4268</v>
      </c>
      <c r="J7" s="37">
        <v>44685</v>
      </c>
      <c r="K7" s="38" t="s">
        <v>756</v>
      </c>
      <c r="L7" s="39">
        <v>20000</v>
      </c>
      <c r="M7" s="32">
        <v>28729</v>
      </c>
      <c r="N7" s="33">
        <v>33550</v>
      </c>
      <c r="O7" s="577"/>
      <c r="P7" s="39">
        <f>N7+M7+L7+I7+C7</f>
        <v>104007</v>
      </c>
      <c r="Q7" s="325">
        <v>0</v>
      </c>
      <c r="R7" s="388">
        <v>1446</v>
      </c>
      <c r="S7" s="147"/>
      <c r="T7" s="128"/>
      <c r="U7" s="34"/>
      <c r="V7" s="128"/>
      <c r="W7" s="233"/>
      <c r="X7" s="239"/>
      <c r="Y7" s="13"/>
    </row>
    <row r="8" spans="1:25" ht="18" thickBot="1" x14ac:dyDescent="0.35">
      <c r="A8" s="23"/>
      <c r="B8" s="24">
        <v>44686</v>
      </c>
      <c r="C8" s="25">
        <v>2552</v>
      </c>
      <c r="D8" s="42" t="s">
        <v>757</v>
      </c>
      <c r="E8" s="27">
        <v>44686</v>
      </c>
      <c r="F8" s="28">
        <v>99057</v>
      </c>
      <c r="G8" s="572"/>
      <c r="H8" s="29">
        <v>44686</v>
      </c>
      <c r="I8" s="30">
        <v>2665</v>
      </c>
      <c r="J8" s="43"/>
      <c r="K8" s="38"/>
      <c r="L8" s="39"/>
      <c r="M8" s="32">
        <v>54686</v>
      </c>
      <c r="N8" s="33">
        <v>39154</v>
      </c>
      <c r="O8" s="575"/>
      <c r="P8" s="39">
        <f t="shared" ref="P8:P33" si="1">N8+M8+L8+I8+C8</f>
        <v>99057</v>
      </c>
      <c r="Q8" s="325">
        <f t="shared" si="0"/>
        <v>0</v>
      </c>
      <c r="R8" s="319">
        <v>0</v>
      </c>
      <c r="S8" s="147"/>
      <c r="T8" s="128"/>
      <c r="U8" s="34"/>
      <c r="V8" s="128"/>
      <c r="W8" s="233"/>
      <c r="X8" s="239"/>
      <c r="Y8" s="13"/>
    </row>
    <row r="9" spans="1:25" ht="18" thickBot="1" x14ac:dyDescent="0.35">
      <c r="A9" s="23"/>
      <c r="B9" s="24">
        <v>44687</v>
      </c>
      <c r="C9" s="25">
        <v>11321</v>
      </c>
      <c r="D9" s="42" t="s">
        <v>758</v>
      </c>
      <c r="E9" s="27">
        <v>44687</v>
      </c>
      <c r="F9" s="28">
        <v>121841</v>
      </c>
      <c r="G9" s="572"/>
      <c r="H9" s="29">
        <v>44687</v>
      </c>
      <c r="I9" s="30">
        <v>849</v>
      </c>
      <c r="J9" s="37"/>
      <c r="K9" s="223"/>
      <c r="L9" s="39"/>
      <c r="M9" s="32">
        <v>73218</v>
      </c>
      <c r="N9" s="33">
        <v>36453</v>
      </c>
      <c r="O9" s="575"/>
      <c r="P9" s="39">
        <f t="shared" si="1"/>
        <v>121841</v>
      </c>
      <c r="Q9" s="325">
        <f t="shared" si="0"/>
        <v>0</v>
      </c>
      <c r="R9" s="319">
        <v>3</v>
      </c>
      <c r="S9" s="147"/>
      <c r="T9" s="128"/>
      <c r="U9" s="34"/>
      <c r="V9" s="128"/>
      <c r="W9" s="233"/>
      <c r="X9" s="239"/>
      <c r="Y9" s="13"/>
    </row>
    <row r="10" spans="1:25" ht="18" thickBot="1" x14ac:dyDescent="0.35">
      <c r="A10" s="23"/>
      <c r="B10" s="24">
        <v>44688</v>
      </c>
      <c r="C10" s="25">
        <v>15951.5</v>
      </c>
      <c r="D10" s="40" t="s">
        <v>759</v>
      </c>
      <c r="E10" s="27">
        <v>44688</v>
      </c>
      <c r="F10" s="28">
        <v>128367</v>
      </c>
      <c r="G10" s="572"/>
      <c r="H10" s="29">
        <v>44688</v>
      </c>
      <c r="I10" s="30">
        <v>10782.5</v>
      </c>
      <c r="J10" s="37">
        <v>44688</v>
      </c>
      <c r="K10" s="167" t="s">
        <v>760</v>
      </c>
      <c r="L10" s="45">
        <v>18091</v>
      </c>
      <c r="M10" s="32">
        <v>33541</v>
      </c>
      <c r="N10" s="33">
        <v>50001</v>
      </c>
      <c r="O10" s="575"/>
      <c r="P10" s="39">
        <f>N10+M10+L10+I10+C10</f>
        <v>128367</v>
      </c>
      <c r="Q10" s="325">
        <f t="shared" si="0"/>
        <v>0</v>
      </c>
      <c r="R10" s="319">
        <v>0</v>
      </c>
      <c r="S10" s="147"/>
      <c r="T10" s="128"/>
      <c r="U10" s="34"/>
      <c r="V10" s="128"/>
      <c r="W10" s="233"/>
      <c r="X10" s="239"/>
      <c r="Y10" s="13"/>
    </row>
    <row r="11" spans="1:25" ht="18" thickBot="1" x14ac:dyDescent="0.35">
      <c r="A11" s="23"/>
      <c r="B11" s="24">
        <v>44689</v>
      </c>
      <c r="C11" s="25">
        <v>25024</v>
      </c>
      <c r="D11" s="35" t="s">
        <v>762</v>
      </c>
      <c r="E11" s="27">
        <v>44689</v>
      </c>
      <c r="F11" s="28">
        <v>71145</v>
      </c>
      <c r="G11" s="572"/>
      <c r="H11" s="29">
        <v>44689</v>
      </c>
      <c r="I11" s="30">
        <v>1586</v>
      </c>
      <c r="J11" s="43"/>
      <c r="K11" s="168"/>
      <c r="L11" s="39"/>
      <c r="M11" s="32">
        <v>21054</v>
      </c>
      <c r="N11" s="33">
        <v>23481</v>
      </c>
      <c r="O11" s="575"/>
      <c r="P11" s="39">
        <f t="shared" si="1"/>
        <v>71145</v>
      </c>
      <c r="Q11" s="325">
        <f t="shared" si="0"/>
        <v>0</v>
      </c>
      <c r="R11" s="319">
        <v>0</v>
      </c>
      <c r="S11" s="147"/>
      <c r="T11" s="128"/>
      <c r="U11" s="34"/>
      <c r="V11" s="128"/>
      <c r="W11" s="233"/>
      <c r="X11" s="239"/>
      <c r="Y11" s="13"/>
    </row>
    <row r="12" spans="1:25" ht="18" thickBot="1" x14ac:dyDescent="0.35">
      <c r="A12" s="23"/>
      <c r="B12" s="24">
        <v>44690</v>
      </c>
      <c r="C12" s="25">
        <v>26526.5</v>
      </c>
      <c r="D12" s="35" t="s">
        <v>763</v>
      </c>
      <c r="E12" s="27">
        <v>44690</v>
      </c>
      <c r="F12" s="28">
        <v>141644</v>
      </c>
      <c r="G12" s="572"/>
      <c r="H12" s="29">
        <v>44690</v>
      </c>
      <c r="I12" s="30">
        <v>3357</v>
      </c>
      <c r="J12" s="37"/>
      <c r="K12" s="169"/>
      <c r="L12" s="39"/>
      <c r="M12" s="32">
        <v>67500</v>
      </c>
      <c r="N12" s="33">
        <v>44262</v>
      </c>
      <c r="O12" s="574" t="s">
        <v>764</v>
      </c>
      <c r="P12" s="39">
        <f t="shared" si="1"/>
        <v>141645.5</v>
      </c>
      <c r="Q12" s="325">
        <f t="shared" si="0"/>
        <v>1.5</v>
      </c>
      <c r="R12" s="319">
        <v>0</v>
      </c>
      <c r="S12" s="147"/>
      <c r="T12" s="128"/>
      <c r="U12" s="34"/>
      <c r="V12" s="128"/>
      <c r="W12" s="233"/>
      <c r="X12" s="239"/>
      <c r="Y12" s="13"/>
    </row>
    <row r="13" spans="1:25" ht="18" thickBot="1" x14ac:dyDescent="0.35">
      <c r="A13" s="23"/>
      <c r="B13" s="24">
        <v>44691</v>
      </c>
      <c r="C13" s="25">
        <v>3165</v>
      </c>
      <c r="D13" s="42" t="s">
        <v>765</v>
      </c>
      <c r="E13" s="27">
        <v>44691</v>
      </c>
      <c r="F13" s="28">
        <v>120719</v>
      </c>
      <c r="G13" s="572"/>
      <c r="H13" s="29">
        <v>44691</v>
      </c>
      <c r="I13" s="30">
        <v>1654</v>
      </c>
      <c r="J13" s="37"/>
      <c r="K13" s="38"/>
      <c r="L13" s="39"/>
      <c r="M13" s="32">
        <v>74689</v>
      </c>
      <c r="N13" s="33">
        <v>41211</v>
      </c>
      <c r="O13" s="574" t="s">
        <v>764</v>
      </c>
      <c r="P13" s="39">
        <f t="shared" si="1"/>
        <v>120719</v>
      </c>
      <c r="Q13" s="325">
        <f t="shared" si="0"/>
        <v>0</v>
      </c>
      <c r="R13" s="319">
        <v>0</v>
      </c>
      <c r="S13" s="381"/>
      <c r="T13" s="128"/>
      <c r="U13" s="34"/>
      <c r="V13" s="128"/>
      <c r="W13" s="233"/>
      <c r="X13" s="239"/>
      <c r="Y13" s="13"/>
    </row>
    <row r="14" spans="1:25" ht="18" thickBot="1" x14ac:dyDescent="0.35">
      <c r="A14" s="23"/>
      <c r="B14" s="24">
        <v>44692</v>
      </c>
      <c r="C14" s="25">
        <v>36768</v>
      </c>
      <c r="D14" s="40" t="s">
        <v>766</v>
      </c>
      <c r="E14" s="27">
        <v>44692</v>
      </c>
      <c r="F14" s="28">
        <v>82833</v>
      </c>
      <c r="G14" s="572"/>
      <c r="H14" s="29">
        <v>44692</v>
      </c>
      <c r="I14" s="30">
        <v>1363</v>
      </c>
      <c r="J14" s="37"/>
      <c r="K14" s="38"/>
      <c r="L14" s="39"/>
      <c r="M14" s="32">
        <v>64829</v>
      </c>
      <c r="N14" s="33">
        <v>25847</v>
      </c>
      <c r="O14" s="574" t="s">
        <v>764</v>
      </c>
      <c r="P14" s="39">
        <f t="shared" si="1"/>
        <v>128807</v>
      </c>
      <c r="Q14" s="325">
        <v>0</v>
      </c>
      <c r="R14" s="388">
        <v>45974</v>
      </c>
      <c r="S14" s="147"/>
      <c r="U14" s="34"/>
      <c r="V14" s="128"/>
      <c r="W14" s="233"/>
      <c r="X14" s="239"/>
      <c r="Y14" s="13"/>
    </row>
    <row r="15" spans="1:25" ht="18" thickBot="1" x14ac:dyDescent="0.35">
      <c r="A15" s="23"/>
      <c r="B15" s="24">
        <v>44693</v>
      </c>
      <c r="C15" s="25">
        <v>18647</v>
      </c>
      <c r="D15" s="40" t="s">
        <v>767</v>
      </c>
      <c r="E15" s="27">
        <v>44693</v>
      </c>
      <c r="F15" s="28">
        <v>90488</v>
      </c>
      <c r="G15" s="572"/>
      <c r="H15" s="29">
        <v>44693</v>
      </c>
      <c r="I15" s="30">
        <v>327</v>
      </c>
      <c r="J15" s="37"/>
      <c r="K15" s="38"/>
      <c r="L15" s="39"/>
      <c r="M15" s="32">
        <v>40075</v>
      </c>
      <c r="N15" s="33">
        <v>31439</v>
      </c>
      <c r="O15" s="574" t="s">
        <v>764</v>
      </c>
      <c r="P15" s="39">
        <f t="shared" si="1"/>
        <v>90488</v>
      </c>
      <c r="Q15" s="325">
        <f t="shared" si="0"/>
        <v>0</v>
      </c>
      <c r="R15" s="319">
        <v>0</v>
      </c>
      <c r="S15" s="147"/>
      <c r="U15" s="34"/>
      <c r="V15" s="128"/>
      <c r="W15" s="233"/>
      <c r="X15" s="239"/>
      <c r="Y15" s="13"/>
    </row>
    <row r="16" spans="1:25" ht="19.5" thickBot="1" x14ac:dyDescent="0.35">
      <c r="A16" s="23"/>
      <c r="B16" s="24">
        <v>44694</v>
      </c>
      <c r="C16" s="25">
        <v>5443</v>
      </c>
      <c r="D16" s="35" t="s">
        <v>768</v>
      </c>
      <c r="E16" s="27">
        <v>44694</v>
      </c>
      <c r="F16" s="28">
        <v>94487</v>
      </c>
      <c r="G16" s="572"/>
      <c r="H16" s="29">
        <v>44694</v>
      </c>
      <c r="I16" s="30">
        <v>5161</v>
      </c>
      <c r="J16" s="37"/>
      <c r="K16" s="169"/>
      <c r="L16" s="9"/>
      <c r="M16" s="32">
        <v>56051</v>
      </c>
      <c r="N16" s="33">
        <v>27832</v>
      </c>
      <c r="O16" s="574" t="s">
        <v>764</v>
      </c>
      <c r="P16" s="39">
        <f t="shared" si="1"/>
        <v>94487</v>
      </c>
      <c r="Q16" s="325">
        <f t="shared" si="0"/>
        <v>0</v>
      </c>
      <c r="R16" s="319">
        <v>0</v>
      </c>
      <c r="S16" s="331"/>
      <c r="U16" s="34"/>
      <c r="V16" s="128"/>
      <c r="W16" s="233"/>
      <c r="X16" s="239"/>
      <c r="Y16" s="233"/>
    </row>
    <row r="17" spans="1:26" ht="18" thickBot="1" x14ac:dyDescent="0.35">
      <c r="A17" s="23"/>
      <c r="B17" s="24">
        <v>44695</v>
      </c>
      <c r="C17" s="25">
        <v>23050</v>
      </c>
      <c r="D17" s="42" t="s">
        <v>769</v>
      </c>
      <c r="E17" s="27">
        <v>44695</v>
      </c>
      <c r="F17" s="28">
        <v>127660</v>
      </c>
      <c r="G17" s="572"/>
      <c r="H17" s="29">
        <v>44695</v>
      </c>
      <c r="I17" s="30">
        <v>3373</v>
      </c>
      <c r="J17" s="37">
        <v>44695</v>
      </c>
      <c r="K17" s="38" t="s">
        <v>770</v>
      </c>
      <c r="L17" s="45">
        <v>15841</v>
      </c>
      <c r="M17" s="32">
        <v>43450</v>
      </c>
      <c r="N17" s="33">
        <v>41947</v>
      </c>
      <c r="O17" s="574" t="s">
        <v>764</v>
      </c>
      <c r="P17" s="39">
        <f t="shared" si="1"/>
        <v>127661</v>
      </c>
      <c r="Q17" s="325">
        <f t="shared" si="0"/>
        <v>1</v>
      </c>
      <c r="R17" s="319">
        <v>0</v>
      </c>
      <c r="S17" s="147"/>
      <c r="U17" s="34"/>
      <c r="V17" s="128"/>
      <c r="W17" s="233"/>
      <c r="X17" s="239"/>
      <c r="Y17" s="233"/>
    </row>
    <row r="18" spans="1:26" ht="18" thickBot="1" x14ac:dyDescent="0.35">
      <c r="A18" s="23"/>
      <c r="B18" s="24">
        <v>44696</v>
      </c>
      <c r="C18" s="25">
        <v>5884</v>
      </c>
      <c r="D18" s="35" t="s">
        <v>771</v>
      </c>
      <c r="E18" s="27">
        <v>44696</v>
      </c>
      <c r="F18" s="28">
        <v>88214</v>
      </c>
      <c r="G18" s="572"/>
      <c r="H18" s="29">
        <v>44696</v>
      </c>
      <c r="I18" s="30">
        <v>1226</v>
      </c>
      <c r="J18" s="37"/>
      <c r="K18" s="564"/>
      <c r="L18" s="39"/>
      <c r="M18" s="32">
        <v>52335</v>
      </c>
      <c r="N18" s="33">
        <v>28769</v>
      </c>
      <c r="O18" s="574" t="s">
        <v>764</v>
      </c>
      <c r="P18" s="39">
        <f t="shared" si="1"/>
        <v>88214</v>
      </c>
      <c r="Q18" s="325">
        <f t="shared" si="0"/>
        <v>0</v>
      </c>
      <c r="R18" s="319">
        <v>0</v>
      </c>
      <c r="S18" s="147"/>
      <c r="U18" s="34"/>
      <c r="V18" s="128"/>
      <c r="W18" s="233"/>
      <c r="X18" s="541"/>
      <c r="Y18" s="233"/>
    </row>
    <row r="19" spans="1:26" ht="18" thickBot="1" x14ac:dyDescent="0.35">
      <c r="A19" s="23"/>
      <c r="B19" s="24">
        <v>44697</v>
      </c>
      <c r="C19" s="25">
        <v>38814</v>
      </c>
      <c r="D19" s="35" t="s">
        <v>772</v>
      </c>
      <c r="E19" s="27">
        <v>44697</v>
      </c>
      <c r="F19" s="28">
        <v>120632</v>
      </c>
      <c r="G19" s="572"/>
      <c r="H19" s="29">
        <v>44697</v>
      </c>
      <c r="I19" s="30">
        <v>313</v>
      </c>
      <c r="J19" s="37"/>
      <c r="K19" s="46"/>
      <c r="L19" s="47"/>
      <c r="M19" s="32">
        <v>69191</v>
      </c>
      <c r="N19" s="33">
        <v>37777</v>
      </c>
      <c r="O19" s="574" t="s">
        <v>764</v>
      </c>
      <c r="P19" s="39">
        <f t="shared" si="1"/>
        <v>146095</v>
      </c>
      <c r="Q19" s="325">
        <v>0</v>
      </c>
      <c r="R19" s="388">
        <v>25463</v>
      </c>
      <c r="S19" s="147"/>
      <c r="U19" s="34"/>
      <c r="V19" s="128"/>
      <c r="W19" s="968"/>
      <c r="X19" s="541"/>
      <c r="Y19" s="233"/>
    </row>
    <row r="20" spans="1:26" ht="18" thickBot="1" x14ac:dyDescent="0.35">
      <c r="A20" s="23"/>
      <c r="B20" s="24">
        <v>44698</v>
      </c>
      <c r="C20" s="25">
        <v>8125</v>
      </c>
      <c r="D20" s="35" t="s">
        <v>773</v>
      </c>
      <c r="E20" s="27">
        <v>44698</v>
      </c>
      <c r="F20" s="28">
        <v>93589</v>
      </c>
      <c r="G20" s="572"/>
      <c r="H20" s="29">
        <v>44698</v>
      </c>
      <c r="I20" s="30">
        <v>1588</v>
      </c>
      <c r="J20" s="37"/>
      <c r="K20" s="171"/>
      <c r="L20" s="45"/>
      <c r="M20" s="32">
        <v>50155</v>
      </c>
      <c r="N20" s="33">
        <v>33721</v>
      </c>
      <c r="O20" s="574" t="s">
        <v>764</v>
      </c>
      <c r="P20" s="39">
        <f t="shared" si="1"/>
        <v>93589</v>
      </c>
      <c r="Q20" s="325">
        <f t="shared" si="0"/>
        <v>0</v>
      </c>
      <c r="R20" s="319">
        <v>0</v>
      </c>
      <c r="S20" s="147"/>
      <c r="U20" s="34"/>
      <c r="V20" s="128"/>
      <c r="W20" s="968"/>
      <c r="X20" s="34"/>
      <c r="Y20" s="233"/>
    </row>
    <row r="21" spans="1:26" ht="18" thickBot="1" x14ac:dyDescent="0.35">
      <c r="A21" s="23"/>
      <c r="B21" s="24">
        <v>44699</v>
      </c>
      <c r="C21" s="25">
        <v>17343</v>
      </c>
      <c r="D21" s="35" t="s">
        <v>774</v>
      </c>
      <c r="E21" s="27">
        <v>44699</v>
      </c>
      <c r="F21" s="28">
        <v>117936</v>
      </c>
      <c r="G21" s="572"/>
      <c r="H21" s="29">
        <v>44699</v>
      </c>
      <c r="I21" s="30">
        <v>2157</v>
      </c>
      <c r="J21" s="37"/>
      <c r="K21" s="565"/>
      <c r="L21" s="45"/>
      <c r="M21" s="32">
        <f>55227+8192</f>
        <v>63419</v>
      </c>
      <c r="N21" s="33">
        <v>35017</v>
      </c>
      <c r="O21" s="574" t="s">
        <v>764</v>
      </c>
      <c r="P21" s="39">
        <f t="shared" si="1"/>
        <v>117936</v>
      </c>
      <c r="Q21" s="325">
        <f t="shared" si="0"/>
        <v>0</v>
      </c>
      <c r="R21" s="319">
        <v>0</v>
      </c>
      <c r="S21" s="147"/>
      <c r="U21" s="34"/>
      <c r="V21" s="128"/>
      <c r="W21" s="885"/>
      <c r="X21" s="885"/>
      <c r="Y21" s="233"/>
      <c r="Z21" s="128"/>
    </row>
    <row r="22" spans="1:26" ht="18" thickBot="1" x14ac:dyDescent="0.35">
      <c r="A22" s="23"/>
      <c r="B22" s="24">
        <v>44700</v>
      </c>
      <c r="C22" s="25">
        <v>6213</v>
      </c>
      <c r="D22" s="35" t="s">
        <v>759</v>
      </c>
      <c r="E22" s="27">
        <v>44700</v>
      </c>
      <c r="F22" s="28">
        <v>108540</v>
      </c>
      <c r="G22" s="572"/>
      <c r="H22" s="29">
        <v>44700</v>
      </c>
      <c r="I22" s="30">
        <v>1829</v>
      </c>
      <c r="J22" s="37"/>
      <c r="K22" s="31"/>
      <c r="L22" s="49"/>
      <c r="M22" s="32">
        <f>47102+8257</f>
        <v>55359</v>
      </c>
      <c r="N22" s="33">
        <v>45139</v>
      </c>
      <c r="O22" s="574" t="s">
        <v>764</v>
      </c>
      <c r="P22" s="39">
        <f t="shared" si="1"/>
        <v>108540</v>
      </c>
      <c r="Q22" s="325">
        <f t="shared" si="0"/>
        <v>0</v>
      </c>
      <c r="R22" s="319">
        <v>0</v>
      </c>
      <c r="S22" s="147"/>
      <c r="U22" s="34"/>
      <c r="V22" s="128"/>
      <c r="W22" s="34"/>
      <c r="X22" s="34"/>
      <c r="Y22" s="233"/>
      <c r="Z22" s="128"/>
    </row>
    <row r="23" spans="1:26" ht="18" thickBot="1" x14ac:dyDescent="0.35">
      <c r="A23" s="23"/>
      <c r="B23" s="24">
        <v>44701</v>
      </c>
      <c r="C23" s="25">
        <v>27352</v>
      </c>
      <c r="D23" s="35" t="s">
        <v>806</v>
      </c>
      <c r="E23" s="27">
        <v>44701</v>
      </c>
      <c r="F23" s="28">
        <v>161066</v>
      </c>
      <c r="G23" s="572"/>
      <c r="H23" s="29">
        <v>44701</v>
      </c>
      <c r="I23" s="30">
        <v>1081</v>
      </c>
      <c r="J23" s="50"/>
      <c r="K23" s="172"/>
      <c r="L23" s="45"/>
      <c r="M23" s="32">
        <f>93134+8200</f>
        <v>101334</v>
      </c>
      <c r="N23" s="33">
        <v>31299</v>
      </c>
      <c r="O23" s="574" t="s">
        <v>764</v>
      </c>
      <c r="P23" s="39">
        <f t="shared" si="1"/>
        <v>161066</v>
      </c>
      <c r="Q23" s="325">
        <f t="shared" si="0"/>
        <v>0</v>
      </c>
      <c r="R23" s="319">
        <v>0</v>
      </c>
      <c r="S23" s="147"/>
      <c r="U23" s="34"/>
      <c r="V23" s="128"/>
      <c r="W23" s="886"/>
      <c r="X23" s="886"/>
      <c r="Y23" s="233"/>
      <c r="Z23" s="128"/>
    </row>
    <row r="24" spans="1:26" ht="18" thickBot="1" x14ac:dyDescent="0.35">
      <c r="A24" s="23"/>
      <c r="B24" s="24">
        <v>44702</v>
      </c>
      <c r="C24" s="25">
        <v>16331</v>
      </c>
      <c r="D24" s="42" t="s">
        <v>807</v>
      </c>
      <c r="E24" s="27">
        <v>44702</v>
      </c>
      <c r="F24" s="28">
        <v>110608</v>
      </c>
      <c r="G24" s="572"/>
      <c r="H24" s="29">
        <v>44702</v>
      </c>
      <c r="I24" s="30">
        <v>7382</v>
      </c>
      <c r="J24" s="51">
        <v>44702</v>
      </c>
      <c r="K24" s="173" t="s">
        <v>808</v>
      </c>
      <c r="L24" s="52">
        <v>17621</v>
      </c>
      <c r="M24" s="32">
        <f>22308+8446</f>
        <v>30754</v>
      </c>
      <c r="N24" s="33">
        <v>38520</v>
      </c>
      <c r="O24" s="574" t="s">
        <v>764</v>
      </c>
      <c r="P24" s="39">
        <f>N24+M24+L24+I24+C24</f>
        <v>110608</v>
      </c>
      <c r="Q24" s="325">
        <f t="shared" si="0"/>
        <v>0</v>
      </c>
      <c r="R24" s="319">
        <v>0</v>
      </c>
      <c r="S24" s="147"/>
      <c r="U24" s="34"/>
      <c r="V24" s="128"/>
      <c r="W24" s="886"/>
      <c r="X24" s="886"/>
      <c r="Y24" s="233"/>
      <c r="Z24" s="128"/>
    </row>
    <row r="25" spans="1:26" ht="19.5" thickBot="1" x14ac:dyDescent="0.35">
      <c r="A25" s="23"/>
      <c r="B25" s="24">
        <v>44703</v>
      </c>
      <c r="C25" s="25">
        <v>25032</v>
      </c>
      <c r="D25" s="35" t="s">
        <v>809</v>
      </c>
      <c r="E25" s="27">
        <v>44703</v>
      </c>
      <c r="F25" s="28">
        <v>76960</v>
      </c>
      <c r="G25" s="572"/>
      <c r="H25" s="29">
        <v>44703</v>
      </c>
      <c r="I25" s="30">
        <v>1189</v>
      </c>
      <c r="J25" s="50"/>
      <c r="K25" s="38"/>
      <c r="L25" s="54"/>
      <c r="M25" s="32">
        <v>23536</v>
      </c>
      <c r="N25" s="33">
        <v>27203</v>
      </c>
      <c r="O25" s="574" t="s">
        <v>764</v>
      </c>
      <c r="P25" s="283">
        <f t="shared" si="1"/>
        <v>76960</v>
      </c>
      <c r="Q25" s="325">
        <f t="shared" si="0"/>
        <v>0</v>
      </c>
      <c r="R25" s="319">
        <v>0</v>
      </c>
      <c r="U25" s="34"/>
      <c r="V25" s="128"/>
      <c r="W25" s="887"/>
      <c r="X25" s="887"/>
      <c r="Y25" s="233"/>
      <c r="Z25" s="128"/>
    </row>
    <row r="26" spans="1:26" ht="19.5" thickBot="1" x14ac:dyDescent="0.35">
      <c r="A26" s="23"/>
      <c r="B26" s="24">
        <v>44704</v>
      </c>
      <c r="C26" s="25">
        <v>15183</v>
      </c>
      <c r="D26" s="35" t="s">
        <v>810</v>
      </c>
      <c r="E26" s="27">
        <v>44704</v>
      </c>
      <c r="F26" s="28">
        <v>136742</v>
      </c>
      <c r="G26" s="572"/>
      <c r="H26" s="29">
        <v>44704</v>
      </c>
      <c r="I26" s="30">
        <v>1581</v>
      </c>
      <c r="J26" s="37"/>
      <c r="K26" s="173"/>
      <c r="L26" s="45"/>
      <c r="M26" s="32">
        <v>50868</v>
      </c>
      <c r="N26" s="33">
        <v>69110</v>
      </c>
      <c r="O26" s="590" t="s">
        <v>764</v>
      </c>
      <c r="P26" s="284">
        <f t="shared" si="1"/>
        <v>136742</v>
      </c>
      <c r="Q26" s="325">
        <f t="shared" si="0"/>
        <v>0</v>
      </c>
      <c r="R26" s="542">
        <v>0</v>
      </c>
      <c r="S26" s="128"/>
      <c r="T26" s="128"/>
      <c r="U26" s="34"/>
      <c r="V26" s="128"/>
      <c r="W26" s="887"/>
      <c r="X26" s="887"/>
      <c r="Y26" s="233"/>
      <c r="Z26" s="128"/>
    </row>
    <row r="27" spans="1:26" ht="18" thickBot="1" x14ac:dyDescent="0.35">
      <c r="A27" s="23"/>
      <c r="B27" s="24">
        <v>44705</v>
      </c>
      <c r="C27" s="25">
        <v>19926</v>
      </c>
      <c r="D27" s="42" t="s">
        <v>811</v>
      </c>
      <c r="E27" s="27">
        <v>44705</v>
      </c>
      <c r="F27" s="28">
        <v>94656</v>
      </c>
      <c r="G27" s="572"/>
      <c r="H27" s="29">
        <v>44705</v>
      </c>
      <c r="I27" s="30">
        <v>1960</v>
      </c>
      <c r="J27" s="55"/>
      <c r="K27" s="174"/>
      <c r="L27" s="54"/>
      <c r="M27" s="32">
        <v>48179</v>
      </c>
      <c r="N27" s="33">
        <v>24591</v>
      </c>
      <c r="O27" s="590" t="s">
        <v>764</v>
      </c>
      <c r="P27" s="39">
        <f t="shared" si="1"/>
        <v>94656</v>
      </c>
      <c r="Q27" s="325">
        <f t="shared" si="0"/>
        <v>0</v>
      </c>
      <c r="R27" s="542">
        <v>0</v>
      </c>
      <c r="S27" s="128"/>
      <c r="T27" s="128"/>
      <c r="U27" s="34"/>
      <c r="V27" s="128"/>
      <c r="W27" s="880"/>
      <c r="X27" s="881"/>
      <c r="Y27" s="882"/>
      <c r="Z27" s="128"/>
    </row>
    <row r="28" spans="1:26" ht="18" thickBot="1" x14ac:dyDescent="0.35">
      <c r="A28" s="23"/>
      <c r="B28" s="24">
        <v>44706</v>
      </c>
      <c r="C28" s="25">
        <v>15696</v>
      </c>
      <c r="D28" s="42" t="s">
        <v>330</v>
      </c>
      <c r="E28" s="27">
        <v>44706</v>
      </c>
      <c r="F28" s="28">
        <v>102814</v>
      </c>
      <c r="G28" s="572"/>
      <c r="H28" s="29">
        <v>44706</v>
      </c>
      <c r="I28" s="30">
        <v>2682</v>
      </c>
      <c r="J28" s="56"/>
      <c r="K28" s="57"/>
      <c r="L28" s="54"/>
      <c r="M28" s="32">
        <v>41272</v>
      </c>
      <c r="N28" s="33">
        <v>43164</v>
      </c>
      <c r="O28" s="590" t="s">
        <v>764</v>
      </c>
      <c r="P28" s="34">
        <f t="shared" si="1"/>
        <v>102814</v>
      </c>
      <c r="Q28" s="325">
        <f t="shared" si="0"/>
        <v>0</v>
      </c>
      <c r="R28" s="542">
        <v>0</v>
      </c>
      <c r="S28" s="128"/>
      <c r="T28" s="128"/>
      <c r="U28" s="34"/>
      <c r="V28" s="128"/>
      <c r="W28" s="881"/>
      <c r="X28" s="881"/>
      <c r="Y28" s="882"/>
      <c r="Z28" s="128"/>
    </row>
    <row r="29" spans="1:26" ht="18" thickBot="1" x14ac:dyDescent="0.35">
      <c r="A29" s="23"/>
      <c r="B29" s="24">
        <v>44707</v>
      </c>
      <c r="C29" s="25">
        <v>15924</v>
      </c>
      <c r="D29" s="58" t="s">
        <v>813</v>
      </c>
      <c r="E29" s="27">
        <v>44707</v>
      </c>
      <c r="F29" s="28">
        <v>110431</v>
      </c>
      <c r="G29" s="572"/>
      <c r="H29" s="29">
        <v>44707</v>
      </c>
      <c r="I29" s="30">
        <v>4395</v>
      </c>
      <c r="J29" s="59"/>
      <c r="K29" s="175"/>
      <c r="L29" s="54"/>
      <c r="M29" s="32">
        <v>65213</v>
      </c>
      <c r="N29" s="33">
        <v>24899</v>
      </c>
      <c r="O29" s="590" t="s">
        <v>764</v>
      </c>
      <c r="P29" s="34">
        <f t="shared" si="1"/>
        <v>110431</v>
      </c>
      <c r="Q29" s="325">
        <f t="shared" si="0"/>
        <v>0</v>
      </c>
      <c r="R29" s="542">
        <v>0</v>
      </c>
      <c r="S29" s="128"/>
      <c r="T29" s="34"/>
      <c r="U29" s="34"/>
      <c r="V29" s="128"/>
      <c r="W29" s="128"/>
      <c r="X29" s="310"/>
      <c r="Y29" s="311"/>
      <c r="Z29" s="128"/>
    </row>
    <row r="30" spans="1:26" ht="18" thickBot="1" x14ac:dyDescent="0.35">
      <c r="A30" s="23"/>
      <c r="B30" s="24">
        <v>44708</v>
      </c>
      <c r="C30" s="25">
        <v>7493</v>
      </c>
      <c r="D30" s="58" t="s">
        <v>814</v>
      </c>
      <c r="E30" s="27">
        <v>44708</v>
      </c>
      <c r="F30" s="28">
        <v>104016</v>
      </c>
      <c r="G30" s="572"/>
      <c r="H30" s="29">
        <v>44708</v>
      </c>
      <c r="I30" s="30">
        <v>5365</v>
      </c>
      <c r="J30" s="56"/>
      <c r="K30" s="38"/>
      <c r="L30" s="39"/>
      <c r="M30" s="32">
        <f>48108+8000+641</f>
        <v>56749</v>
      </c>
      <c r="N30" s="33">
        <v>34409</v>
      </c>
      <c r="O30" s="590" t="s">
        <v>764</v>
      </c>
      <c r="P30" s="34">
        <f t="shared" si="1"/>
        <v>104016</v>
      </c>
      <c r="Q30" s="325">
        <f t="shared" si="0"/>
        <v>0</v>
      </c>
      <c r="R30" s="542">
        <v>0</v>
      </c>
      <c r="S30" s="128"/>
      <c r="T30" s="34"/>
      <c r="U30" s="34"/>
      <c r="V30" s="128"/>
      <c r="W30" s="128"/>
      <c r="X30" s="310"/>
      <c r="Y30" s="227"/>
    </row>
    <row r="31" spans="1:26" ht="18" thickBot="1" x14ac:dyDescent="0.35">
      <c r="A31" s="23"/>
      <c r="B31" s="24">
        <v>44709</v>
      </c>
      <c r="C31" s="25">
        <v>6598</v>
      </c>
      <c r="D31" s="67" t="s">
        <v>815</v>
      </c>
      <c r="E31" s="27">
        <v>44709</v>
      </c>
      <c r="F31" s="28">
        <v>165484</v>
      </c>
      <c r="G31" s="572"/>
      <c r="H31" s="29">
        <v>44709</v>
      </c>
      <c r="I31" s="30">
        <v>2598</v>
      </c>
      <c r="J31" s="56">
        <v>44709</v>
      </c>
      <c r="K31" s="566" t="s">
        <v>816</v>
      </c>
      <c r="L31" s="54">
        <v>17618</v>
      </c>
      <c r="M31" s="32">
        <f>72001+8001.6+7416</f>
        <v>87418.6</v>
      </c>
      <c r="N31" s="33">
        <v>51251</v>
      </c>
      <c r="O31" s="590" t="s">
        <v>764</v>
      </c>
      <c r="P31" s="34">
        <f t="shared" si="1"/>
        <v>165483.6</v>
      </c>
      <c r="Q31" s="325">
        <f t="shared" si="0"/>
        <v>-0.39999999999417923</v>
      </c>
      <c r="R31" s="542">
        <v>0</v>
      </c>
      <c r="S31" s="128"/>
      <c r="T31" s="34"/>
      <c r="U31" s="34"/>
      <c r="V31" s="128"/>
      <c r="W31" s="128"/>
      <c r="X31" s="128"/>
    </row>
    <row r="32" spans="1:26" ht="18" thickBot="1" x14ac:dyDescent="0.35">
      <c r="A32" s="23"/>
      <c r="B32" s="24">
        <v>44710</v>
      </c>
      <c r="C32" s="25">
        <v>9345</v>
      </c>
      <c r="D32" s="64" t="s">
        <v>817</v>
      </c>
      <c r="E32" s="27">
        <v>44710</v>
      </c>
      <c r="F32" s="28">
        <v>94959</v>
      </c>
      <c r="G32" s="572"/>
      <c r="H32" s="29">
        <v>44710</v>
      </c>
      <c r="I32" s="30">
        <v>115</v>
      </c>
      <c r="J32" s="56"/>
      <c r="K32" s="38"/>
      <c r="L32" s="39"/>
      <c r="M32" s="32">
        <f>45288+8000</f>
        <v>53288</v>
      </c>
      <c r="N32" s="33">
        <v>32211</v>
      </c>
      <c r="O32" s="591" t="s">
        <v>764</v>
      </c>
      <c r="P32" s="34">
        <f t="shared" si="1"/>
        <v>94959</v>
      </c>
      <c r="Q32" s="325">
        <f t="shared" si="0"/>
        <v>0</v>
      </c>
      <c r="R32" s="542">
        <v>0</v>
      </c>
      <c r="S32" s="128"/>
      <c r="T32" s="34"/>
      <c r="U32" s="34"/>
      <c r="V32" s="128"/>
      <c r="W32" s="128"/>
      <c r="X32" s="128"/>
    </row>
    <row r="33" spans="1:24" ht="18" thickBot="1" x14ac:dyDescent="0.35">
      <c r="A33" s="23"/>
      <c r="B33" s="24"/>
      <c r="C33" s="25"/>
      <c r="D33" s="65"/>
      <c r="E33" s="27"/>
      <c r="F33" s="28"/>
      <c r="G33" s="572"/>
      <c r="H33" s="36"/>
      <c r="I33" s="30"/>
      <c r="J33" s="56"/>
      <c r="K33" s="223"/>
      <c r="L33" s="69"/>
      <c r="M33" s="32">
        <v>0</v>
      </c>
      <c r="N33" s="33">
        <v>0</v>
      </c>
      <c r="O33" s="591"/>
      <c r="P33" s="34">
        <f t="shared" si="1"/>
        <v>0</v>
      </c>
      <c r="Q33" s="325">
        <f t="shared" si="0"/>
        <v>0</v>
      </c>
      <c r="R33" s="542">
        <v>0</v>
      </c>
      <c r="S33" s="128"/>
      <c r="T33" s="543"/>
      <c r="U33" s="34"/>
      <c r="V33" s="128"/>
      <c r="W33" s="128"/>
      <c r="X33" s="128"/>
    </row>
    <row r="34" spans="1:24" ht="18" thickBot="1" x14ac:dyDescent="0.35">
      <c r="A34" s="23"/>
      <c r="B34" s="24">
        <v>44685</v>
      </c>
      <c r="C34" s="602">
        <v>399418.38</v>
      </c>
      <c r="D34" s="64" t="s">
        <v>836</v>
      </c>
      <c r="E34" s="27"/>
      <c r="F34" s="536"/>
      <c r="G34" s="572"/>
      <c r="H34" s="36"/>
      <c r="I34" s="30"/>
      <c r="J34" s="557"/>
      <c r="K34" s="567"/>
      <c r="L34" s="9"/>
      <c r="M34" s="32">
        <v>0</v>
      </c>
      <c r="N34" s="33">
        <v>0</v>
      </c>
      <c r="O34" s="592"/>
      <c r="P34" s="34">
        <v>0</v>
      </c>
      <c r="Q34" s="325">
        <f t="shared" si="0"/>
        <v>0</v>
      </c>
      <c r="R34" s="542">
        <v>0</v>
      </c>
      <c r="S34" s="128"/>
      <c r="T34" s="128"/>
      <c r="U34" s="34"/>
      <c r="V34" s="128"/>
      <c r="W34" s="128"/>
      <c r="X34" s="128"/>
    </row>
    <row r="35" spans="1:24" ht="18" thickBot="1" x14ac:dyDescent="0.35">
      <c r="A35" s="23"/>
      <c r="B35" s="24">
        <v>44686</v>
      </c>
      <c r="C35" s="602">
        <v>28656.18</v>
      </c>
      <c r="D35" s="67" t="s">
        <v>853</v>
      </c>
      <c r="E35" s="27"/>
      <c r="F35" s="536"/>
      <c r="G35" s="572"/>
      <c r="H35" s="36"/>
      <c r="I35" s="537"/>
      <c r="J35" s="557"/>
      <c r="K35" s="568"/>
      <c r="L35" s="69"/>
      <c r="M35" s="32">
        <v>0</v>
      </c>
      <c r="N35" s="33">
        <v>0</v>
      </c>
      <c r="P35" s="34">
        <v>0</v>
      </c>
      <c r="Q35" s="325">
        <f t="shared" si="0"/>
        <v>0</v>
      </c>
      <c r="R35" s="542">
        <v>0</v>
      </c>
      <c r="S35" s="128"/>
      <c r="T35" s="128"/>
      <c r="U35" s="34"/>
      <c r="V35" s="128"/>
      <c r="W35" s="128"/>
      <c r="X35" s="128"/>
    </row>
    <row r="36" spans="1:24" ht="18" customHeight="1" thickBot="1" x14ac:dyDescent="0.4">
      <c r="A36" s="23"/>
      <c r="B36" s="24">
        <v>44686</v>
      </c>
      <c r="C36" s="602">
        <v>26746.2</v>
      </c>
      <c r="D36" s="64" t="s">
        <v>853</v>
      </c>
      <c r="E36" s="27"/>
      <c r="F36" s="536"/>
      <c r="G36" s="572"/>
      <c r="H36" s="36"/>
      <c r="I36" s="537"/>
      <c r="J36" s="557"/>
      <c r="K36" s="569"/>
      <c r="L36" s="9"/>
      <c r="M36" s="32">
        <v>0</v>
      </c>
      <c r="N36" s="33">
        <v>0</v>
      </c>
      <c r="O36" s="578"/>
      <c r="P36" s="34">
        <v>0</v>
      </c>
      <c r="Q36" s="111">
        <f t="shared" ref="Q36:Q40" si="2">P36-F36</f>
        <v>0</v>
      </c>
      <c r="R36" s="319">
        <v>0</v>
      </c>
      <c r="S36" s="540"/>
      <c r="U36" s="34"/>
      <c r="V36" s="128"/>
      <c r="W36" s="128"/>
      <c r="X36" s="128"/>
    </row>
    <row r="37" spans="1:24" ht="18" customHeight="1" thickBot="1" x14ac:dyDescent="0.35">
      <c r="A37" s="23"/>
      <c r="B37" s="24">
        <v>44694</v>
      </c>
      <c r="C37" s="602">
        <v>9405.9599999999991</v>
      </c>
      <c r="D37" s="506" t="s">
        <v>855</v>
      </c>
      <c r="E37" s="27"/>
      <c r="F37" s="536"/>
      <c r="G37" s="572"/>
      <c r="H37" s="36"/>
      <c r="I37" s="537"/>
      <c r="J37" s="622">
        <v>44688</v>
      </c>
      <c r="K37" s="623" t="s">
        <v>761</v>
      </c>
      <c r="L37" s="624">
        <v>17396.62</v>
      </c>
      <c r="M37" s="32">
        <v>0</v>
      </c>
      <c r="N37" s="33">
        <v>0</v>
      </c>
      <c r="O37" s="578"/>
      <c r="P37" s="34">
        <v>0</v>
      </c>
      <c r="Q37" s="111">
        <f t="shared" si="2"/>
        <v>0</v>
      </c>
      <c r="R37" s="319">
        <v>0</v>
      </c>
      <c r="U37" s="34"/>
      <c r="V37" s="128"/>
      <c r="W37" s="128"/>
      <c r="X37" s="128"/>
    </row>
    <row r="38" spans="1:24" ht="18" thickBot="1" x14ac:dyDescent="0.35">
      <c r="A38" s="23"/>
      <c r="B38" s="24">
        <v>44705</v>
      </c>
      <c r="C38" s="602">
        <v>199112</v>
      </c>
      <c r="D38" s="65" t="s">
        <v>49</v>
      </c>
      <c r="E38" s="27"/>
      <c r="F38" s="536"/>
      <c r="G38" s="572"/>
      <c r="H38" s="36"/>
      <c r="I38" s="537"/>
      <c r="J38" s="622">
        <v>44695</v>
      </c>
      <c r="K38" s="636" t="s">
        <v>770</v>
      </c>
      <c r="L38" s="624">
        <v>17397.240000000002</v>
      </c>
      <c r="M38" s="32">
        <v>0</v>
      </c>
      <c r="N38" s="33">
        <v>0</v>
      </c>
      <c r="P38" s="34">
        <v>0</v>
      </c>
      <c r="Q38" s="111">
        <f t="shared" si="2"/>
        <v>0</v>
      </c>
      <c r="R38" s="319">
        <v>0</v>
      </c>
      <c r="U38" s="34"/>
      <c r="V38" s="128"/>
      <c r="W38" s="128"/>
      <c r="X38" s="128"/>
    </row>
    <row r="39" spans="1:24" ht="18" thickBot="1" x14ac:dyDescent="0.35">
      <c r="A39" s="23"/>
      <c r="B39" s="24">
        <v>44705</v>
      </c>
      <c r="C39" s="397">
        <v>151918</v>
      </c>
      <c r="D39" s="62" t="s">
        <v>49</v>
      </c>
      <c r="E39" s="27"/>
      <c r="F39" s="538"/>
      <c r="G39" s="572"/>
      <c r="H39" s="36"/>
      <c r="I39" s="539"/>
      <c r="J39" s="622">
        <v>44702</v>
      </c>
      <c r="K39" s="636" t="s">
        <v>808</v>
      </c>
      <c r="L39" s="624">
        <v>21215.21</v>
      </c>
      <c r="M39" s="32">
        <v>0</v>
      </c>
      <c r="N39" s="33">
        <v>0</v>
      </c>
      <c r="P39" s="34">
        <v>0</v>
      </c>
      <c r="Q39" s="111">
        <f t="shared" si="2"/>
        <v>0</v>
      </c>
      <c r="R39" s="319">
        <v>0</v>
      </c>
      <c r="U39" s="34"/>
      <c r="V39" s="128"/>
      <c r="W39" s="128"/>
      <c r="X39" s="128"/>
    </row>
    <row r="40" spans="1:24" ht="18" thickBot="1" x14ac:dyDescent="0.35">
      <c r="A40" s="23"/>
      <c r="B40" s="24"/>
      <c r="C40" s="69"/>
      <c r="D40" s="506"/>
      <c r="E40" s="27"/>
      <c r="F40" s="70"/>
      <c r="G40" s="572"/>
      <c r="H40" s="36"/>
      <c r="I40" s="71"/>
      <c r="J40" s="622">
        <v>44709</v>
      </c>
      <c r="K40" s="623" t="s">
        <v>816</v>
      </c>
      <c r="L40" s="624">
        <v>19292</v>
      </c>
      <c r="M40" s="267">
        <v>0</v>
      </c>
      <c r="N40" s="268">
        <v>0</v>
      </c>
      <c r="P40" s="34">
        <v>0</v>
      </c>
      <c r="Q40" s="111">
        <f t="shared" si="2"/>
        <v>0</v>
      </c>
      <c r="R40" s="319">
        <v>0</v>
      </c>
    </row>
    <row r="41" spans="1:24" ht="18" thickBot="1" x14ac:dyDescent="0.35">
      <c r="A41" s="23"/>
      <c r="B41" s="24"/>
      <c r="C41" s="72"/>
      <c r="D41" s="507"/>
      <c r="E41" s="74"/>
      <c r="F41" s="75"/>
      <c r="G41" s="572"/>
      <c r="H41" s="76"/>
      <c r="I41" s="77"/>
      <c r="J41" s="56"/>
      <c r="K41" s="38"/>
      <c r="L41" s="39"/>
      <c r="M41" s="871">
        <f>SUM(M5:M40)</f>
        <v>1509924.1</v>
      </c>
      <c r="N41" s="871">
        <f>SUM(N5:N40)</f>
        <v>1012291</v>
      </c>
      <c r="P41" s="505">
        <f>SUM(P5:P40)</f>
        <v>3152648.1</v>
      </c>
      <c r="Q41" s="936">
        <f>SUM(Q5:Q40)</f>
        <v>2.1000000000058208</v>
      </c>
    </row>
    <row r="42" spans="1:24" ht="18" thickBot="1" x14ac:dyDescent="0.35">
      <c r="A42" s="23"/>
      <c r="B42" s="24"/>
      <c r="C42" s="72"/>
      <c r="D42" s="507"/>
      <c r="E42" s="74"/>
      <c r="F42" s="75"/>
      <c r="G42" s="572"/>
      <c r="H42" s="76"/>
      <c r="I42" s="77"/>
      <c r="J42" s="51">
        <v>44683</v>
      </c>
      <c r="K42" s="173" t="s">
        <v>839</v>
      </c>
      <c r="L42" s="637">
        <v>3095.88</v>
      </c>
      <c r="M42" s="872"/>
      <c r="N42" s="872"/>
      <c r="P42" s="34"/>
      <c r="Q42" s="937"/>
    </row>
    <row r="43" spans="1:24" ht="18" thickBot="1" x14ac:dyDescent="0.35">
      <c r="A43" s="23"/>
      <c r="B43" s="24"/>
      <c r="C43" s="72"/>
      <c r="D43" s="507"/>
      <c r="E43" s="74"/>
      <c r="F43" s="75"/>
      <c r="G43" s="572"/>
      <c r="H43" s="76"/>
      <c r="I43" s="77"/>
      <c r="J43" s="50">
        <v>44684</v>
      </c>
      <c r="K43" s="38" t="s">
        <v>840</v>
      </c>
      <c r="L43" s="638">
        <v>1126.45</v>
      </c>
      <c r="M43" s="269"/>
      <c r="N43" s="269"/>
      <c r="P43" s="34"/>
      <c r="Q43" s="13"/>
    </row>
    <row r="44" spans="1:24" ht="18" thickBot="1" x14ac:dyDescent="0.35">
      <c r="A44" s="23"/>
      <c r="B44" s="24"/>
      <c r="C44" s="72"/>
      <c r="D44" s="507"/>
      <c r="E44" s="74"/>
      <c r="F44" s="75"/>
      <c r="G44" s="572"/>
      <c r="H44" s="76"/>
      <c r="I44" s="77"/>
      <c r="J44" s="56">
        <v>44686</v>
      </c>
      <c r="K44" s="570" t="s">
        <v>841</v>
      </c>
      <c r="L44" s="616">
        <v>4548</v>
      </c>
      <c r="M44" s="269"/>
      <c r="N44" s="269"/>
      <c r="P44" s="34"/>
      <c r="Q44" s="13"/>
    </row>
    <row r="45" spans="1:24" ht="18" thickBot="1" x14ac:dyDescent="0.35">
      <c r="A45" s="23"/>
      <c r="B45" s="24"/>
      <c r="C45" s="72"/>
      <c r="D45" s="507"/>
      <c r="E45" s="74"/>
      <c r="F45" s="75"/>
      <c r="G45" s="572"/>
      <c r="H45" s="76"/>
      <c r="I45" s="77"/>
      <c r="J45" s="56">
        <v>44690</v>
      </c>
      <c r="K45" s="38" t="s">
        <v>824</v>
      </c>
      <c r="L45" s="616">
        <v>4006.5</v>
      </c>
      <c r="M45" s="938">
        <f>M41+N41</f>
        <v>2522215.1</v>
      </c>
      <c r="N45" s="939"/>
      <c r="P45" s="34"/>
      <c r="Q45" s="13"/>
    </row>
    <row r="46" spans="1:24" ht="18" thickBot="1" x14ac:dyDescent="0.35">
      <c r="A46" s="23"/>
      <c r="B46" s="24"/>
      <c r="C46" s="72"/>
      <c r="D46" s="507"/>
      <c r="E46" s="74"/>
      <c r="F46" s="75"/>
      <c r="G46" s="572"/>
      <c r="H46" s="76"/>
      <c r="I46" s="77"/>
      <c r="J46" s="56">
        <v>44690</v>
      </c>
      <c r="K46" s="38" t="s">
        <v>842</v>
      </c>
      <c r="L46" s="616">
        <v>5850</v>
      </c>
      <c r="M46" s="269"/>
      <c r="N46" s="269"/>
      <c r="P46" s="34"/>
      <c r="Q46" s="13"/>
    </row>
    <row r="47" spans="1:24" ht="18" thickBot="1" x14ac:dyDescent="0.35">
      <c r="A47" s="23"/>
      <c r="B47" s="24"/>
      <c r="C47" s="72"/>
      <c r="D47" s="507"/>
      <c r="E47" s="74"/>
      <c r="F47" s="75"/>
      <c r="G47" s="572"/>
      <c r="H47" s="76"/>
      <c r="I47" s="77"/>
      <c r="J47" s="56">
        <v>44692</v>
      </c>
      <c r="K47" s="38" t="s">
        <v>854</v>
      </c>
      <c r="L47" s="616">
        <v>4112.2</v>
      </c>
      <c r="M47" s="269"/>
      <c r="N47" s="269"/>
      <c r="P47" s="34"/>
      <c r="Q47" s="13"/>
    </row>
    <row r="48" spans="1:24" ht="18" thickBot="1" x14ac:dyDescent="0.35">
      <c r="A48" s="23"/>
      <c r="B48" s="24"/>
      <c r="C48" s="72"/>
      <c r="D48" s="73"/>
      <c r="E48" s="74"/>
      <c r="F48" s="75"/>
      <c r="G48" s="572"/>
      <c r="H48" s="76"/>
      <c r="I48" s="77"/>
      <c r="J48" s="56">
        <v>44693</v>
      </c>
      <c r="K48" s="671" t="s">
        <v>1018</v>
      </c>
      <c r="L48" s="616">
        <v>6282.56</v>
      </c>
      <c r="M48" s="269"/>
      <c r="N48" s="269"/>
      <c r="P48" s="34">
        <v>3772.77</v>
      </c>
      <c r="Q48" s="13"/>
    </row>
    <row r="49" spans="1:17" ht="18" thickBot="1" x14ac:dyDescent="0.35">
      <c r="A49" s="23"/>
      <c r="B49" s="24"/>
      <c r="C49" s="72"/>
      <c r="D49" s="73"/>
      <c r="E49" s="74"/>
      <c r="F49" s="75"/>
      <c r="G49" s="572"/>
      <c r="H49" s="76"/>
      <c r="I49" s="77"/>
      <c r="J49" s="601">
        <v>44694</v>
      </c>
      <c r="K49" s="415" t="s">
        <v>830</v>
      </c>
      <c r="L49" s="613">
        <v>1856</v>
      </c>
      <c r="M49" s="593"/>
      <c r="N49" s="593"/>
      <c r="P49" s="34">
        <v>1953.12</v>
      </c>
      <c r="Q49" s="13"/>
    </row>
    <row r="50" spans="1:17" ht="18" thickBot="1" x14ac:dyDescent="0.35">
      <c r="A50" s="23"/>
      <c r="B50" s="24"/>
      <c r="C50" s="72"/>
      <c r="D50" s="73"/>
      <c r="E50" s="74"/>
      <c r="F50" s="75"/>
      <c r="G50" s="572"/>
      <c r="H50" s="76"/>
      <c r="I50" s="77"/>
      <c r="J50" s="601">
        <v>44697</v>
      </c>
      <c r="K50" s="415" t="s">
        <v>201</v>
      </c>
      <c r="L50" s="613">
        <v>549</v>
      </c>
      <c r="M50" s="593"/>
      <c r="N50" s="593"/>
      <c r="P50" s="34">
        <v>3013.8</v>
      </c>
      <c r="Q50" s="13"/>
    </row>
    <row r="51" spans="1:17" ht="18" thickBot="1" x14ac:dyDescent="0.35">
      <c r="A51" s="23"/>
      <c r="B51" s="24"/>
      <c r="C51" s="72"/>
      <c r="D51" s="73"/>
      <c r="E51" s="74"/>
      <c r="F51" s="75"/>
      <c r="G51" s="572"/>
      <c r="H51" s="76"/>
      <c r="I51" s="77"/>
      <c r="J51" s="601">
        <v>44698</v>
      </c>
      <c r="K51" s="415" t="s">
        <v>839</v>
      </c>
      <c r="L51" s="613">
        <v>1962.36</v>
      </c>
      <c r="M51" s="593"/>
      <c r="N51" s="593"/>
      <c r="P51" s="34">
        <v>2510.61</v>
      </c>
      <c r="Q51" s="13"/>
    </row>
    <row r="52" spans="1:17" ht="18" thickBot="1" x14ac:dyDescent="0.35">
      <c r="A52" s="23"/>
      <c r="B52" s="24"/>
      <c r="C52" s="72"/>
      <c r="D52" s="73"/>
      <c r="E52" s="74"/>
      <c r="F52" s="75"/>
      <c r="G52" s="572"/>
      <c r="H52" s="76"/>
      <c r="I52" s="77"/>
      <c r="J52" s="601">
        <v>44699</v>
      </c>
      <c r="K52" s="415" t="s">
        <v>839</v>
      </c>
      <c r="L52" s="613">
        <v>4725</v>
      </c>
      <c r="M52" s="593"/>
      <c r="N52" s="593"/>
      <c r="P52" s="34">
        <v>2681.95</v>
      </c>
      <c r="Q52" s="13"/>
    </row>
    <row r="53" spans="1:17" ht="18" thickBot="1" x14ac:dyDescent="0.35">
      <c r="A53" s="23"/>
      <c r="B53" s="24"/>
      <c r="C53" s="72"/>
      <c r="D53" s="73"/>
      <c r="E53" s="74"/>
      <c r="F53" s="75"/>
      <c r="G53" s="572"/>
      <c r="H53" s="76"/>
      <c r="I53" s="77"/>
      <c r="J53" s="601">
        <v>44704</v>
      </c>
      <c r="K53" s="415" t="s">
        <v>202</v>
      </c>
      <c r="L53" s="613">
        <v>2863.47</v>
      </c>
      <c r="M53" s="593"/>
      <c r="N53" s="593"/>
      <c r="P53" s="34">
        <v>2571.2600000000002</v>
      </c>
      <c r="Q53" s="13"/>
    </row>
    <row r="54" spans="1:17" ht="18" thickBot="1" x14ac:dyDescent="0.35">
      <c r="A54" s="23"/>
      <c r="B54" s="24"/>
      <c r="C54" s="72"/>
      <c r="D54" s="73"/>
      <c r="E54" s="74"/>
      <c r="F54" s="75"/>
      <c r="G54" s="572"/>
      <c r="H54" s="76"/>
      <c r="I54" s="77"/>
      <c r="J54" s="601">
        <v>44708</v>
      </c>
      <c r="K54" s="415" t="s">
        <v>826</v>
      </c>
      <c r="L54" s="613">
        <v>28000</v>
      </c>
      <c r="M54" s="593"/>
      <c r="N54" s="593"/>
      <c r="P54" s="34">
        <v>2265</v>
      </c>
      <c r="Q54" s="13"/>
    </row>
    <row r="55" spans="1:17" ht="18" thickBot="1" x14ac:dyDescent="0.35">
      <c r="A55" s="23"/>
      <c r="B55" s="24"/>
      <c r="C55" s="72"/>
      <c r="D55" s="73"/>
      <c r="E55" s="74"/>
      <c r="F55" s="75"/>
      <c r="G55" s="572"/>
      <c r="H55" s="76"/>
      <c r="I55" s="77"/>
      <c r="J55" s="601">
        <v>44708</v>
      </c>
      <c r="K55" s="415" t="s">
        <v>838</v>
      </c>
      <c r="L55" s="613">
        <v>3712</v>
      </c>
      <c r="M55" s="593"/>
      <c r="N55" s="593"/>
      <c r="P55" s="34">
        <v>2526.9299999999998</v>
      </c>
      <c r="Q55" s="13"/>
    </row>
    <row r="56" spans="1:17" ht="18" thickBot="1" x14ac:dyDescent="0.35">
      <c r="A56" s="23"/>
      <c r="B56" s="24"/>
      <c r="C56" s="72"/>
      <c r="D56" s="73"/>
      <c r="E56" s="74"/>
      <c r="F56" s="75"/>
      <c r="G56" s="572"/>
      <c r="H56" s="76"/>
      <c r="I56" s="77"/>
      <c r="J56" s="601">
        <v>44710</v>
      </c>
      <c r="K56" s="415" t="s">
        <v>1019</v>
      </c>
      <c r="L56" s="613">
        <v>27255.26</v>
      </c>
      <c r="M56" s="593"/>
      <c r="N56" s="593"/>
      <c r="P56" s="34">
        <v>2773.55</v>
      </c>
      <c r="Q56" s="13"/>
    </row>
    <row r="57" spans="1:17" ht="18" thickBot="1" x14ac:dyDescent="0.35">
      <c r="A57" s="23"/>
      <c r="B57" s="24"/>
      <c r="C57" s="72"/>
      <c r="D57" s="73"/>
      <c r="E57" s="74"/>
      <c r="F57" s="75"/>
      <c r="G57" s="572"/>
      <c r="H57" s="76"/>
      <c r="I57" s="77"/>
      <c r="J57" s="601"/>
      <c r="K57" s="415"/>
      <c r="L57" s="34"/>
      <c r="M57" s="593"/>
      <c r="N57" s="593"/>
      <c r="P57" s="34">
        <v>2800.12</v>
      </c>
      <c r="Q57" s="13"/>
    </row>
    <row r="58" spans="1:17" ht="18" thickBot="1" x14ac:dyDescent="0.35">
      <c r="A58" s="23"/>
      <c r="B58" s="24"/>
      <c r="C58" s="72"/>
      <c r="D58" s="73"/>
      <c r="E58" s="74"/>
      <c r="F58" s="75"/>
      <c r="G58" s="572"/>
      <c r="H58" s="76"/>
      <c r="I58" s="77"/>
      <c r="J58" s="601"/>
      <c r="K58" s="415"/>
      <c r="L58" s="34"/>
      <c r="M58" s="593"/>
      <c r="N58" s="593"/>
      <c r="P58" s="34">
        <v>386.15</v>
      </c>
      <c r="Q58" s="13"/>
    </row>
    <row r="59" spans="1:17" ht="18" thickBot="1" x14ac:dyDescent="0.35">
      <c r="A59" s="23"/>
      <c r="B59" s="24"/>
      <c r="C59" s="72"/>
      <c r="D59" s="73"/>
      <c r="E59" s="74"/>
      <c r="F59" s="75"/>
      <c r="G59" s="572"/>
      <c r="H59" s="76"/>
      <c r="I59" s="77"/>
      <c r="J59" s="601"/>
      <c r="K59" s="415"/>
      <c r="L59" s="34"/>
      <c r="M59" s="593"/>
      <c r="N59" s="593"/>
      <c r="P59" s="34">
        <v>0</v>
      </c>
      <c r="Q59" s="13"/>
    </row>
    <row r="60" spans="1:17" ht="16.5" thickBot="1" x14ac:dyDescent="0.3">
      <c r="A60" s="23"/>
      <c r="B60" s="80"/>
      <c r="C60" s="25">
        <v>0</v>
      </c>
      <c r="D60" s="81"/>
      <c r="E60" s="82"/>
      <c r="F60" s="72"/>
      <c r="H60" s="83"/>
      <c r="I60" s="77"/>
      <c r="J60" s="558"/>
      <c r="K60" s="164"/>
      <c r="L60" s="9"/>
      <c r="M60" s="34"/>
      <c r="N60" s="34"/>
      <c r="P60" s="34">
        <f>SUM(P48:P59)</f>
        <v>27255.260000000002</v>
      </c>
      <c r="Q60" s="13"/>
    </row>
    <row r="61" spans="1:17" ht="16.5" thickBot="1" x14ac:dyDescent="0.3">
      <c r="B61" s="550" t="s">
        <v>8</v>
      </c>
      <c r="C61" s="87">
        <f>SUM(C5:C60)</f>
        <v>1280022.72</v>
      </c>
      <c r="D61" s="88"/>
      <c r="E61" s="91" t="s">
        <v>8</v>
      </c>
      <c r="F61" s="90">
        <f>SUM(F5:F60)</f>
        <v>3079763</v>
      </c>
      <c r="G61" s="573"/>
      <c r="H61" s="91" t="s">
        <v>9</v>
      </c>
      <c r="I61" s="92">
        <f>SUM(I5:I60)</f>
        <v>76496</v>
      </c>
      <c r="J61" s="93"/>
      <c r="K61" s="94" t="s">
        <v>10</v>
      </c>
      <c r="L61" s="95">
        <f>SUM(L5:L60)</f>
        <v>264416.75</v>
      </c>
      <c r="M61" s="96"/>
      <c r="N61" s="96"/>
      <c r="P61" s="34"/>
      <c r="Q61" s="13"/>
    </row>
    <row r="62" spans="1:17" ht="16.5" thickTop="1" x14ac:dyDescent="0.25">
      <c r="C62" s="3" t="s">
        <v>7</v>
      </c>
      <c r="P62" s="34"/>
      <c r="Q62" s="13"/>
    </row>
    <row r="63" spans="1:17" ht="18.75" x14ac:dyDescent="0.25">
      <c r="A63" s="98"/>
      <c r="B63" s="99"/>
      <c r="C63" s="1"/>
      <c r="H63" s="848" t="s">
        <v>11</v>
      </c>
      <c r="I63" s="849"/>
      <c r="J63" s="559"/>
      <c r="K63" s="973">
        <f>I61+L61</f>
        <v>340912.75</v>
      </c>
      <c r="L63" s="974"/>
      <c r="M63" s="272"/>
      <c r="N63" s="272"/>
      <c r="P63" s="34"/>
      <c r="Q63" s="13"/>
    </row>
    <row r="64" spans="1:17" x14ac:dyDescent="0.25">
      <c r="D64" s="854" t="s">
        <v>12</v>
      </c>
      <c r="E64" s="854"/>
      <c r="F64" s="312">
        <f>F61-K63-C61</f>
        <v>1458827.53</v>
      </c>
      <c r="I64" s="102"/>
      <c r="J64" s="560"/>
    </row>
    <row r="65" spans="2:17" ht="18.75" x14ac:dyDescent="0.3">
      <c r="D65" s="878" t="s">
        <v>95</v>
      </c>
      <c r="E65" s="878"/>
      <c r="F65" s="111">
        <v>-1572197.3</v>
      </c>
      <c r="I65" s="855" t="s">
        <v>13</v>
      </c>
      <c r="J65" s="856"/>
      <c r="K65" s="857">
        <f>F67+F68+F69</f>
        <v>2392765.5300000003</v>
      </c>
      <c r="L65" s="857"/>
      <c r="M65" s="404"/>
      <c r="N65" s="404"/>
      <c r="O65" s="579"/>
      <c r="P65" s="404"/>
      <c r="Q65" s="404"/>
    </row>
    <row r="66" spans="2:17" ht="19.5" thickBot="1" x14ac:dyDescent="0.35">
      <c r="D66" s="313" t="s">
        <v>94</v>
      </c>
      <c r="E66" s="314"/>
      <c r="F66" s="315">
        <v>-415797.86</v>
      </c>
      <c r="I66" s="105"/>
      <c r="J66" s="106"/>
      <c r="K66" s="571"/>
      <c r="L66" s="154"/>
      <c r="M66" s="404"/>
      <c r="N66" s="404"/>
      <c r="O66" s="579"/>
      <c r="P66" s="404"/>
      <c r="Q66" s="404"/>
    </row>
    <row r="67" spans="2:17" ht="19.5" thickTop="1" x14ac:dyDescent="0.3">
      <c r="C67" s="4" t="s">
        <v>7</v>
      </c>
      <c r="E67" s="98" t="s">
        <v>14</v>
      </c>
      <c r="F67" s="96">
        <f>SUM(F64:F66)</f>
        <v>-529167.63</v>
      </c>
      <c r="H67" s="555"/>
      <c r="I67" s="108" t="s">
        <v>15</v>
      </c>
      <c r="J67" s="109"/>
      <c r="K67" s="969">
        <f>-C4</f>
        <v>-2112071.92</v>
      </c>
      <c r="L67" s="857"/>
    </row>
    <row r="68" spans="2:17" ht="16.5" thickBot="1" x14ac:dyDescent="0.3">
      <c r="D68" s="110" t="s">
        <v>16</v>
      </c>
      <c r="E68" s="98" t="s">
        <v>17</v>
      </c>
      <c r="F68" s="111">
        <v>374951</v>
      </c>
    </row>
    <row r="69" spans="2:17" ht="20.25" thickTop="1" thickBot="1" x14ac:dyDescent="0.35">
      <c r="C69" s="112">
        <v>44710</v>
      </c>
      <c r="D69" s="837" t="s">
        <v>18</v>
      </c>
      <c r="E69" s="838"/>
      <c r="F69" s="113">
        <v>2546982.16</v>
      </c>
      <c r="I69" s="970" t="s">
        <v>198</v>
      </c>
      <c r="J69" s="971"/>
      <c r="K69" s="972">
        <f>K65+K67</f>
        <v>280693.61000000034</v>
      </c>
      <c r="L69" s="972"/>
    </row>
    <row r="70" spans="2:17" ht="17.25" x14ac:dyDescent="0.3">
      <c r="C70" s="114"/>
      <c r="D70" s="115"/>
      <c r="E70" s="98"/>
      <c r="F70" s="117"/>
      <c r="J70" s="118"/>
    </row>
    <row r="71" spans="2:17" ht="20.25" customHeight="1" x14ac:dyDescent="0.25">
      <c r="I71" s="119"/>
      <c r="J71" s="119"/>
      <c r="K71" s="179"/>
      <c r="L71" s="120"/>
    </row>
    <row r="72" spans="2:17" ht="16.5" customHeight="1" x14ac:dyDescent="0.25">
      <c r="B72" s="121"/>
      <c r="C72" s="122"/>
      <c r="D72" s="123"/>
      <c r="E72" s="34"/>
      <c r="I72" s="119"/>
      <c r="J72" s="119"/>
      <c r="K72" s="179"/>
      <c r="L72" s="120"/>
      <c r="M72" s="124"/>
      <c r="N72" s="98"/>
    </row>
    <row r="73" spans="2:17" x14ac:dyDescent="0.25">
      <c r="B73" s="121"/>
      <c r="C73" s="125"/>
      <c r="E73" s="34"/>
      <c r="M73" s="124"/>
      <c r="N73" s="98"/>
    </row>
    <row r="74" spans="2:17" x14ac:dyDescent="0.25">
      <c r="B74" s="121"/>
      <c r="C74" s="125"/>
      <c r="E74" s="34"/>
      <c r="F74" s="126"/>
      <c r="L74" s="127"/>
      <c r="M74" s="1"/>
    </row>
    <row r="75" spans="2:17" x14ac:dyDescent="0.25">
      <c r="B75" s="121"/>
      <c r="C75" s="125"/>
      <c r="E75" s="34"/>
      <c r="M75" s="1"/>
    </row>
    <row r="76" spans="2:17" x14ac:dyDescent="0.25">
      <c r="B76" s="121"/>
      <c r="C76" s="125"/>
      <c r="D76" s="128"/>
      <c r="E76" s="34"/>
      <c r="F76" s="129"/>
      <c r="M76" s="1"/>
    </row>
    <row r="77" spans="2:17" x14ac:dyDescent="0.25">
      <c r="D77" s="128"/>
      <c r="E77" s="130"/>
      <c r="F77" s="34"/>
      <c r="M77" s="1"/>
    </row>
    <row r="78" spans="2:17" x14ac:dyDescent="0.25">
      <c r="D78" s="128"/>
      <c r="E78" s="130"/>
      <c r="F78" s="34"/>
      <c r="M78" s="1"/>
    </row>
    <row r="79" spans="2:17" x14ac:dyDescent="0.25">
      <c r="D79" s="128"/>
      <c r="E79" s="130"/>
      <c r="F79" s="34"/>
      <c r="M79" s="1"/>
    </row>
    <row r="80" spans="2:17" x14ac:dyDescent="0.25">
      <c r="D80" s="128"/>
      <c r="E80" s="130"/>
      <c r="F80" s="34"/>
      <c r="M80" s="1"/>
    </row>
    <row r="81" spans="4:13" x14ac:dyDescent="0.25">
      <c r="D81" s="128"/>
      <c r="E81" s="130"/>
      <c r="F81" s="34"/>
      <c r="M81" s="1"/>
    </row>
    <row r="82" spans="4:13" x14ac:dyDescent="0.25">
      <c r="D82" s="128"/>
      <c r="E82" s="130"/>
      <c r="F82" s="34"/>
      <c r="M82" s="1"/>
    </row>
    <row r="83" spans="4:13" x14ac:dyDescent="0.25">
      <c r="D83" s="128"/>
      <c r="E83" s="130"/>
      <c r="F83" s="34"/>
      <c r="M83" s="1"/>
    </row>
    <row r="84" spans="4:13" x14ac:dyDescent="0.25">
      <c r="D84" s="128"/>
      <c r="E84" s="130"/>
      <c r="F84" s="34"/>
      <c r="M84" s="1"/>
    </row>
    <row r="85" spans="4:13" x14ac:dyDescent="0.25">
      <c r="D85" s="128"/>
      <c r="E85" s="130"/>
      <c r="F85" s="34"/>
      <c r="M85" s="1"/>
    </row>
    <row r="86" spans="4:13" x14ac:dyDescent="0.25">
      <c r="D86" s="128"/>
      <c r="E86" s="130"/>
      <c r="F86" s="34"/>
      <c r="M86" s="1"/>
    </row>
    <row r="87" spans="4:13" x14ac:dyDescent="0.25">
      <c r="D87" s="128"/>
      <c r="E87" s="130"/>
      <c r="F87" s="34"/>
      <c r="M87" s="1"/>
    </row>
    <row r="88" spans="4:13" x14ac:dyDescent="0.25">
      <c r="D88" s="128"/>
      <c r="E88" s="130"/>
      <c r="F88" s="34"/>
    </row>
    <row r="89" spans="4:13" x14ac:dyDescent="0.25">
      <c r="D89" s="128"/>
      <c r="E89" s="554"/>
      <c r="F89" s="129"/>
    </row>
    <row r="90" spans="4:13" x14ac:dyDescent="0.25">
      <c r="D90" s="128"/>
      <c r="E90" s="554"/>
      <c r="F90" s="129"/>
    </row>
    <row r="91" spans="4:13" x14ac:dyDescent="0.25">
      <c r="D91" s="128"/>
      <c r="E91" s="554"/>
      <c r="F91" s="129"/>
    </row>
  </sheetData>
  <sortState ref="J42:L56">
    <sortCondition ref="J42:J56"/>
  </sortState>
  <mergeCells count="30">
    <mergeCell ref="D69:E69"/>
    <mergeCell ref="I69:J69"/>
    <mergeCell ref="K69:L69"/>
    <mergeCell ref="H63:I63"/>
    <mergeCell ref="K63:L63"/>
    <mergeCell ref="D64:E64"/>
    <mergeCell ref="D65:E65"/>
    <mergeCell ref="I65:J65"/>
    <mergeCell ref="K65:L65"/>
    <mergeCell ref="Y27:Y28"/>
    <mergeCell ref="M41:M42"/>
    <mergeCell ref="N41:N42"/>
    <mergeCell ref="Q41:Q42"/>
    <mergeCell ref="K67:L67"/>
    <mergeCell ref="M45:N45"/>
    <mergeCell ref="W26:X26"/>
    <mergeCell ref="R3:R4"/>
    <mergeCell ref="W27:X28"/>
    <mergeCell ref="B1:B2"/>
    <mergeCell ref="C1:M1"/>
    <mergeCell ref="B3:C3"/>
    <mergeCell ref="H3:I3"/>
    <mergeCell ref="P3:P4"/>
    <mergeCell ref="E4:F4"/>
    <mergeCell ref="H4:I4"/>
    <mergeCell ref="W4:X5"/>
    <mergeCell ref="W19:W20"/>
    <mergeCell ref="W21:X21"/>
    <mergeCell ref="W23:X24"/>
    <mergeCell ref="W25:X25"/>
  </mergeCells>
  <pageMargins left="0.28000000000000003" right="0.19" top="0.33" bottom="0.33" header="0.3" footer="0.3"/>
  <pageSetup orientation="landscape" horizontalDpi="0" verticalDpi="0" r:id="rId1"/>
  <drawing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N106"/>
  <sheetViews>
    <sheetView workbookViewId="0">
      <selection activeCell="B30" sqref="B30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4" customWidth="1"/>
    <col min="9" max="9" width="14.5703125" style="98" customWidth="1"/>
    <col min="10" max="10" width="13.28515625" style="116" customWidth="1"/>
    <col min="11" max="11" width="18.85546875" style="4" bestFit="1" customWidth="1"/>
    <col min="12" max="12" width="13.85546875" style="257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I1" s="301" t="s">
        <v>318</v>
      </c>
      <c r="J1" s="302"/>
      <c r="K1" s="303"/>
      <c r="L1" s="367"/>
      <c r="M1" s="303"/>
      <c r="N1" s="377" t="s">
        <v>314</v>
      </c>
    </row>
    <row r="2" spans="1:14" ht="21.75" customHeight="1" thickTop="1" thickBot="1" x14ac:dyDescent="0.35">
      <c r="A2" s="545" t="s">
        <v>19</v>
      </c>
      <c r="B2" s="546" t="s">
        <v>20</v>
      </c>
      <c r="C2" s="547" t="s">
        <v>21</v>
      </c>
      <c r="D2" s="548" t="s">
        <v>22</v>
      </c>
      <c r="E2" s="549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1:14" ht="15.75" x14ac:dyDescent="0.25">
      <c r="A3" s="454">
        <v>44683</v>
      </c>
      <c r="B3" s="246" t="s">
        <v>775</v>
      </c>
      <c r="C3" s="111">
        <v>58580.5</v>
      </c>
      <c r="D3" s="652">
        <v>44722</v>
      </c>
      <c r="E3" s="653">
        <v>58580.5</v>
      </c>
      <c r="F3" s="410">
        <f>C3-E3</f>
        <v>0</v>
      </c>
      <c r="I3" s="639" t="s">
        <v>856</v>
      </c>
      <c r="J3" s="640">
        <v>9144</v>
      </c>
      <c r="K3" s="641">
        <v>2151.6</v>
      </c>
      <c r="L3" s="715">
        <v>44744</v>
      </c>
      <c r="M3" s="716">
        <v>2151.6</v>
      </c>
      <c r="N3" s="183">
        <f>K3-M3</f>
        <v>0</v>
      </c>
    </row>
    <row r="4" spans="1:14" ht="18.75" x14ac:dyDescent="0.3">
      <c r="A4" s="454">
        <v>44683</v>
      </c>
      <c r="B4" s="246" t="s">
        <v>776</v>
      </c>
      <c r="C4" s="111">
        <v>8932</v>
      </c>
      <c r="D4" s="652">
        <v>44722</v>
      </c>
      <c r="E4" s="653">
        <v>8932</v>
      </c>
      <c r="F4" s="544">
        <f t="shared" ref="F4:F48" si="0">C4-E4</f>
        <v>0</v>
      </c>
      <c r="G4" s="138"/>
      <c r="I4" s="393" t="s">
        <v>856</v>
      </c>
      <c r="J4" s="391">
        <v>9147</v>
      </c>
      <c r="K4" s="392">
        <v>3210</v>
      </c>
      <c r="L4" s="715">
        <v>44744</v>
      </c>
      <c r="M4" s="710">
        <v>3210</v>
      </c>
      <c r="N4" s="137">
        <f>N3+K4-M4</f>
        <v>0</v>
      </c>
    </row>
    <row r="5" spans="1:14" ht="15.75" x14ac:dyDescent="0.25">
      <c r="A5" s="454">
        <v>44684</v>
      </c>
      <c r="B5" s="246" t="s">
        <v>777</v>
      </c>
      <c r="C5" s="111">
        <v>51784.4</v>
      </c>
      <c r="D5" s="652">
        <v>44722</v>
      </c>
      <c r="E5" s="653">
        <v>51784.4</v>
      </c>
      <c r="F5" s="544">
        <f t="shared" si="0"/>
        <v>0</v>
      </c>
      <c r="I5" s="393" t="s">
        <v>857</v>
      </c>
      <c r="J5" s="391">
        <v>9153</v>
      </c>
      <c r="K5" s="392">
        <v>972</v>
      </c>
      <c r="L5" s="715">
        <v>44744</v>
      </c>
      <c r="M5" s="710">
        <v>972</v>
      </c>
      <c r="N5" s="137">
        <f t="shared" ref="N5:N49" si="1">N4+K5-M5</f>
        <v>0</v>
      </c>
    </row>
    <row r="6" spans="1:14" ht="15.75" x14ac:dyDescent="0.25">
      <c r="A6" s="454">
        <v>44685</v>
      </c>
      <c r="B6" s="246" t="s">
        <v>778</v>
      </c>
      <c r="C6" s="111">
        <v>15291.4</v>
      </c>
      <c r="D6" s="652">
        <v>44722</v>
      </c>
      <c r="E6" s="653">
        <v>15291.4</v>
      </c>
      <c r="F6" s="544">
        <f t="shared" si="0"/>
        <v>0</v>
      </c>
      <c r="I6" s="393" t="s">
        <v>858</v>
      </c>
      <c r="J6" s="391">
        <v>9161</v>
      </c>
      <c r="K6" s="392">
        <v>270</v>
      </c>
      <c r="L6" s="715">
        <v>44744</v>
      </c>
      <c r="M6" s="710">
        <v>270</v>
      </c>
      <c r="N6" s="137">
        <f t="shared" si="1"/>
        <v>0</v>
      </c>
    </row>
    <row r="7" spans="1:14" ht="15.75" x14ac:dyDescent="0.25">
      <c r="A7" s="454">
        <v>44686</v>
      </c>
      <c r="B7" s="246" t="s">
        <v>779</v>
      </c>
      <c r="C7" s="111">
        <v>66691.399999999994</v>
      </c>
      <c r="D7" s="652">
        <v>44722</v>
      </c>
      <c r="E7" s="653">
        <v>66691.399999999994</v>
      </c>
      <c r="F7" s="544">
        <f t="shared" si="0"/>
        <v>0</v>
      </c>
      <c r="I7" s="393" t="s">
        <v>859</v>
      </c>
      <c r="J7" s="391">
        <v>9176</v>
      </c>
      <c r="K7" s="392">
        <v>8528.4</v>
      </c>
      <c r="L7" s="715">
        <v>44744</v>
      </c>
      <c r="M7" s="710">
        <v>8528.4</v>
      </c>
      <c r="N7" s="137">
        <f t="shared" si="1"/>
        <v>0</v>
      </c>
    </row>
    <row r="8" spans="1:14" ht="15.75" x14ac:dyDescent="0.25">
      <c r="A8" s="454">
        <v>44686</v>
      </c>
      <c r="B8" s="246" t="s">
        <v>780</v>
      </c>
      <c r="C8" s="111">
        <v>70251.75</v>
      </c>
      <c r="D8" s="652">
        <v>44722</v>
      </c>
      <c r="E8" s="653">
        <v>70251.75</v>
      </c>
      <c r="F8" s="544">
        <f t="shared" si="0"/>
        <v>0</v>
      </c>
      <c r="I8" s="393" t="s">
        <v>860</v>
      </c>
      <c r="J8" s="391">
        <v>9185</v>
      </c>
      <c r="K8" s="392">
        <v>3216</v>
      </c>
      <c r="L8" s="715">
        <v>44744</v>
      </c>
      <c r="M8" s="710">
        <v>3216</v>
      </c>
      <c r="N8" s="137">
        <f t="shared" si="1"/>
        <v>0</v>
      </c>
    </row>
    <row r="9" spans="1:14" ht="15.75" x14ac:dyDescent="0.25">
      <c r="A9" s="454">
        <v>44687</v>
      </c>
      <c r="B9" s="246" t="s">
        <v>781</v>
      </c>
      <c r="C9" s="111">
        <v>13507</v>
      </c>
      <c r="D9" s="652">
        <v>44722</v>
      </c>
      <c r="E9" s="653">
        <v>13507</v>
      </c>
      <c r="F9" s="544">
        <f t="shared" si="0"/>
        <v>0</v>
      </c>
      <c r="I9" s="393" t="s">
        <v>861</v>
      </c>
      <c r="J9" s="391">
        <v>9189</v>
      </c>
      <c r="K9" s="392">
        <v>3240</v>
      </c>
      <c r="L9" s="715">
        <v>44744</v>
      </c>
      <c r="M9" s="710">
        <v>3240</v>
      </c>
      <c r="N9" s="137">
        <f t="shared" si="1"/>
        <v>0</v>
      </c>
    </row>
    <row r="10" spans="1:14" ht="18.75" x14ac:dyDescent="0.3">
      <c r="A10" s="454">
        <v>44689</v>
      </c>
      <c r="B10" s="246" t="s">
        <v>782</v>
      </c>
      <c r="C10" s="111">
        <v>494</v>
      </c>
      <c r="D10" s="652">
        <v>44722</v>
      </c>
      <c r="E10" s="653">
        <v>494</v>
      </c>
      <c r="F10" s="544">
        <f t="shared" si="0"/>
        <v>0</v>
      </c>
      <c r="G10" s="138"/>
      <c r="I10" s="393" t="s">
        <v>862</v>
      </c>
      <c r="J10" s="391">
        <v>9198</v>
      </c>
      <c r="K10" s="392">
        <v>4735.2</v>
      </c>
      <c r="L10" s="715">
        <v>44744</v>
      </c>
      <c r="M10" s="710">
        <v>4735.2</v>
      </c>
      <c r="N10" s="137">
        <f t="shared" si="1"/>
        <v>0</v>
      </c>
    </row>
    <row r="11" spans="1:14" ht="15.75" x14ac:dyDescent="0.25">
      <c r="A11" s="454">
        <v>44690</v>
      </c>
      <c r="B11" s="246" t="s">
        <v>783</v>
      </c>
      <c r="C11" s="111">
        <v>66113.67</v>
      </c>
      <c r="D11" s="652">
        <v>44722</v>
      </c>
      <c r="E11" s="653">
        <v>66113.67</v>
      </c>
      <c r="F11" s="544">
        <f t="shared" si="0"/>
        <v>0</v>
      </c>
      <c r="I11" s="393" t="s">
        <v>863</v>
      </c>
      <c r="J11" s="391">
        <v>9210</v>
      </c>
      <c r="K11" s="392">
        <v>5370</v>
      </c>
      <c r="L11" s="715">
        <v>44744</v>
      </c>
      <c r="M11" s="710">
        <v>5370</v>
      </c>
      <c r="N11" s="137">
        <f t="shared" si="1"/>
        <v>0</v>
      </c>
    </row>
    <row r="12" spans="1:14" ht="15.75" x14ac:dyDescent="0.25">
      <c r="A12" s="454">
        <v>44690</v>
      </c>
      <c r="B12" s="246" t="s">
        <v>784</v>
      </c>
      <c r="C12" s="111">
        <v>907.2</v>
      </c>
      <c r="D12" s="652">
        <v>44722</v>
      </c>
      <c r="E12" s="653">
        <v>907.2</v>
      </c>
      <c r="F12" s="544">
        <f t="shared" si="0"/>
        <v>0</v>
      </c>
      <c r="I12" s="393" t="s">
        <v>864</v>
      </c>
      <c r="J12" s="391">
        <v>9217</v>
      </c>
      <c r="K12" s="392">
        <v>22042.6</v>
      </c>
      <c r="L12" s="715">
        <v>44744</v>
      </c>
      <c r="M12" s="710">
        <v>22042.6</v>
      </c>
      <c r="N12" s="137">
        <f t="shared" si="1"/>
        <v>0</v>
      </c>
    </row>
    <row r="13" spans="1:14" ht="31.5" x14ac:dyDescent="0.25">
      <c r="A13" s="454">
        <v>44690</v>
      </c>
      <c r="B13" s="246" t="s">
        <v>785</v>
      </c>
      <c r="C13" s="111">
        <v>1956</v>
      </c>
      <c r="D13" s="652">
        <v>44722</v>
      </c>
      <c r="E13" s="653">
        <v>1956</v>
      </c>
      <c r="F13" s="544">
        <f t="shared" si="0"/>
        <v>0</v>
      </c>
      <c r="I13" s="393" t="s">
        <v>865</v>
      </c>
      <c r="J13" s="391">
        <v>9225</v>
      </c>
      <c r="K13" s="392">
        <v>13787.7</v>
      </c>
      <c r="L13" s="719" t="s">
        <v>1141</v>
      </c>
      <c r="M13" s="707">
        <f>11454.26+2333.44</f>
        <v>13787.7</v>
      </c>
      <c r="N13" s="137">
        <f t="shared" si="1"/>
        <v>0</v>
      </c>
    </row>
    <row r="14" spans="1:14" ht="15.75" x14ac:dyDescent="0.25">
      <c r="A14" s="454">
        <v>44691</v>
      </c>
      <c r="B14" s="246" t="s">
        <v>786</v>
      </c>
      <c r="C14" s="111">
        <v>48025.599999999999</v>
      </c>
      <c r="D14" s="652">
        <v>44722</v>
      </c>
      <c r="E14" s="653">
        <v>48025.599999999999</v>
      </c>
      <c r="F14" s="544">
        <f t="shared" si="0"/>
        <v>0</v>
      </c>
      <c r="I14" s="393" t="s">
        <v>866</v>
      </c>
      <c r="J14" s="391">
        <v>9240</v>
      </c>
      <c r="K14" s="392">
        <v>450</v>
      </c>
      <c r="L14" s="718">
        <v>44766</v>
      </c>
      <c r="M14" s="720">
        <v>450</v>
      </c>
      <c r="N14" s="137">
        <f t="shared" si="1"/>
        <v>0</v>
      </c>
    </row>
    <row r="15" spans="1:14" ht="15.75" x14ac:dyDescent="0.25">
      <c r="A15" s="454">
        <v>44692</v>
      </c>
      <c r="B15" s="246" t="s">
        <v>787</v>
      </c>
      <c r="C15" s="111">
        <v>133204.96</v>
      </c>
      <c r="D15" s="652">
        <v>44722</v>
      </c>
      <c r="E15" s="653">
        <v>133204.96</v>
      </c>
      <c r="F15" s="544">
        <f t="shared" si="0"/>
        <v>0</v>
      </c>
      <c r="I15" s="393" t="s">
        <v>866</v>
      </c>
      <c r="J15" s="391">
        <v>9242</v>
      </c>
      <c r="K15" s="392">
        <v>3200</v>
      </c>
      <c r="L15" s="718">
        <v>44766</v>
      </c>
      <c r="M15" s="720">
        <v>3200</v>
      </c>
      <c r="N15" s="137">
        <f t="shared" si="1"/>
        <v>0</v>
      </c>
    </row>
    <row r="16" spans="1:14" ht="15.75" x14ac:dyDescent="0.25">
      <c r="A16" s="454">
        <v>44692</v>
      </c>
      <c r="B16" s="246" t="s">
        <v>788</v>
      </c>
      <c r="C16" s="111">
        <v>19133.36</v>
      </c>
      <c r="D16" s="652">
        <v>44722</v>
      </c>
      <c r="E16" s="653">
        <v>19133.36</v>
      </c>
      <c r="F16" s="544">
        <f t="shared" si="0"/>
        <v>0</v>
      </c>
      <c r="I16" s="393" t="s">
        <v>867</v>
      </c>
      <c r="J16" s="391">
        <v>9244</v>
      </c>
      <c r="K16" s="392">
        <v>2160</v>
      </c>
      <c r="L16" s="718">
        <v>44766</v>
      </c>
      <c r="M16" s="720">
        <v>2160</v>
      </c>
      <c r="N16" s="137">
        <f t="shared" si="1"/>
        <v>0</v>
      </c>
    </row>
    <row r="17" spans="1:14" ht="15.75" x14ac:dyDescent="0.25">
      <c r="A17" s="454">
        <v>44693</v>
      </c>
      <c r="B17" s="246" t="s">
        <v>789</v>
      </c>
      <c r="C17" s="111">
        <v>49325.599999999999</v>
      </c>
      <c r="D17" s="683">
        <v>44760</v>
      </c>
      <c r="E17" s="684">
        <v>49325.599999999999</v>
      </c>
      <c r="F17" s="544">
        <f t="shared" si="0"/>
        <v>0</v>
      </c>
      <c r="I17" s="393" t="s">
        <v>867</v>
      </c>
      <c r="J17" s="391">
        <v>9248</v>
      </c>
      <c r="K17" s="392">
        <v>72229</v>
      </c>
      <c r="L17" s="718">
        <v>44766</v>
      </c>
      <c r="M17" s="720">
        <v>72229</v>
      </c>
      <c r="N17" s="137">
        <f t="shared" si="1"/>
        <v>0</v>
      </c>
    </row>
    <row r="18" spans="1:14" ht="15.75" x14ac:dyDescent="0.25">
      <c r="A18" s="454">
        <v>44693</v>
      </c>
      <c r="B18" s="246" t="s">
        <v>797</v>
      </c>
      <c r="C18" s="111">
        <v>3087.2</v>
      </c>
      <c r="D18" s="683">
        <v>44760</v>
      </c>
      <c r="E18" s="684">
        <v>3087.2</v>
      </c>
      <c r="F18" s="544">
        <f t="shared" si="0"/>
        <v>0</v>
      </c>
      <c r="I18" s="393" t="s">
        <v>867</v>
      </c>
      <c r="J18" s="391">
        <v>9252</v>
      </c>
      <c r="K18" s="392">
        <v>1078</v>
      </c>
      <c r="L18" s="718">
        <v>44766</v>
      </c>
      <c r="M18" s="720">
        <v>1078</v>
      </c>
      <c r="N18" s="137">
        <f t="shared" si="1"/>
        <v>0</v>
      </c>
    </row>
    <row r="19" spans="1:14" ht="15.75" x14ac:dyDescent="0.25">
      <c r="A19" s="454">
        <v>44693</v>
      </c>
      <c r="B19" s="246" t="s">
        <v>790</v>
      </c>
      <c r="C19" s="111">
        <v>1128</v>
      </c>
      <c r="D19" s="683">
        <v>44760</v>
      </c>
      <c r="E19" s="684">
        <v>1128</v>
      </c>
      <c r="F19" s="544">
        <f t="shared" si="0"/>
        <v>0</v>
      </c>
      <c r="I19" s="393" t="s">
        <v>868</v>
      </c>
      <c r="J19" s="391">
        <v>9255</v>
      </c>
      <c r="K19" s="392">
        <v>450</v>
      </c>
      <c r="L19" s="718">
        <v>44766</v>
      </c>
      <c r="M19" s="720">
        <v>450</v>
      </c>
      <c r="N19" s="137">
        <f t="shared" si="1"/>
        <v>0</v>
      </c>
    </row>
    <row r="20" spans="1:14" ht="15.75" x14ac:dyDescent="0.25">
      <c r="A20" s="454">
        <v>44694</v>
      </c>
      <c r="B20" s="246" t="s">
        <v>796</v>
      </c>
      <c r="C20" s="111">
        <v>73300.850000000006</v>
      </c>
      <c r="D20" s="683">
        <v>44760</v>
      </c>
      <c r="E20" s="684">
        <v>73300.850000000006</v>
      </c>
      <c r="F20" s="544">
        <f t="shared" si="0"/>
        <v>0</v>
      </c>
      <c r="I20" s="393" t="s">
        <v>869</v>
      </c>
      <c r="J20" s="391">
        <v>9262</v>
      </c>
      <c r="K20" s="392">
        <v>63214.400000000001</v>
      </c>
      <c r="L20" s="718">
        <v>44766</v>
      </c>
      <c r="M20" s="720">
        <v>63214.400000000001</v>
      </c>
      <c r="N20" s="137">
        <f t="shared" si="1"/>
        <v>0</v>
      </c>
    </row>
    <row r="21" spans="1:14" ht="15.75" x14ac:dyDescent="0.25">
      <c r="A21" s="454">
        <v>44695</v>
      </c>
      <c r="B21" s="246" t="s">
        <v>798</v>
      </c>
      <c r="C21" s="111">
        <v>77730.7</v>
      </c>
      <c r="D21" s="683">
        <v>44760</v>
      </c>
      <c r="E21" s="684">
        <v>77730.7</v>
      </c>
      <c r="F21" s="544">
        <f t="shared" si="0"/>
        <v>0</v>
      </c>
      <c r="I21" s="393" t="s">
        <v>869</v>
      </c>
      <c r="J21" s="391">
        <v>9263</v>
      </c>
      <c r="K21" s="392">
        <v>1344</v>
      </c>
      <c r="L21" s="718">
        <v>44766</v>
      </c>
      <c r="M21" s="720">
        <v>1344</v>
      </c>
      <c r="N21" s="137">
        <f t="shared" si="1"/>
        <v>0</v>
      </c>
    </row>
    <row r="22" spans="1:14" ht="18.75" x14ac:dyDescent="0.3">
      <c r="A22" s="454">
        <v>44697</v>
      </c>
      <c r="B22" s="246" t="s">
        <v>791</v>
      </c>
      <c r="C22" s="111">
        <v>13778.94</v>
      </c>
      <c r="D22" s="683">
        <v>44760</v>
      </c>
      <c r="E22" s="684">
        <v>13778.94</v>
      </c>
      <c r="F22" s="544">
        <f t="shared" si="0"/>
        <v>0</v>
      </c>
      <c r="G22" s="138"/>
      <c r="I22" s="393" t="s">
        <v>870</v>
      </c>
      <c r="J22" s="391">
        <v>9272</v>
      </c>
      <c r="K22" s="392">
        <v>270</v>
      </c>
      <c r="L22" s="718">
        <v>44766</v>
      </c>
      <c r="M22" s="720">
        <v>270</v>
      </c>
      <c r="N22" s="137">
        <f t="shared" si="1"/>
        <v>0</v>
      </c>
    </row>
    <row r="23" spans="1:14" ht="15.75" x14ac:dyDescent="0.25">
      <c r="A23" s="454">
        <v>44697</v>
      </c>
      <c r="B23" s="246" t="s">
        <v>792</v>
      </c>
      <c r="C23" s="111">
        <v>768</v>
      </c>
      <c r="D23" s="683">
        <v>44760</v>
      </c>
      <c r="E23" s="684">
        <v>768</v>
      </c>
      <c r="F23" s="544">
        <f t="shared" si="0"/>
        <v>0</v>
      </c>
      <c r="I23" s="393" t="s">
        <v>871</v>
      </c>
      <c r="J23" s="391">
        <v>9289</v>
      </c>
      <c r="K23" s="392">
        <v>17666.36</v>
      </c>
      <c r="L23" s="718">
        <v>44766</v>
      </c>
      <c r="M23" s="720">
        <v>17666.36</v>
      </c>
      <c r="N23" s="137">
        <f t="shared" si="1"/>
        <v>0</v>
      </c>
    </row>
    <row r="24" spans="1:14" ht="15.75" x14ac:dyDescent="0.25">
      <c r="A24" s="454">
        <v>44698</v>
      </c>
      <c r="B24" s="246" t="s">
        <v>793</v>
      </c>
      <c r="C24" s="111">
        <v>85663.7</v>
      </c>
      <c r="D24" s="683">
        <v>44760</v>
      </c>
      <c r="E24" s="684">
        <v>85663.7</v>
      </c>
      <c r="F24" s="544">
        <f t="shared" si="0"/>
        <v>0</v>
      </c>
      <c r="I24" s="393" t="s">
        <v>871</v>
      </c>
      <c r="J24" s="391">
        <v>9287</v>
      </c>
      <c r="K24" s="392">
        <v>7822.8</v>
      </c>
      <c r="L24" s="718">
        <v>44766</v>
      </c>
      <c r="M24" s="720">
        <v>7822.8</v>
      </c>
      <c r="N24" s="137">
        <f t="shared" si="1"/>
        <v>0</v>
      </c>
    </row>
    <row r="25" spans="1:14" ht="15.75" x14ac:dyDescent="0.25">
      <c r="A25" s="454">
        <v>44699</v>
      </c>
      <c r="B25" s="246" t="s">
        <v>794</v>
      </c>
      <c r="C25" s="111">
        <v>73144.72</v>
      </c>
      <c r="D25" s="584">
        <v>44707</v>
      </c>
      <c r="E25" s="585">
        <v>73144.72</v>
      </c>
      <c r="F25" s="544">
        <f t="shared" si="0"/>
        <v>0</v>
      </c>
      <c r="G25" s="589" t="s">
        <v>812</v>
      </c>
      <c r="H25" s="589"/>
      <c r="I25" s="393" t="s">
        <v>872</v>
      </c>
      <c r="J25" s="391">
        <v>9301</v>
      </c>
      <c r="K25" s="392">
        <v>7504</v>
      </c>
      <c r="L25" s="718">
        <v>44766</v>
      </c>
      <c r="M25" s="720">
        <v>7504</v>
      </c>
      <c r="N25" s="137">
        <f t="shared" si="1"/>
        <v>0</v>
      </c>
    </row>
    <row r="26" spans="1:14" ht="31.5" x14ac:dyDescent="0.25">
      <c r="A26" s="454">
        <v>44700</v>
      </c>
      <c r="B26" s="580" t="s">
        <v>795</v>
      </c>
      <c r="C26" s="111">
        <v>54053.32</v>
      </c>
      <c r="D26" s="584">
        <v>44707</v>
      </c>
      <c r="E26" s="585">
        <v>54053.32</v>
      </c>
      <c r="F26" s="544">
        <f t="shared" si="0"/>
        <v>0</v>
      </c>
      <c r="G26" s="589" t="s">
        <v>812</v>
      </c>
      <c r="H26" s="589"/>
      <c r="I26" s="393" t="s">
        <v>873</v>
      </c>
      <c r="J26" s="391">
        <v>9314</v>
      </c>
      <c r="K26" s="392">
        <v>52764.800000000003</v>
      </c>
      <c r="L26" s="718">
        <v>44766</v>
      </c>
      <c r="M26" s="720">
        <v>52764.800000000003</v>
      </c>
      <c r="N26" s="137">
        <f t="shared" si="1"/>
        <v>0</v>
      </c>
    </row>
    <row r="27" spans="1:14" ht="15.75" x14ac:dyDescent="0.25">
      <c r="A27" s="454">
        <v>44701</v>
      </c>
      <c r="B27" s="246" t="s">
        <v>799</v>
      </c>
      <c r="C27" s="111">
        <v>101400.66</v>
      </c>
      <c r="D27" s="584">
        <v>44707</v>
      </c>
      <c r="E27" s="585">
        <v>101400.66</v>
      </c>
      <c r="F27" s="544">
        <f t="shared" si="0"/>
        <v>0</v>
      </c>
      <c r="G27" s="589" t="s">
        <v>812</v>
      </c>
      <c r="H27" s="589"/>
      <c r="I27" s="393" t="s">
        <v>874</v>
      </c>
      <c r="J27" s="391">
        <v>9327</v>
      </c>
      <c r="K27" s="392">
        <v>38206.699999999997</v>
      </c>
      <c r="L27" s="718">
        <v>44766</v>
      </c>
      <c r="M27" s="720">
        <v>38206.699999999997</v>
      </c>
      <c r="N27" s="137">
        <f t="shared" si="1"/>
        <v>0</v>
      </c>
    </row>
    <row r="28" spans="1:14" ht="15.75" x14ac:dyDescent="0.25">
      <c r="A28" s="454">
        <v>44702</v>
      </c>
      <c r="B28" s="246" t="s">
        <v>800</v>
      </c>
      <c r="C28" s="111">
        <v>185753.4</v>
      </c>
      <c r="D28" s="584">
        <v>44707</v>
      </c>
      <c r="E28" s="585">
        <v>185753.4</v>
      </c>
      <c r="F28" s="544">
        <f t="shared" si="0"/>
        <v>0</v>
      </c>
      <c r="G28" s="589" t="s">
        <v>812</v>
      </c>
      <c r="H28" s="589"/>
      <c r="I28" s="393" t="s">
        <v>875</v>
      </c>
      <c r="J28" s="391">
        <v>9338</v>
      </c>
      <c r="K28" s="392">
        <v>12759.3</v>
      </c>
      <c r="L28" s="718">
        <v>44766</v>
      </c>
      <c r="M28" s="720">
        <v>12759.3</v>
      </c>
      <c r="N28" s="137">
        <f t="shared" si="1"/>
        <v>0</v>
      </c>
    </row>
    <row r="29" spans="1:14" ht="15.75" x14ac:dyDescent="0.25">
      <c r="A29" s="454">
        <v>44705</v>
      </c>
      <c r="B29" s="246" t="s">
        <v>801</v>
      </c>
      <c r="C29" s="111">
        <v>72323.33</v>
      </c>
      <c r="D29" s="584">
        <v>44707</v>
      </c>
      <c r="E29" s="585">
        <v>72323.33</v>
      </c>
      <c r="F29" s="544">
        <f t="shared" si="0"/>
        <v>0</v>
      </c>
      <c r="G29" s="589" t="s">
        <v>812</v>
      </c>
      <c r="H29" s="589"/>
      <c r="I29" s="393" t="s">
        <v>876</v>
      </c>
      <c r="J29" s="391">
        <v>9362</v>
      </c>
      <c r="K29" s="392">
        <v>43816.2</v>
      </c>
      <c r="L29" s="718">
        <v>44766</v>
      </c>
      <c r="M29" s="720">
        <v>43816.2</v>
      </c>
      <c r="N29" s="137">
        <f t="shared" si="1"/>
        <v>0</v>
      </c>
    </row>
    <row r="30" spans="1:14" ht="15.75" x14ac:dyDescent="0.25">
      <c r="A30" s="454">
        <v>44706</v>
      </c>
      <c r="B30" s="246" t="s">
        <v>802</v>
      </c>
      <c r="C30" s="111">
        <v>138449.44</v>
      </c>
      <c r="D30" s="584">
        <v>44707</v>
      </c>
      <c r="E30" s="585">
        <v>138449.44</v>
      </c>
      <c r="F30" s="544">
        <f t="shared" si="0"/>
        <v>0</v>
      </c>
      <c r="G30" s="589" t="s">
        <v>812</v>
      </c>
      <c r="H30" s="589"/>
      <c r="I30" s="393" t="s">
        <v>876</v>
      </c>
      <c r="J30" s="391">
        <v>9367</v>
      </c>
      <c r="K30" s="392">
        <v>2622.4</v>
      </c>
      <c r="L30" s="718">
        <v>44766</v>
      </c>
      <c r="M30" s="720">
        <v>2622.4</v>
      </c>
      <c r="N30" s="137">
        <f t="shared" si="1"/>
        <v>0</v>
      </c>
    </row>
    <row r="31" spans="1:14" ht="15.75" x14ac:dyDescent="0.25">
      <c r="A31" s="454">
        <v>44707</v>
      </c>
      <c r="B31" s="246" t="s">
        <v>818</v>
      </c>
      <c r="C31" s="111">
        <v>2520</v>
      </c>
      <c r="D31" s="683">
        <v>44760</v>
      </c>
      <c r="E31" s="684">
        <v>2520</v>
      </c>
      <c r="F31" s="544">
        <f t="shared" si="0"/>
        <v>0</v>
      </c>
      <c r="I31" s="393" t="s">
        <v>877</v>
      </c>
      <c r="J31" s="391">
        <v>9376</v>
      </c>
      <c r="K31" s="392">
        <v>13511.6</v>
      </c>
      <c r="L31" s="718">
        <v>44766</v>
      </c>
      <c r="M31" s="720">
        <v>13511.6</v>
      </c>
      <c r="N31" s="137">
        <f t="shared" si="1"/>
        <v>0</v>
      </c>
    </row>
    <row r="32" spans="1:14" ht="15.75" x14ac:dyDescent="0.25">
      <c r="A32" s="454">
        <v>44708</v>
      </c>
      <c r="B32" s="246" t="s">
        <v>819</v>
      </c>
      <c r="C32" s="111">
        <v>8158.8</v>
      </c>
      <c r="D32" s="683">
        <v>44760</v>
      </c>
      <c r="E32" s="684">
        <v>8158.8</v>
      </c>
      <c r="F32" s="544">
        <f t="shared" si="0"/>
        <v>0</v>
      </c>
      <c r="I32" s="393" t="s">
        <v>878</v>
      </c>
      <c r="J32" s="391">
        <v>9393</v>
      </c>
      <c r="K32" s="392">
        <v>1243.8</v>
      </c>
      <c r="L32" s="718">
        <v>44766</v>
      </c>
      <c r="M32" s="720">
        <v>1243.8</v>
      </c>
      <c r="N32" s="137">
        <f t="shared" si="1"/>
        <v>0</v>
      </c>
    </row>
    <row r="33" spans="1:14" ht="15.75" x14ac:dyDescent="0.25">
      <c r="A33" s="454">
        <v>44708</v>
      </c>
      <c r="B33" s="246" t="s">
        <v>820</v>
      </c>
      <c r="C33" s="111">
        <v>9299</v>
      </c>
      <c r="D33" s="683">
        <v>44760</v>
      </c>
      <c r="E33" s="684">
        <v>9299</v>
      </c>
      <c r="F33" s="544">
        <f t="shared" si="0"/>
        <v>0</v>
      </c>
      <c r="I33" s="393" t="s">
        <v>879</v>
      </c>
      <c r="J33" s="391">
        <v>9403</v>
      </c>
      <c r="K33" s="392">
        <v>450</v>
      </c>
      <c r="L33" s="718">
        <v>44766</v>
      </c>
      <c r="M33" s="720">
        <v>450</v>
      </c>
      <c r="N33" s="137">
        <f t="shared" si="1"/>
        <v>0</v>
      </c>
    </row>
    <row r="34" spans="1:14" ht="15.75" x14ac:dyDescent="0.25">
      <c r="A34" s="454">
        <v>44708</v>
      </c>
      <c r="B34" s="246" t="s">
        <v>821</v>
      </c>
      <c r="C34" s="111">
        <v>10924.4</v>
      </c>
      <c r="D34" s="683">
        <v>44760</v>
      </c>
      <c r="E34" s="684">
        <v>10924.4</v>
      </c>
      <c r="F34" s="544">
        <f t="shared" si="0"/>
        <v>0</v>
      </c>
      <c r="I34" s="393" t="s">
        <v>880</v>
      </c>
      <c r="J34" s="391">
        <v>9412</v>
      </c>
      <c r="K34" s="392">
        <v>5511</v>
      </c>
      <c r="L34" s="718">
        <v>44766</v>
      </c>
      <c r="M34" s="720">
        <v>5511</v>
      </c>
      <c r="N34" s="137">
        <f t="shared" si="1"/>
        <v>0</v>
      </c>
    </row>
    <row r="35" spans="1:14" ht="15.75" x14ac:dyDescent="0.25">
      <c r="A35" s="454">
        <v>44709</v>
      </c>
      <c r="B35" s="246" t="s">
        <v>822</v>
      </c>
      <c r="C35" s="111">
        <v>48105.599999999999</v>
      </c>
      <c r="D35" s="683">
        <v>44760</v>
      </c>
      <c r="E35" s="684">
        <v>48105.599999999999</v>
      </c>
      <c r="F35" s="544">
        <f t="shared" si="0"/>
        <v>0</v>
      </c>
      <c r="I35" s="245"/>
      <c r="J35" s="57"/>
      <c r="K35" s="111"/>
      <c r="L35" s="412"/>
      <c r="M35" s="111"/>
      <c r="N35" s="137">
        <f t="shared" si="1"/>
        <v>0</v>
      </c>
    </row>
    <row r="36" spans="1:14" ht="15.75" x14ac:dyDescent="0.25">
      <c r="A36" s="454">
        <v>44709</v>
      </c>
      <c r="B36" s="246" t="s">
        <v>823</v>
      </c>
      <c r="C36" s="111">
        <v>8408.4</v>
      </c>
      <c r="D36" s="683">
        <v>44760</v>
      </c>
      <c r="E36" s="684">
        <v>8408.4</v>
      </c>
      <c r="F36" s="544">
        <f t="shared" si="0"/>
        <v>0</v>
      </c>
      <c r="I36" s="245"/>
      <c r="J36" s="57"/>
      <c r="K36" s="111"/>
      <c r="L36" s="717">
        <v>350607.8</v>
      </c>
      <c r="M36" s="111"/>
      <c r="N36" s="137">
        <f t="shared" si="1"/>
        <v>0</v>
      </c>
    </row>
    <row r="37" spans="1:14" ht="15.75" x14ac:dyDescent="0.25">
      <c r="A37" s="454"/>
      <c r="B37" s="246"/>
      <c r="C37" s="111"/>
      <c r="D37" s="412"/>
      <c r="E37" s="111"/>
      <c r="F37" s="544">
        <f t="shared" si="0"/>
        <v>0</v>
      </c>
      <c r="I37" s="245"/>
      <c r="J37" s="57"/>
      <c r="K37" s="111"/>
      <c r="L37" s="412"/>
      <c r="M37" s="111"/>
      <c r="N37" s="137">
        <f t="shared" si="1"/>
        <v>0</v>
      </c>
    </row>
    <row r="38" spans="1:14" ht="15.75" x14ac:dyDescent="0.25">
      <c r="A38" s="454"/>
      <c r="B38" s="246"/>
      <c r="C38" s="111"/>
      <c r="D38" s="412"/>
      <c r="E38" s="111"/>
      <c r="F38" s="544">
        <f t="shared" si="0"/>
        <v>0</v>
      </c>
      <c r="I38" s="930" t="s">
        <v>594</v>
      </c>
      <c r="J38" s="931"/>
      <c r="K38" s="111"/>
      <c r="L38" s="412"/>
      <c r="M38" s="111"/>
      <c r="N38" s="137">
        <f t="shared" si="1"/>
        <v>0</v>
      </c>
    </row>
    <row r="39" spans="1:14" ht="15.75" x14ac:dyDescent="0.25">
      <c r="A39" s="454"/>
      <c r="B39" s="246"/>
      <c r="C39" s="111"/>
      <c r="D39" s="412"/>
      <c r="E39" s="111"/>
      <c r="F39" s="544">
        <f t="shared" si="0"/>
        <v>0</v>
      </c>
      <c r="I39" s="932"/>
      <c r="J39" s="933"/>
      <c r="K39" s="111"/>
      <c r="L39" s="412"/>
      <c r="M39" s="111"/>
      <c r="N39" s="137">
        <f t="shared" si="1"/>
        <v>0</v>
      </c>
    </row>
    <row r="40" spans="1:14" ht="15.75" x14ac:dyDescent="0.25">
      <c r="A40" s="454"/>
      <c r="B40" s="246"/>
      <c r="C40" s="111"/>
      <c r="D40" s="412"/>
      <c r="E40" s="111"/>
      <c r="F40" s="544">
        <f t="shared" si="0"/>
        <v>0</v>
      </c>
      <c r="I40" s="934"/>
      <c r="J40" s="935"/>
      <c r="K40" s="111"/>
      <c r="L40" s="412"/>
      <c r="M40" s="111"/>
      <c r="N40" s="137">
        <f t="shared" si="1"/>
        <v>0</v>
      </c>
    </row>
    <row r="41" spans="1:14" ht="15.75" x14ac:dyDescent="0.25">
      <c r="A41" s="454"/>
      <c r="B41" s="246"/>
      <c r="C41" s="111"/>
      <c r="D41" s="412"/>
      <c r="E41" s="111"/>
      <c r="F41" s="544">
        <f t="shared" si="0"/>
        <v>0</v>
      </c>
      <c r="I41" s="245"/>
      <c r="J41" s="57"/>
      <c r="K41" s="111"/>
      <c r="L41" s="412"/>
      <c r="M41" s="111"/>
      <c r="N41" s="137">
        <f t="shared" si="1"/>
        <v>0</v>
      </c>
    </row>
    <row r="42" spans="1:14" ht="15.75" hidden="1" x14ac:dyDescent="0.25">
      <c r="A42" s="134"/>
      <c r="B42" s="139"/>
      <c r="C42" s="69"/>
      <c r="D42" s="253"/>
      <c r="E42" s="69"/>
      <c r="F42" s="111">
        <f t="shared" si="0"/>
        <v>0</v>
      </c>
      <c r="I42" s="134"/>
      <c r="J42" s="139"/>
      <c r="K42" s="69"/>
      <c r="L42" s="253"/>
      <c r="M42" s="69"/>
      <c r="N42" s="137" t="e">
        <f>#REF!+K42-M42</f>
        <v>#REF!</v>
      </c>
    </row>
    <row r="43" spans="1:14" ht="15.75" hidden="1" x14ac:dyDescent="0.25">
      <c r="A43" s="134"/>
      <c r="B43" s="139"/>
      <c r="C43" s="69"/>
      <c r="D43" s="253"/>
      <c r="E43" s="69"/>
      <c r="F43" s="111">
        <f t="shared" si="0"/>
        <v>0</v>
      </c>
      <c r="I43" s="134"/>
      <c r="J43" s="139"/>
      <c r="K43" s="69"/>
      <c r="L43" s="253"/>
      <c r="M43" s="69"/>
      <c r="N43" s="137" t="e">
        <f t="shared" si="1"/>
        <v>#REF!</v>
      </c>
    </row>
    <row r="44" spans="1:14" ht="15.75" hidden="1" x14ac:dyDescent="0.25">
      <c r="A44" s="134"/>
      <c r="B44" s="139"/>
      <c r="C44" s="69"/>
      <c r="D44" s="253"/>
      <c r="E44" s="69"/>
      <c r="F44" s="111">
        <f t="shared" si="0"/>
        <v>0</v>
      </c>
      <c r="I44" s="134"/>
      <c r="J44" s="139"/>
      <c r="K44" s="69"/>
      <c r="L44" s="253"/>
      <c r="M44" s="69"/>
      <c r="N44" s="137" t="e">
        <f t="shared" si="1"/>
        <v>#REF!</v>
      </c>
    </row>
    <row r="45" spans="1:14" ht="15.75" hidden="1" x14ac:dyDescent="0.25">
      <c r="A45" s="134"/>
      <c r="B45" s="139"/>
      <c r="C45" s="69"/>
      <c r="D45" s="253"/>
      <c r="E45" s="69"/>
      <c r="F45" s="111">
        <f t="shared" si="0"/>
        <v>0</v>
      </c>
      <c r="I45" s="134"/>
      <c r="J45" s="139"/>
      <c r="K45" s="69"/>
      <c r="L45" s="253"/>
      <c r="M45" s="69"/>
      <c r="N45" s="137" t="e">
        <f t="shared" si="1"/>
        <v>#REF!</v>
      </c>
    </row>
    <row r="46" spans="1:14" ht="15.75" hidden="1" x14ac:dyDescent="0.25">
      <c r="A46" s="134"/>
      <c r="B46" s="139"/>
      <c r="C46" s="69"/>
      <c r="D46" s="253"/>
      <c r="E46" s="69"/>
      <c r="F46" s="111">
        <f t="shared" si="0"/>
        <v>0</v>
      </c>
      <c r="I46" s="134"/>
      <c r="J46" s="139"/>
      <c r="K46" s="69"/>
      <c r="L46" s="253"/>
      <c r="M46" s="69"/>
      <c r="N46" s="137" t="e">
        <f t="shared" si="1"/>
        <v>#REF!</v>
      </c>
    </row>
    <row r="47" spans="1:14" ht="15.75" hidden="1" x14ac:dyDescent="0.25">
      <c r="A47" s="134"/>
      <c r="B47" s="139"/>
      <c r="C47" s="69"/>
      <c r="D47" s="253"/>
      <c r="E47" s="69"/>
      <c r="F47" s="111">
        <f t="shared" si="0"/>
        <v>0</v>
      </c>
      <c r="I47" s="134"/>
      <c r="J47" s="139"/>
      <c r="K47" s="69"/>
      <c r="L47" s="253"/>
      <c r="M47" s="69"/>
      <c r="N47" s="137" t="e">
        <f t="shared" si="1"/>
        <v>#REF!</v>
      </c>
    </row>
    <row r="48" spans="1:14" ht="15.75" hidden="1" x14ac:dyDescent="0.25">
      <c r="A48" s="134"/>
      <c r="B48" s="139"/>
      <c r="C48" s="69"/>
      <c r="D48" s="253"/>
      <c r="E48" s="69"/>
      <c r="F48" s="111">
        <f t="shared" si="0"/>
        <v>0</v>
      </c>
      <c r="I48" s="134"/>
      <c r="J48" s="139"/>
      <c r="K48" s="69"/>
      <c r="L48" s="253"/>
      <c r="M48" s="69"/>
      <c r="N48" s="137" t="e">
        <f t="shared" si="1"/>
        <v>#REF!</v>
      </c>
    </row>
    <row r="49" spans="1:14" ht="15.75" hidden="1" x14ac:dyDescent="0.25">
      <c r="A49" s="134"/>
      <c r="B49" s="139"/>
      <c r="C49" s="69"/>
      <c r="D49" s="253"/>
      <c r="E49" s="69"/>
      <c r="F49" s="111">
        <f t="shared" ref="F49:F68" si="2">C49-E49</f>
        <v>0</v>
      </c>
      <c r="I49" s="134"/>
      <c r="J49" s="139"/>
      <c r="K49" s="69"/>
      <c r="L49" s="253"/>
      <c r="M49" s="69"/>
      <c r="N49" s="137" t="e">
        <f t="shared" si="1"/>
        <v>#REF!</v>
      </c>
    </row>
    <row r="50" spans="1:14" ht="15.75" hidden="1" x14ac:dyDescent="0.25">
      <c r="A50" s="134"/>
      <c r="B50" s="139"/>
      <c r="C50" s="69"/>
      <c r="D50" s="253"/>
      <c r="E50" s="69"/>
      <c r="F50" s="111">
        <f t="shared" si="2"/>
        <v>0</v>
      </c>
      <c r="I50" s="134"/>
      <c r="J50" s="139"/>
      <c r="K50" s="69"/>
      <c r="L50" s="253"/>
      <c r="M50" s="69"/>
      <c r="N50" s="137" t="e">
        <f t="shared" ref="N50:N68" si="3">N49+K50-M50</f>
        <v>#REF!</v>
      </c>
    </row>
    <row r="51" spans="1:14" ht="15.75" hidden="1" x14ac:dyDescent="0.25">
      <c r="A51" s="134"/>
      <c r="B51" s="139"/>
      <c r="C51" s="69"/>
      <c r="D51" s="253"/>
      <c r="E51" s="69"/>
      <c r="F51" s="111">
        <f t="shared" si="2"/>
        <v>0</v>
      </c>
      <c r="I51" s="134"/>
      <c r="J51" s="139"/>
      <c r="K51" s="69"/>
      <c r="L51" s="253"/>
      <c r="M51" s="69"/>
      <c r="N51" s="137" t="e">
        <f t="shared" si="3"/>
        <v>#REF!</v>
      </c>
    </row>
    <row r="52" spans="1:14" ht="15.75" hidden="1" x14ac:dyDescent="0.25">
      <c r="A52" s="134"/>
      <c r="B52" s="139"/>
      <c r="C52" s="69"/>
      <c r="D52" s="253"/>
      <c r="E52" s="69"/>
      <c r="F52" s="111">
        <f t="shared" si="2"/>
        <v>0</v>
      </c>
      <c r="I52" s="134"/>
      <c r="J52" s="139"/>
      <c r="K52" s="69"/>
      <c r="L52" s="253"/>
      <c r="M52" s="69"/>
      <c r="N52" s="137" t="e">
        <f t="shared" si="3"/>
        <v>#REF!</v>
      </c>
    </row>
    <row r="53" spans="1:14" ht="15.75" hidden="1" x14ac:dyDescent="0.25">
      <c r="A53" s="134"/>
      <c r="B53" s="139"/>
      <c r="C53" s="69"/>
      <c r="D53" s="254"/>
      <c r="E53" s="69"/>
      <c r="F53" s="111">
        <f t="shared" si="2"/>
        <v>0</v>
      </c>
      <c r="I53" s="356"/>
      <c r="J53" s="357"/>
      <c r="K53" s="34"/>
      <c r="L53" s="118"/>
      <c r="M53" s="34"/>
      <c r="N53" s="137" t="e">
        <f t="shared" si="3"/>
        <v>#REF!</v>
      </c>
    </row>
    <row r="54" spans="1:14" ht="15.75" hidden="1" x14ac:dyDescent="0.25">
      <c r="A54" s="134"/>
      <c r="B54" s="139"/>
      <c r="C54" s="69"/>
      <c r="D54" s="254"/>
      <c r="E54" s="69"/>
      <c r="F54" s="111">
        <f t="shared" si="2"/>
        <v>0</v>
      </c>
      <c r="I54" s="356"/>
      <c r="J54" s="357"/>
      <c r="K54" s="34"/>
      <c r="L54" s="118"/>
      <c r="M54" s="34"/>
      <c r="N54" s="137" t="e">
        <f t="shared" si="3"/>
        <v>#REF!</v>
      </c>
    </row>
    <row r="55" spans="1:14" ht="15.75" hidden="1" x14ac:dyDescent="0.25">
      <c r="A55" s="134"/>
      <c r="B55" s="139"/>
      <c r="C55" s="69"/>
      <c r="D55" s="254"/>
      <c r="E55" s="69"/>
      <c r="F55" s="111">
        <f t="shared" si="2"/>
        <v>0</v>
      </c>
      <c r="I55" s="356"/>
      <c r="J55" s="357"/>
      <c r="K55" s="34"/>
      <c r="L55" s="118"/>
      <c r="M55" s="34"/>
      <c r="N55" s="137" t="e">
        <f t="shared" si="3"/>
        <v>#REF!</v>
      </c>
    </row>
    <row r="56" spans="1:14" ht="15.75" hidden="1" x14ac:dyDescent="0.25">
      <c r="A56" s="134"/>
      <c r="B56" s="139"/>
      <c r="C56" s="69"/>
      <c r="D56" s="254"/>
      <c r="E56" s="69"/>
      <c r="F56" s="111">
        <f t="shared" si="2"/>
        <v>0</v>
      </c>
      <c r="I56" s="356"/>
      <c r="J56" s="357"/>
      <c r="K56" s="34"/>
      <c r="L56" s="118"/>
      <c r="M56" s="34"/>
      <c r="N56" s="137" t="e">
        <f t="shared" si="3"/>
        <v>#REF!</v>
      </c>
    </row>
    <row r="57" spans="1:14" ht="15.75" hidden="1" x14ac:dyDescent="0.25">
      <c r="A57" s="134"/>
      <c r="B57" s="139"/>
      <c r="C57" s="69"/>
      <c r="D57" s="254"/>
      <c r="E57" s="69"/>
      <c r="F57" s="111">
        <f t="shared" si="2"/>
        <v>0</v>
      </c>
      <c r="I57" s="356"/>
      <c r="J57" s="357"/>
      <c r="K57" s="34"/>
      <c r="L57" s="118"/>
      <c r="M57" s="34"/>
      <c r="N57" s="137" t="e">
        <f t="shared" si="3"/>
        <v>#REF!</v>
      </c>
    </row>
    <row r="58" spans="1:14" ht="15.75" hidden="1" x14ac:dyDescent="0.25">
      <c r="A58" s="356"/>
      <c r="B58" s="357"/>
      <c r="C58" s="34"/>
      <c r="D58" s="118"/>
      <c r="E58" s="34"/>
      <c r="F58" s="111">
        <f t="shared" si="2"/>
        <v>0</v>
      </c>
      <c r="I58" s="356"/>
      <c r="J58" s="357"/>
      <c r="K58" s="34"/>
      <c r="L58" s="118"/>
      <c r="M58" s="34"/>
      <c r="N58" s="137" t="e">
        <f t="shared" si="3"/>
        <v>#REF!</v>
      </c>
    </row>
    <row r="59" spans="1:14" ht="15.75" hidden="1" x14ac:dyDescent="0.25">
      <c r="A59" s="134"/>
      <c r="B59" s="139"/>
      <c r="C59" s="69"/>
      <c r="D59" s="254"/>
      <c r="E59" s="69"/>
      <c r="F59" s="111">
        <f t="shared" si="2"/>
        <v>0</v>
      </c>
      <c r="I59" s="134"/>
      <c r="J59" s="139"/>
      <c r="K59" s="69"/>
      <c r="L59" s="254"/>
      <c r="M59" s="69"/>
      <c r="N59" s="137" t="e">
        <f t="shared" si="3"/>
        <v>#REF!</v>
      </c>
    </row>
    <row r="60" spans="1:14" ht="15.75" hidden="1" x14ac:dyDescent="0.25">
      <c r="A60" s="134"/>
      <c r="B60" s="139"/>
      <c r="C60" s="69"/>
      <c r="D60" s="254"/>
      <c r="E60" s="69"/>
      <c r="F60" s="111">
        <f t="shared" si="2"/>
        <v>0</v>
      </c>
      <c r="I60" s="134"/>
      <c r="J60" s="139"/>
      <c r="K60" s="69"/>
      <c r="L60" s="254"/>
      <c r="M60" s="69"/>
      <c r="N60" s="137" t="e">
        <f t="shared" si="3"/>
        <v>#REF!</v>
      </c>
    </row>
    <row r="61" spans="1:14" ht="15.75" hidden="1" x14ac:dyDescent="0.25">
      <c r="A61" s="134"/>
      <c r="B61" s="139"/>
      <c r="C61" s="69"/>
      <c r="D61" s="254"/>
      <c r="E61" s="69"/>
      <c r="F61" s="111">
        <f t="shared" si="2"/>
        <v>0</v>
      </c>
      <c r="I61" s="134"/>
      <c r="J61" s="139"/>
      <c r="K61" s="69"/>
      <c r="L61" s="254"/>
      <c r="M61" s="69"/>
      <c r="N61" s="137" t="e">
        <f t="shared" si="3"/>
        <v>#REF!</v>
      </c>
    </row>
    <row r="62" spans="1:14" ht="15.75" hidden="1" x14ac:dyDescent="0.25">
      <c r="A62" s="134"/>
      <c r="B62" s="139"/>
      <c r="C62" s="69"/>
      <c r="D62" s="254"/>
      <c r="E62" s="69"/>
      <c r="F62" s="111">
        <f t="shared" si="2"/>
        <v>0</v>
      </c>
      <c r="I62" s="134"/>
      <c r="J62" s="139"/>
      <c r="K62" s="69"/>
      <c r="L62" s="254"/>
      <c r="M62" s="69"/>
      <c r="N62" s="137" t="e">
        <f t="shared" si="3"/>
        <v>#REF!</v>
      </c>
    </row>
    <row r="63" spans="1:14" ht="15.75" hidden="1" x14ac:dyDescent="0.25">
      <c r="A63" s="134"/>
      <c r="B63" s="139"/>
      <c r="C63" s="69"/>
      <c r="D63" s="254"/>
      <c r="E63" s="69"/>
      <c r="F63" s="111">
        <f t="shared" si="2"/>
        <v>0</v>
      </c>
      <c r="I63" s="134"/>
      <c r="J63" s="139"/>
      <c r="K63" s="69"/>
      <c r="L63" s="254"/>
      <c r="M63" s="69"/>
      <c r="N63" s="137" t="e">
        <f t="shared" si="3"/>
        <v>#REF!</v>
      </c>
    </row>
    <row r="64" spans="1:14" ht="15.75" hidden="1" x14ac:dyDescent="0.25">
      <c r="A64" s="134"/>
      <c r="B64" s="139"/>
      <c r="C64" s="69"/>
      <c r="D64" s="254"/>
      <c r="E64" s="69"/>
      <c r="F64" s="111">
        <f t="shared" si="2"/>
        <v>0</v>
      </c>
      <c r="I64" s="134"/>
      <c r="J64" s="139"/>
      <c r="K64" s="69"/>
      <c r="L64" s="254"/>
      <c r="M64" s="69"/>
      <c r="N64" s="137" t="e">
        <f t="shared" si="3"/>
        <v>#REF!</v>
      </c>
    </row>
    <row r="65" spans="1:14" ht="15.75" hidden="1" x14ac:dyDescent="0.25">
      <c r="A65" s="134"/>
      <c r="B65" s="139"/>
      <c r="C65" s="69"/>
      <c r="D65" s="254"/>
      <c r="E65" s="69"/>
      <c r="F65" s="111">
        <f t="shared" si="2"/>
        <v>0</v>
      </c>
      <c r="I65" s="134"/>
      <c r="J65" s="139"/>
      <c r="K65" s="69"/>
      <c r="L65" s="254"/>
      <c r="M65" s="69"/>
      <c r="N65" s="137" t="e">
        <f t="shared" si="3"/>
        <v>#REF!</v>
      </c>
    </row>
    <row r="66" spans="1:14" ht="15.75" hidden="1" x14ac:dyDescent="0.25">
      <c r="A66" s="134"/>
      <c r="B66" s="139"/>
      <c r="C66" s="69"/>
      <c r="D66" s="254"/>
      <c r="E66" s="69"/>
      <c r="F66" s="111">
        <f t="shared" si="2"/>
        <v>0</v>
      </c>
      <c r="I66" s="134"/>
      <c r="J66" s="139"/>
      <c r="K66" s="69"/>
      <c r="L66" s="254"/>
      <c r="M66" s="69"/>
      <c r="N66" s="137" t="e">
        <f t="shared" si="3"/>
        <v>#REF!</v>
      </c>
    </row>
    <row r="67" spans="1:14" ht="15.75" hidden="1" x14ac:dyDescent="0.25">
      <c r="A67" s="134"/>
      <c r="B67" s="139"/>
      <c r="C67" s="69"/>
      <c r="D67" s="254"/>
      <c r="E67" s="69"/>
      <c r="F67" s="111">
        <f t="shared" si="2"/>
        <v>0</v>
      </c>
      <c r="I67" s="134"/>
      <c r="J67" s="139"/>
      <c r="K67" s="69"/>
      <c r="L67" s="254"/>
      <c r="M67" s="69"/>
      <c r="N67" s="137" t="e">
        <f t="shared" si="3"/>
        <v>#REF!</v>
      </c>
    </row>
    <row r="68" spans="1:14" ht="15.75" hidden="1" x14ac:dyDescent="0.25">
      <c r="A68" s="134"/>
      <c r="B68" s="139"/>
      <c r="C68" s="69"/>
      <c r="D68" s="254"/>
      <c r="E68" s="69"/>
      <c r="F68" s="111">
        <f t="shared" si="2"/>
        <v>0</v>
      </c>
      <c r="I68" s="134"/>
      <c r="J68" s="139"/>
      <c r="K68" s="69"/>
      <c r="L68" s="254"/>
      <c r="M68" s="69"/>
      <c r="N68" s="137" t="e">
        <f t="shared" si="3"/>
        <v>#REF!</v>
      </c>
    </row>
    <row r="69" spans="1:14" ht="16.5" thickBot="1" x14ac:dyDescent="0.3">
      <c r="A69" s="149"/>
      <c r="B69" s="210"/>
      <c r="C69" s="34">
        <v>0</v>
      </c>
      <c r="D69" s="255"/>
      <c r="E69" s="151"/>
      <c r="F69" s="137">
        <v>0</v>
      </c>
      <c r="I69" s="149"/>
      <c r="J69" s="150"/>
      <c r="K69" s="151">
        <v>0</v>
      </c>
      <c r="L69" s="255"/>
      <c r="M69" s="151"/>
      <c r="N69" s="137"/>
    </row>
    <row r="70" spans="1:14" ht="21.75" thickTop="1" x14ac:dyDescent="0.35">
      <c r="B70" s="440"/>
      <c r="C70" s="212">
        <f>SUM(C3:C69)</f>
        <v>1572197.2999999993</v>
      </c>
      <c r="D70" s="407"/>
      <c r="E70" s="395">
        <f>SUM(E3:E69)</f>
        <v>1572197.2999999993</v>
      </c>
      <c r="F70" s="153">
        <f>SUM(F3:F69)</f>
        <v>0</v>
      </c>
      <c r="K70" s="642">
        <f>SUM(K3:K69)</f>
        <v>415797.86</v>
      </c>
      <c r="L70" s="713"/>
      <c r="M70" s="209">
        <f>SUM(M3:M69)</f>
        <v>415797.86</v>
      </c>
      <c r="N70" s="153">
        <f>N69</f>
        <v>0</v>
      </c>
    </row>
    <row r="71" spans="1:14" ht="15.75" thickBot="1" x14ac:dyDescent="0.3">
      <c r="B71" s="441"/>
      <c r="C71" s="214"/>
      <c r="D71" s="256"/>
      <c r="E71" s="3"/>
      <c r="F71" s="888" t="s">
        <v>207</v>
      </c>
      <c r="K71" s="1"/>
      <c r="L71" s="256"/>
      <c r="M71" s="3"/>
      <c r="N71" s="1"/>
    </row>
    <row r="72" spans="1:14" x14ac:dyDescent="0.25">
      <c r="B72" s="163"/>
      <c r="C72" s="1"/>
      <c r="D72" s="256"/>
      <c r="E72" s="3"/>
      <c r="F72" s="889"/>
      <c r="K72" s="1"/>
      <c r="L72" s="256"/>
      <c r="M72" s="3"/>
      <c r="N72" s="1"/>
    </row>
    <row r="73" spans="1:14" ht="16.5" thickBot="1" x14ac:dyDescent="0.3">
      <c r="A73" s="456"/>
      <c r="B73" s="442"/>
      <c r="H73" s="2"/>
      <c r="I73" s="14"/>
      <c r="J73" s="503"/>
      <c r="K73" s="6"/>
      <c r="L73" s="714"/>
      <c r="M73" s="6"/>
    </row>
    <row r="74" spans="1:14" x14ac:dyDescent="0.25">
      <c r="A74" s="456"/>
      <c r="B74" s="442"/>
      <c r="I74" s="926" t="s">
        <v>594</v>
      </c>
      <c r="J74" s="927"/>
    </row>
    <row r="75" spans="1:14" ht="19.5" thickBot="1" x14ac:dyDescent="0.35">
      <c r="A75" s="456"/>
      <c r="B75" s="649"/>
      <c r="C75" s="233"/>
      <c r="D75" s="650"/>
      <c r="E75" s="519"/>
      <c r="F75" s="111"/>
      <c r="I75" s="928"/>
      <c r="J75" s="929"/>
    </row>
    <row r="76" spans="1:14" ht="15.75" x14ac:dyDescent="0.25">
      <c r="A76" s="456"/>
      <c r="B76" s="510"/>
      <c r="C76" s="233"/>
      <c r="D76" s="651"/>
      <c r="F76" s="96"/>
      <c r="I76"/>
      <c r="J76" s="194"/>
      <c r="N76"/>
    </row>
    <row r="77" spans="1:14" ht="15.75" x14ac:dyDescent="0.25">
      <c r="A77" s="456"/>
      <c r="B77" s="510"/>
      <c r="C77" s="233"/>
      <c r="D77" s="651"/>
      <c r="F77" s="96"/>
      <c r="I77"/>
      <c r="J77" s="194"/>
      <c r="N77"/>
    </row>
    <row r="78" spans="1:14" ht="15.75" x14ac:dyDescent="0.25">
      <c r="A78" s="509"/>
      <c r="B78" s="510"/>
      <c r="C78" s="233"/>
      <c r="D78" s="651"/>
      <c r="F78" s="96"/>
      <c r="I78"/>
      <c r="J78" s="194"/>
      <c r="N78"/>
    </row>
    <row r="79" spans="1:14" ht="15.75" x14ac:dyDescent="0.25">
      <c r="A79" s="509"/>
      <c r="B79" s="510"/>
      <c r="C79" s="233"/>
      <c r="D79" s="651"/>
      <c r="F79" s="96"/>
      <c r="I79"/>
      <c r="J79" s="194"/>
      <c r="N79"/>
    </row>
    <row r="80" spans="1:14" ht="15.75" x14ac:dyDescent="0.25">
      <c r="A80" s="511"/>
      <c r="B80" s="512"/>
      <c r="C80" s="233"/>
      <c r="D80" s="651"/>
      <c r="F80" s="96"/>
      <c r="I80"/>
      <c r="J80" s="194"/>
      <c r="N80"/>
    </row>
    <row r="81" spans="1:14" ht="15.75" x14ac:dyDescent="0.25">
      <c r="A81" s="511"/>
      <c r="B81" s="512"/>
      <c r="C81" s="233"/>
      <c r="D81" s="651"/>
      <c r="F81" s="96"/>
      <c r="I81"/>
      <c r="J81" s="194"/>
      <c r="N81"/>
    </row>
    <row r="82" spans="1:14" ht="15.75" x14ac:dyDescent="0.25">
      <c r="A82" s="511"/>
      <c r="B82" s="512"/>
      <c r="C82" s="233"/>
      <c r="D82" s="651"/>
      <c r="F82" s="96"/>
      <c r="I82"/>
      <c r="J82" s="194"/>
      <c r="N82"/>
    </row>
    <row r="83" spans="1:14" ht="15.75" x14ac:dyDescent="0.25">
      <c r="A83" s="511"/>
      <c r="B83" s="512"/>
      <c r="C83" s="233"/>
      <c r="D83" s="651"/>
      <c r="F83" s="96"/>
      <c r="I83"/>
      <c r="J83" s="194"/>
      <c r="N83"/>
    </row>
    <row r="84" spans="1:14" ht="15.75" x14ac:dyDescent="0.25">
      <c r="A84" s="511"/>
      <c r="B84" s="512"/>
      <c r="C84" s="233"/>
      <c r="F84" s="111"/>
      <c r="I84"/>
      <c r="J84" s="194"/>
      <c r="N84"/>
    </row>
    <row r="85" spans="1:14" ht="15.75" x14ac:dyDescent="0.25">
      <c r="A85" s="509"/>
      <c r="B85" s="510"/>
      <c r="C85" s="129"/>
      <c r="E85"/>
      <c r="F85" s="111"/>
      <c r="I85"/>
      <c r="J85" s="194"/>
      <c r="M85"/>
      <c r="N85"/>
    </row>
    <row r="86" spans="1:14" ht="15.75" x14ac:dyDescent="0.25">
      <c r="A86" s="456"/>
      <c r="B86" s="442"/>
      <c r="E86"/>
      <c r="F86" s="111"/>
      <c r="I86"/>
      <c r="J86" s="194"/>
      <c r="M86"/>
      <c r="N86"/>
    </row>
    <row r="87" spans="1:14" ht="15.75" x14ac:dyDescent="0.25">
      <c r="A87" s="456"/>
      <c r="B87" s="442"/>
      <c r="E87"/>
      <c r="F87" s="111"/>
      <c r="I87"/>
      <c r="J87" s="194"/>
      <c r="M87"/>
      <c r="N87"/>
    </row>
    <row r="88" spans="1:14" ht="16.5" thickBot="1" x14ac:dyDescent="0.3">
      <c r="A88" s="454"/>
      <c r="B88" s="246"/>
      <c r="C88" s="111"/>
      <c r="E88"/>
      <c r="F88" s="111"/>
      <c r="I88"/>
      <c r="J88" s="194"/>
      <c r="M88"/>
      <c r="N88"/>
    </row>
    <row r="89" spans="1:14" ht="18.75" x14ac:dyDescent="0.25">
      <c r="A89" s="977" t="s">
        <v>804</v>
      </c>
      <c r="B89" s="978"/>
      <c r="C89" s="978"/>
      <c r="E89"/>
      <c r="F89" s="111"/>
      <c r="I89"/>
      <c r="J89" s="194"/>
      <c r="M89"/>
      <c r="N89"/>
    </row>
    <row r="90" spans="1:14" ht="18.75" x14ac:dyDescent="0.3">
      <c r="A90" s="454"/>
      <c r="B90" s="979" t="s">
        <v>805</v>
      </c>
      <c r="C90" s="980"/>
      <c r="E90"/>
      <c r="F90" s="111"/>
      <c r="I90"/>
      <c r="J90" s="194"/>
      <c r="M90"/>
      <c r="N90"/>
    </row>
    <row r="91" spans="1:14" ht="15.75" x14ac:dyDescent="0.25">
      <c r="A91" s="454">
        <v>44699</v>
      </c>
      <c r="B91" s="246" t="s">
        <v>794</v>
      </c>
      <c r="C91" s="588">
        <v>73144.72</v>
      </c>
      <c r="E91"/>
      <c r="F91" s="111"/>
      <c r="J91" s="194"/>
      <c r="M91"/>
    </row>
    <row r="92" spans="1:14" ht="15.75" x14ac:dyDescent="0.25">
      <c r="A92" s="454">
        <v>44700</v>
      </c>
      <c r="B92" s="580" t="s">
        <v>803</v>
      </c>
      <c r="C92" s="588">
        <v>54053.32</v>
      </c>
      <c r="E92"/>
      <c r="F92" s="111"/>
      <c r="J92" s="194"/>
      <c r="M92"/>
    </row>
    <row r="93" spans="1:14" ht="15.75" x14ac:dyDescent="0.25">
      <c r="A93" s="454">
        <v>44701</v>
      </c>
      <c r="B93" s="246" t="s">
        <v>799</v>
      </c>
      <c r="C93" s="588">
        <v>101400.66</v>
      </c>
      <c r="E93"/>
      <c r="F93" s="111"/>
      <c r="J93" s="194"/>
      <c r="M93"/>
    </row>
    <row r="94" spans="1:14" ht="15.75" x14ac:dyDescent="0.25">
      <c r="A94" s="454">
        <v>44702</v>
      </c>
      <c r="B94" s="246" t="s">
        <v>800</v>
      </c>
      <c r="C94" s="588">
        <v>185753.4</v>
      </c>
      <c r="E94"/>
      <c r="F94" s="111"/>
      <c r="J94" s="194"/>
      <c r="M94"/>
    </row>
    <row r="95" spans="1:14" ht="15.75" x14ac:dyDescent="0.25">
      <c r="A95" s="454">
        <v>44705</v>
      </c>
      <c r="B95" s="246" t="s">
        <v>801</v>
      </c>
      <c r="C95" s="588">
        <v>72323.33</v>
      </c>
      <c r="E95"/>
      <c r="F95" s="111"/>
      <c r="J95" s="194"/>
      <c r="M95"/>
    </row>
    <row r="96" spans="1:14" ht="15.75" x14ac:dyDescent="0.25">
      <c r="A96" s="454">
        <v>44706</v>
      </c>
      <c r="B96" s="246" t="s">
        <v>802</v>
      </c>
      <c r="C96" s="588">
        <v>138449.44</v>
      </c>
      <c r="E96"/>
      <c r="F96" s="111"/>
      <c r="J96" s="194"/>
      <c r="M96"/>
    </row>
    <row r="97" spans="1:13" ht="15.75" x14ac:dyDescent="0.25">
      <c r="A97"/>
      <c r="B97" s="658"/>
      <c r="C97" s="975">
        <f>SUM(C91:C96)</f>
        <v>625124.87</v>
      </c>
      <c r="E97"/>
      <c r="F97" s="111"/>
      <c r="J97" s="194"/>
      <c r="M97"/>
    </row>
    <row r="98" spans="1:13" ht="15.75" x14ac:dyDescent="0.25">
      <c r="A98"/>
      <c r="B98" s="659" t="s">
        <v>881</v>
      </c>
      <c r="C98" s="976"/>
      <c r="E98"/>
      <c r="F98" s="127">
        <v>0</v>
      </c>
      <c r="J98" s="194"/>
      <c r="M98"/>
    </row>
    <row r="99" spans="1:13" ht="15.75" x14ac:dyDescent="0.25">
      <c r="A99"/>
      <c r="B99" s="659" t="s">
        <v>914</v>
      </c>
      <c r="C99" s="658"/>
      <c r="E99"/>
      <c r="F99" s="3">
        <f>SUM(F75:F98)</f>
        <v>0</v>
      </c>
      <c r="J99" s="194"/>
      <c r="M99"/>
    </row>
    <row r="100" spans="1:13" x14ac:dyDescent="0.25">
      <c r="B100" s="442"/>
      <c r="J100" s="194"/>
    </row>
    <row r="101" spans="1:13" x14ac:dyDescent="0.25">
      <c r="B101" s="442"/>
      <c r="J101" s="194"/>
    </row>
    <row r="102" spans="1:13" x14ac:dyDescent="0.25">
      <c r="B102" s="442"/>
      <c r="J102" s="194"/>
    </row>
    <row r="103" spans="1:13" x14ac:dyDescent="0.25">
      <c r="B103" s="442"/>
      <c r="J103" s="194"/>
    </row>
    <row r="104" spans="1:13" x14ac:dyDescent="0.25">
      <c r="B104" s="442"/>
      <c r="J104" s="194"/>
    </row>
    <row r="105" spans="1:13" x14ac:dyDescent="0.25">
      <c r="B105" s="442"/>
      <c r="J105" s="194"/>
    </row>
    <row r="106" spans="1:13" ht="18.75" x14ac:dyDescent="0.3">
      <c r="C106" s="154"/>
      <c r="K106" s="154"/>
    </row>
  </sheetData>
  <sortState ref="A18:C19">
    <sortCondition ref="B18:B19"/>
  </sortState>
  <mergeCells count="6">
    <mergeCell ref="I38:J40"/>
    <mergeCell ref="F71:F72"/>
    <mergeCell ref="I74:J75"/>
    <mergeCell ref="C97:C98"/>
    <mergeCell ref="A89:C89"/>
    <mergeCell ref="B90:C90"/>
  </mergeCells>
  <pageMargins left="0.7" right="0.7" top="0.75" bottom="0.75" header="0.3" footer="0.3"/>
  <pageSetup orientation="landscape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FF"/>
  </sheetPr>
  <dimension ref="A1:R97"/>
  <sheetViews>
    <sheetView topLeftCell="A43" workbookViewId="0">
      <selection activeCell="C43" sqref="C43"/>
    </sheetView>
  </sheetViews>
  <sheetFormatPr baseColWidth="10" defaultRowHeight="15.75" x14ac:dyDescent="0.25"/>
  <cols>
    <col min="1" max="1" width="2.85546875" customWidth="1"/>
    <col min="2" max="2" width="12.42578125" style="551" customWidth="1"/>
    <col min="3" max="3" width="15.5703125" style="4" bestFit="1" customWidth="1"/>
    <col min="4" max="4" width="15.28515625" customWidth="1"/>
    <col min="5" max="5" width="11.42578125" style="552"/>
    <col min="6" max="6" width="15.28515625" style="4" customWidth="1"/>
    <col min="7" max="7" width="1.85546875" style="552" customWidth="1"/>
    <col min="8" max="8" width="11.85546875" style="552" customWidth="1"/>
    <col min="9" max="9" width="15.7109375" style="4" customWidth="1"/>
    <col min="10" max="10" width="11.7109375" style="12" customWidth="1"/>
    <col min="11" max="11" width="14.42578125" style="561" customWidth="1"/>
    <col min="12" max="12" width="14.5703125" style="3" customWidth="1"/>
    <col min="13" max="13" width="17.5703125" style="4" bestFit="1" customWidth="1"/>
    <col min="14" max="14" width="17.5703125" style="1" bestFit="1" customWidth="1"/>
    <col min="15" max="15" width="8.85546875" style="577" bestFit="1" customWidth="1"/>
    <col min="16" max="16" width="16.85546875" customWidth="1"/>
    <col min="17" max="17" width="21.28515625" style="225" customWidth="1"/>
    <col min="18" max="18" width="15.28515625" style="227" customWidth="1"/>
  </cols>
  <sheetData>
    <row r="1" spans="1:18" ht="23.25" x14ac:dyDescent="0.35">
      <c r="B1" s="826"/>
      <c r="C1" s="892" t="s">
        <v>882</v>
      </c>
      <c r="D1" s="893"/>
      <c r="E1" s="893"/>
      <c r="F1" s="893"/>
      <c r="G1" s="893"/>
      <c r="H1" s="893"/>
      <c r="I1" s="893"/>
      <c r="J1" s="893"/>
      <c r="K1" s="893"/>
      <c r="L1" s="893"/>
      <c r="M1" s="893"/>
    </row>
    <row r="2" spans="1:18" ht="16.5" thickBot="1" x14ac:dyDescent="0.3">
      <c r="B2" s="827"/>
      <c r="C2" s="3"/>
      <c r="H2" s="5"/>
      <c r="I2" s="6"/>
      <c r="J2" s="7"/>
      <c r="L2" s="8"/>
      <c r="M2" s="6"/>
      <c r="N2" s="9"/>
    </row>
    <row r="3" spans="1:18" ht="21.75" thickBot="1" x14ac:dyDescent="0.35">
      <c r="B3" s="830" t="s">
        <v>0</v>
      </c>
      <c r="C3" s="831"/>
      <c r="D3" s="10"/>
      <c r="E3" s="553"/>
      <c r="F3" s="11"/>
      <c r="H3" s="832" t="s">
        <v>26</v>
      </c>
      <c r="I3" s="832"/>
      <c r="K3" s="165"/>
      <c r="L3" s="13"/>
      <c r="M3" s="14"/>
      <c r="P3" s="869" t="s">
        <v>6</v>
      </c>
      <c r="R3" s="890" t="s">
        <v>216</v>
      </c>
    </row>
    <row r="4" spans="1:18" ht="32.25" thickTop="1" thickBot="1" x14ac:dyDescent="0.35">
      <c r="A4" s="15" t="s">
        <v>1</v>
      </c>
      <c r="B4" s="16"/>
      <c r="C4" s="17">
        <v>2546982.16</v>
      </c>
      <c r="D4" s="18">
        <v>44710</v>
      </c>
      <c r="E4" s="833" t="s">
        <v>2</v>
      </c>
      <c r="F4" s="834"/>
      <c r="H4" s="835" t="s">
        <v>3</v>
      </c>
      <c r="I4" s="836"/>
      <c r="J4" s="556"/>
      <c r="K4" s="562"/>
      <c r="L4" s="563"/>
      <c r="M4" s="21" t="s">
        <v>4</v>
      </c>
      <c r="N4" s="22" t="s">
        <v>5</v>
      </c>
      <c r="P4" s="870"/>
      <c r="Q4" s="322" t="s">
        <v>217</v>
      </c>
      <c r="R4" s="891"/>
    </row>
    <row r="5" spans="1:18" ht="18" thickBot="1" x14ac:dyDescent="0.35">
      <c r="A5" s="23" t="s">
        <v>7</v>
      </c>
      <c r="B5" s="24">
        <v>44711</v>
      </c>
      <c r="C5" s="25">
        <v>17042</v>
      </c>
      <c r="D5" s="26" t="s">
        <v>899</v>
      </c>
      <c r="E5" s="27">
        <v>44711</v>
      </c>
      <c r="F5" s="28">
        <v>110439</v>
      </c>
      <c r="G5" s="572"/>
      <c r="H5" s="29">
        <v>44711</v>
      </c>
      <c r="I5" s="30">
        <v>4048</v>
      </c>
      <c r="J5" s="37"/>
      <c r="K5" s="31"/>
      <c r="L5" s="9"/>
      <c r="M5" s="32">
        <v>52084</v>
      </c>
      <c r="N5" s="33">
        <v>37265</v>
      </c>
      <c r="O5" s="655" t="s">
        <v>900</v>
      </c>
      <c r="P5" s="34">
        <f>N5+M5+L5+I5+C5</f>
        <v>110439</v>
      </c>
      <c r="Q5" s="325">
        <f>P5-F5</f>
        <v>0</v>
      </c>
      <c r="R5" s="379">
        <v>0</v>
      </c>
    </row>
    <row r="6" spans="1:18" ht="18" thickBot="1" x14ac:dyDescent="0.35">
      <c r="A6" s="23"/>
      <c r="B6" s="24">
        <v>44712</v>
      </c>
      <c r="C6" s="25">
        <v>15711</v>
      </c>
      <c r="D6" s="35" t="s">
        <v>902</v>
      </c>
      <c r="E6" s="27">
        <v>44712</v>
      </c>
      <c r="F6" s="28">
        <v>96326</v>
      </c>
      <c r="G6" s="572"/>
      <c r="H6" s="29">
        <v>44712</v>
      </c>
      <c r="I6" s="30">
        <v>1150</v>
      </c>
      <c r="J6" s="37"/>
      <c r="K6" s="38"/>
      <c r="L6" s="39"/>
      <c r="M6" s="32">
        <f>54287+6912</f>
        <v>61199</v>
      </c>
      <c r="N6" s="33">
        <v>18266</v>
      </c>
      <c r="O6" s="655" t="s">
        <v>900</v>
      </c>
      <c r="P6" s="39">
        <f>N6+M6+L6+I6+C6</f>
        <v>96326</v>
      </c>
      <c r="Q6" s="325">
        <f t="shared" ref="Q6:Q38" si="0">P6-F6</f>
        <v>0</v>
      </c>
      <c r="R6" s="319">
        <v>0</v>
      </c>
    </row>
    <row r="7" spans="1:18" ht="18" thickBot="1" x14ac:dyDescent="0.35">
      <c r="A7" s="23"/>
      <c r="B7" s="24">
        <v>44713</v>
      </c>
      <c r="C7" s="25">
        <v>15653</v>
      </c>
      <c r="D7" s="40" t="s">
        <v>901</v>
      </c>
      <c r="E7" s="27">
        <v>44713</v>
      </c>
      <c r="F7" s="28">
        <v>109178</v>
      </c>
      <c r="G7" s="572"/>
      <c r="H7" s="29">
        <v>44713</v>
      </c>
      <c r="I7" s="30">
        <v>572</v>
      </c>
      <c r="J7" s="37"/>
      <c r="K7" s="38"/>
      <c r="L7" s="39"/>
      <c r="M7" s="32">
        <v>50064</v>
      </c>
      <c r="N7" s="33">
        <v>44301</v>
      </c>
      <c r="O7" s="655" t="s">
        <v>900</v>
      </c>
      <c r="P7" s="39">
        <f>N7+M7+L7+I7+C7</f>
        <v>110590</v>
      </c>
      <c r="Q7" s="325">
        <v>0</v>
      </c>
      <c r="R7" s="388">
        <v>1412</v>
      </c>
    </row>
    <row r="8" spans="1:18" ht="18" thickBot="1" x14ac:dyDescent="0.35">
      <c r="A8" s="23"/>
      <c r="B8" s="24">
        <v>44714</v>
      </c>
      <c r="C8" s="25">
        <v>22345.5</v>
      </c>
      <c r="D8" s="42" t="s">
        <v>903</v>
      </c>
      <c r="E8" s="27">
        <v>44714</v>
      </c>
      <c r="F8" s="28">
        <v>88582</v>
      </c>
      <c r="G8" s="572"/>
      <c r="H8" s="29">
        <v>44714</v>
      </c>
      <c r="I8" s="30">
        <v>5862</v>
      </c>
      <c r="J8" s="43"/>
      <c r="K8" s="38"/>
      <c r="L8" s="39"/>
      <c r="M8" s="32">
        <v>61007.5</v>
      </c>
      <c r="N8" s="33">
        <v>26720</v>
      </c>
      <c r="O8" s="655" t="s">
        <v>900</v>
      </c>
      <c r="P8" s="39">
        <f t="shared" ref="P8:P40" si="1">N8+M8+L8+I8+C8</f>
        <v>115935</v>
      </c>
      <c r="Q8" s="325">
        <v>0</v>
      </c>
      <c r="R8" s="388">
        <v>27353</v>
      </c>
    </row>
    <row r="9" spans="1:18" ht="18" thickBot="1" x14ac:dyDescent="0.35">
      <c r="A9" s="23"/>
      <c r="B9" s="24">
        <v>44715</v>
      </c>
      <c r="C9" s="25">
        <v>8782</v>
      </c>
      <c r="D9" s="42" t="s">
        <v>904</v>
      </c>
      <c r="E9" s="27">
        <v>44715</v>
      </c>
      <c r="F9" s="28">
        <v>128259</v>
      </c>
      <c r="G9" s="572"/>
      <c r="H9" s="29">
        <v>44715</v>
      </c>
      <c r="I9" s="30">
        <v>1227</v>
      </c>
      <c r="J9" s="37"/>
      <c r="K9" s="223"/>
      <c r="L9" s="39"/>
      <c r="M9" s="32">
        <f>76511+4438</f>
        <v>80949</v>
      </c>
      <c r="N9" s="33">
        <v>37301</v>
      </c>
      <c r="O9" s="655" t="s">
        <v>900</v>
      </c>
      <c r="P9" s="39">
        <f t="shared" si="1"/>
        <v>128259</v>
      </c>
      <c r="Q9" s="325">
        <f t="shared" si="0"/>
        <v>0</v>
      </c>
      <c r="R9" s="319">
        <v>0</v>
      </c>
    </row>
    <row r="10" spans="1:18" ht="18" thickBot="1" x14ac:dyDescent="0.35">
      <c r="A10" s="23"/>
      <c r="B10" s="24">
        <v>44716</v>
      </c>
      <c r="C10" s="25">
        <v>8510</v>
      </c>
      <c r="D10" s="40" t="s">
        <v>905</v>
      </c>
      <c r="E10" s="27">
        <v>44716</v>
      </c>
      <c r="F10" s="28">
        <v>117678</v>
      </c>
      <c r="G10" s="572"/>
      <c r="H10" s="29">
        <v>44716</v>
      </c>
      <c r="I10" s="30">
        <v>4904</v>
      </c>
      <c r="J10" s="37">
        <v>44716</v>
      </c>
      <c r="K10" s="167" t="s">
        <v>906</v>
      </c>
      <c r="L10" s="45">
        <v>17900.55</v>
      </c>
      <c r="M10" s="32">
        <v>43736</v>
      </c>
      <c r="N10" s="33">
        <v>42627</v>
      </c>
      <c r="O10" s="655" t="s">
        <v>900</v>
      </c>
      <c r="P10" s="39">
        <f>N10+M10+L10+I10+C10</f>
        <v>117677.55</v>
      </c>
      <c r="Q10" s="325">
        <f t="shared" si="0"/>
        <v>-0.44999999999708962</v>
      </c>
      <c r="R10" s="319">
        <v>0</v>
      </c>
    </row>
    <row r="11" spans="1:18" ht="18" thickBot="1" x14ac:dyDescent="0.35">
      <c r="A11" s="23"/>
      <c r="B11" s="24">
        <v>44717</v>
      </c>
      <c r="C11" s="25">
        <v>17196</v>
      </c>
      <c r="D11" s="35" t="s">
        <v>908</v>
      </c>
      <c r="E11" s="27">
        <v>44717</v>
      </c>
      <c r="F11" s="28">
        <v>85270</v>
      </c>
      <c r="G11" s="572"/>
      <c r="H11" s="29">
        <v>44717</v>
      </c>
      <c r="I11" s="30">
        <v>883</v>
      </c>
      <c r="J11" s="43"/>
      <c r="K11" s="168"/>
      <c r="L11" s="39"/>
      <c r="M11" s="32">
        <v>40903</v>
      </c>
      <c r="N11" s="33">
        <v>26288</v>
      </c>
      <c r="O11" s="655" t="s">
        <v>900</v>
      </c>
      <c r="P11" s="39">
        <f t="shared" si="1"/>
        <v>85270</v>
      </c>
      <c r="Q11" s="325">
        <f t="shared" si="0"/>
        <v>0</v>
      </c>
      <c r="R11" s="319">
        <v>0</v>
      </c>
    </row>
    <row r="12" spans="1:18" ht="18" thickBot="1" x14ac:dyDescent="0.35">
      <c r="A12" s="23"/>
      <c r="B12" s="24">
        <v>44718</v>
      </c>
      <c r="C12" s="25">
        <v>19447</v>
      </c>
      <c r="D12" s="35" t="s">
        <v>909</v>
      </c>
      <c r="E12" s="27">
        <v>44718</v>
      </c>
      <c r="F12" s="28">
        <v>114299</v>
      </c>
      <c r="G12" s="572"/>
      <c r="H12" s="29">
        <v>44718</v>
      </c>
      <c r="I12" s="30">
        <v>2475</v>
      </c>
      <c r="J12" s="37"/>
      <c r="K12" s="169"/>
      <c r="L12" s="39"/>
      <c r="M12" s="32">
        <v>38582</v>
      </c>
      <c r="N12" s="33">
        <v>53795</v>
      </c>
      <c r="O12" s="655" t="s">
        <v>900</v>
      </c>
      <c r="P12" s="39">
        <f t="shared" si="1"/>
        <v>114299</v>
      </c>
      <c r="Q12" s="325">
        <f t="shared" si="0"/>
        <v>0</v>
      </c>
      <c r="R12" s="319">
        <v>0</v>
      </c>
    </row>
    <row r="13" spans="1:18" ht="18" thickBot="1" x14ac:dyDescent="0.35">
      <c r="A13" s="23"/>
      <c r="B13" s="24">
        <v>44719</v>
      </c>
      <c r="C13" s="25">
        <v>11837</v>
      </c>
      <c r="D13" s="42" t="s">
        <v>910</v>
      </c>
      <c r="E13" s="27">
        <v>44719</v>
      </c>
      <c r="F13" s="28">
        <v>112515</v>
      </c>
      <c r="G13" s="572"/>
      <c r="H13" s="29">
        <v>44719</v>
      </c>
      <c r="I13" s="30">
        <v>500</v>
      </c>
      <c r="J13" s="37"/>
      <c r="K13" s="38"/>
      <c r="L13" s="39"/>
      <c r="M13" s="32">
        <v>58184</v>
      </c>
      <c r="N13" s="33">
        <v>41994</v>
      </c>
      <c r="O13" s="655" t="s">
        <v>900</v>
      </c>
      <c r="P13" s="39">
        <f t="shared" si="1"/>
        <v>112515</v>
      </c>
      <c r="Q13" s="325">
        <f t="shared" si="0"/>
        <v>0</v>
      </c>
      <c r="R13" s="319">
        <v>0</v>
      </c>
    </row>
    <row r="14" spans="1:18" ht="18" thickBot="1" x14ac:dyDescent="0.35">
      <c r="A14" s="23"/>
      <c r="B14" s="24">
        <v>44720</v>
      </c>
      <c r="C14" s="25">
        <v>2748</v>
      </c>
      <c r="D14" s="40" t="s">
        <v>112</v>
      </c>
      <c r="E14" s="27">
        <v>44720</v>
      </c>
      <c r="F14" s="28">
        <v>83273</v>
      </c>
      <c r="G14" s="572"/>
      <c r="H14" s="29">
        <v>44720</v>
      </c>
      <c r="I14" s="30">
        <v>3968</v>
      </c>
      <c r="J14" s="37"/>
      <c r="K14" s="38"/>
      <c r="L14" s="39"/>
      <c r="M14" s="32">
        <f>4201+45730</f>
        <v>49931</v>
      </c>
      <c r="N14" s="33">
        <v>26626</v>
      </c>
      <c r="O14" s="656" t="s">
        <v>911</v>
      </c>
      <c r="P14" s="39">
        <f t="shared" si="1"/>
        <v>83273</v>
      </c>
      <c r="Q14" s="325">
        <f t="shared" si="0"/>
        <v>0</v>
      </c>
      <c r="R14" s="319">
        <v>0</v>
      </c>
    </row>
    <row r="15" spans="1:18" ht="18" thickBot="1" x14ac:dyDescent="0.35">
      <c r="A15" s="23"/>
      <c r="B15" s="24">
        <v>44721</v>
      </c>
      <c r="C15" s="25">
        <v>19937</v>
      </c>
      <c r="D15" s="40" t="s">
        <v>912</v>
      </c>
      <c r="E15" s="27">
        <v>44721</v>
      </c>
      <c r="F15" s="28">
        <v>100184</v>
      </c>
      <c r="G15" s="572"/>
      <c r="H15" s="29">
        <v>44721</v>
      </c>
      <c r="I15" s="30">
        <v>58</v>
      </c>
      <c r="J15" s="37"/>
      <c r="K15" s="38"/>
      <c r="L15" s="39"/>
      <c r="M15" s="32">
        <v>44700</v>
      </c>
      <c r="N15" s="33">
        <v>35493</v>
      </c>
      <c r="O15" s="657" t="s">
        <v>913</v>
      </c>
      <c r="P15" s="39">
        <f t="shared" si="1"/>
        <v>100188</v>
      </c>
      <c r="Q15" s="325">
        <f t="shared" si="0"/>
        <v>4</v>
      </c>
      <c r="R15" s="319">
        <v>0</v>
      </c>
    </row>
    <row r="16" spans="1:18" ht="18" thickBot="1" x14ac:dyDescent="0.35">
      <c r="A16" s="23"/>
      <c r="B16" s="24">
        <v>44722</v>
      </c>
      <c r="C16" s="25">
        <v>6058</v>
      </c>
      <c r="D16" s="35" t="s">
        <v>923</v>
      </c>
      <c r="E16" s="27">
        <v>44722</v>
      </c>
      <c r="F16" s="28">
        <v>93108</v>
      </c>
      <c r="G16" s="572"/>
      <c r="H16" s="29">
        <v>44722</v>
      </c>
      <c r="I16" s="30">
        <v>3821</v>
      </c>
      <c r="J16" s="37"/>
      <c r="K16" s="169"/>
      <c r="L16" s="9"/>
      <c r="M16" s="32">
        <v>45943</v>
      </c>
      <c r="N16" s="33">
        <v>37286</v>
      </c>
      <c r="O16" s="657" t="s">
        <v>913</v>
      </c>
      <c r="P16" s="39">
        <f t="shared" si="1"/>
        <v>93108</v>
      </c>
      <c r="Q16" s="325">
        <f t="shared" si="0"/>
        <v>0</v>
      </c>
      <c r="R16" s="319">
        <v>0</v>
      </c>
    </row>
    <row r="17" spans="1:18" ht="18" thickBot="1" x14ac:dyDescent="0.35">
      <c r="A17" s="23"/>
      <c r="B17" s="24">
        <v>44723</v>
      </c>
      <c r="C17" s="25">
        <v>20251.5</v>
      </c>
      <c r="D17" s="42" t="s">
        <v>924</v>
      </c>
      <c r="E17" s="27">
        <v>44723</v>
      </c>
      <c r="F17" s="28">
        <v>107583</v>
      </c>
      <c r="G17" s="572"/>
      <c r="H17" s="29">
        <v>44723</v>
      </c>
      <c r="I17" s="30">
        <v>11112</v>
      </c>
      <c r="J17" s="37">
        <v>44723</v>
      </c>
      <c r="K17" s="38" t="s">
        <v>925</v>
      </c>
      <c r="L17" s="45">
        <v>17644</v>
      </c>
      <c r="M17" s="32">
        <v>16613.5</v>
      </c>
      <c r="N17" s="33">
        <v>41982</v>
      </c>
      <c r="O17" s="657" t="s">
        <v>913</v>
      </c>
      <c r="P17" s="39">
        <f t="shared" si="1"/>
        <v>107603</v>
      </c>
      <c r="Q17" s="325">
        <f t="shared" si="0"/>
        <v>20</v>
      </c>
      <c r="R17" s="319">
        <v>0</v>
      </c>
    </row>
    <row r="18" spans="1:18" ht="18" thickBot="1" x14ac:dyDescent="0.35">
      <c r="A18" s="23"/>
      <c r="B18" s="24">
        <v>44724</v>
      </c>
      <c r="C18" s="25">
        <v>39213</v>
      </c>
      <c r="D18" s="35" t="s">
        <v>927</v>
      </c>
      <c r="E18" s="27">
        <v>44724</v>
      </c>
      <c r="F18" s="28">
        <v>101692</v>
      </c>
      <c r="G18" s="572"/>
      <c r="H18" s="29">
        <v>44724</v>
      </c>
      <c r="I18" s="30">
        <v>1779</v>
      </c>
      <c r="J18" s="37"/>
      <c r="K18" s="564"/>
      <c r="L18" s="39"/>
      <c r="M18" s="32">
        <v>17154</v>
      </c>
      <c r="N18" s="33">
        <v>43546</v>
      </c>
      <c r="O18" s="657" t="s">
        <v>913</v>
      </c>
      <c r="P18" s="39">
        <f t="shared" si="1"/>
        <v>101692</v>
      </c>
      <c r="Q18" s="325">
        <f t="shared" si="0"/>
        <v>0</v>
      </c>
      <c r="R18" s="319">
        <v>0</v>
      </c>
    </row>
    <row r="19" spans="1:18" ht="18" customHeight="1" thickBot="1" x14ac:dyDescent="0.35">
      <c r="A19" s="23"/>
      <c r="B19" s="24">
        <v>44725</v>
      </c>
      <c r="C19" s="25">
        <v>15568</v>
      </c>
      <c r="D19" s="35" t="s">
        <v>928</v>
      </c>
      <c r="E19" s="27">
        <v>44725</v>
      </c>
      <c r="F19" s="28">
        <v>103799</v>
      </c>
      <c r="G19" s="572"/>
      <c r="H19" s="29">
        <v>44725</v>
      </c>
      <c r="I19" s="30">
        <v>1784</v>
      </c>
      <c r="J19" s="37"/>
      <c r="K19" s="46"/>
      <c r="L19" s="47"/>
      <c r="M19" s="32">
        <v>50350</v>
      </c>
      <c r="N19" s="33">
        <v>36099</v>
      </c>
      <c r="O19" s="657" t="s">
        <v>913</v>
      </c>
      <c r="P19" s="39">
        <f t="shared" si="1"/>
        <v>103801</v>
      </c>
      <c r="Q19" s="325">
        <f t="shared" si="0"/>
        <v>2</v>
      </c>
      <c r="R19" s="319">
        <v>0</v>
      </c>
    </row>
    <row r="20" spans="1:18" ht="18" customHeight="1" thickBot="1" x14ac:dyDescent="0.35">
      <c r="A20" s="23"/>
      <c r="B20" s="24">
        <v>44726</v>
      </c>
      <c r="C20" s="25">
        <v>14890</v>
      </c>
      <c r="D20" s="35" t="s">
        <v>929</v>
      </c>
      <c r="E20" s="27">
        <v>44726</v>
      </c>
      <c r="F20" s="28">
        <v>85339</v>
      </c>
      <c r="G20" s="572"/>
      <c r="H20" s="29">
        <v>44726</v>
      </c>
      <c r="I20" s="30">
        <v>1413</v>
      </c>
      <c r="J20" s="37"/>
      <c r="K20" s="171"/>
      <c r="L20" s="45"/>
      <c r="M20" s="32">
        <v>44920</v>
      </c>
      <c r="N20" s="33">
        <v>24116</v>
      </c>
      <c r="O20" s="657" t="s">
        <v>913</v>
      </c>
      <c r="P20" s="39">
        <f t="shared" si="1"/>
        <v>85339</v>
      </c>
      <c r="Q20" s="325">
        <f t="shared" si="0"/>
        <v>0</v>
      </c>
      <c r="R20" s="319">
        <v>0</v>
      </c>
    </row>
    <row r="21" spans="1:18" ht="18" thickBot="1" x14ac:dyDescent="0.35">
      <c r="A21" s="23"/>
      <c r="B21" s="24">
        <v>44727</v>
      </c>
      <c r="C21" s="25">
        <v>20445</v>
      </c>
      <c r="D21" s="35" t="s">
        <v>930</v>
      </c>
      <c r="E21" s="27">
        <v>44727</v>
      </c>
      <c r="F21" s="28">
        <v>104472</v>
      </c>
      <c r="G21" s="572"/>
      <c r="H21" s="29">
        <v>44727</v>
      </c>
      <c r="I21" s="30">
        <v>3516.5</v>
      </c>
      <c r="J21" s="37"/>
      <c r="K21" s="565"/>
      <c r="L21" s="45"/>
      <c r="M21" s="32">
        <v>36290.5</v>
      </c>
      <c r="N21" s="33">
        <v>44220</v>
      </c>
      <c r="O21" s="657" t="s">
        <v>913</v>
      </c>
      <c r="P21" s="39">
        <f t="shared" si="1"/>
        <v>104472</v>
      </c>
      <c r="Q21" s="325">
        <f t="shared" si="0"/>
        <v>0</v>
      </c>
      <c r="R21" s="319">
        <v>0</v>
      </c>
    </row>
    <row r="22" spans="1:18" ht="18" thickBot="1" x14ac:dyDescent="0.35">
      <c r="A22" s="23"/>
      <c r="B22" s="24">
        <v>44728</v>
      </c>
      <c r="C22" s="25">
        <v>15995</v>
      </c>
      <c r="D22" s="35" t="s">
        <v>931</v>
      </c>
      <c r="E22" s="27">
        <v>44728</v>
      </c>
      <c r="F22" s="28">
        <v>120324</v>
      </c>
      <c r="G22" s="572"/>
      <c r="H22" s="29">
        <v>44728</v>
      </c>
      <c r="I22" s="30">
        <v>1076</v>
      </c>
      <c r="J22" s="37"/>
      <c r="K22" s="31"/>
      <c r="L22" s="49"/>
      <c r="M22" s="32">
        <v>49576</v>
      </c>
      <c r="N22" s="33">
        <v>53677</v>
      </c>
      <c r="O22" s="657" t="s">
        <v>913</v>
      </c>
      <c r="P22" s="39">
        <f t="shared" si="1"/>
        <v>120324</v>
      </c>
      <c r="Q22" s="325">
        <f t="shared" si="0"/>
        <v>0</v>
      </c>
      <c r="R22" s="319">
        <v>0</v>
      </c>
    </row>
    <row r="23" spans="1:18" ht="18" customHeight="1" thickBot="1" x14ac:dyDescent="0.35">
      <c r="A23" s="23"/>
      <c r="B23" s="24">
        <v>44729</v>
      </c>
      <c r="C23" s="25">
        <v>22532</v>
      </c>
      <c r="D23" s="35" t="s">
        <v>932</v>
      </c>
      <c r="E23" s="27">
        <v>44729</v>
      </c>
      <c r="F23" s="28">
        <v>114878</v>
      </c>
      <c r="G23" s="572"/>
      <c r="H23" s="29">
        <v>44729</v>
      </c>
      <c r="I23" s="30">
        <v>3793</v>
      </c>
      <c r="J23" s="50"/>
      <c r="K23" s="172"/>
      <c r="L23" s="45"/>
      <c r="M23" s="32">
        <v>48123</v>
      </c>
      <c r="N23" s="33">
        <v>40430</v>
      </c>
      <c r="O23" s="657" t="s">
        <v>913</v>
      </c>
      <c r="P23" s="39">
        <f t="shared" si="1"/>
        <v>114878</v>
      </c>
      <c r="Q23" s="325">
        <f t="shared" si="0"/>
        <v>0</v>
      </c>
      <c r="R23" s="319">
        <v>0</v>
      </c>
    </row>
    <row r="24" spans="1:18" ht="18" customHeight="1" thickBot="1" x14ac:dyDescent="0.35">
      <c r="A24" s="23"/>
      <c r="B24" s="24">
        <v>44730</v>
      </c>
      <c r="C24" s="25">
        <v>10538</v>
      </c>
      <c r="D24" s="42" t="s">
        <v>933</v>
      </c>
      <c r="E24" s="27">
        <v>44730</v>
      </c>
      <c r="F24" s="28">
        <v>170128</v>
      </c>
      <c r="G24" s="572"/>
      <c r="H24" s="29">
        <v>44730</v>
      </c>
      <c r="I24" s="30">
        <v>4444</v>
      </c>
      <c r="J24" s="51">
        <v>44730</v>
      </c>
      <c r="K24" s="173" t="s">
        <v>934</v>
      </c>
      <c r="L24" s="52">
        <v>17514</v>
      </c>
      <c r="M24" s="32">
        <v>66300</v>
      </c>
      <c r="N24" s="33">
        <v>71337</v>
      </c>
      <c r="O24" s="657" t="s">
        <v>913</v>
      </c>
      <c r="P24" s="39">
        <f>N24+M24+L24+I24+C24</f>
        <v>170133</v>
      </c>
      <c r="Q24" s="325">
        <f t="shared" si="0"/>
        <v>5</v>
      </c>
      <c r="R24" s="319">
        <v>0</v>
      </c>
    </row>
    <row r="25" spans="1:18" ht="18" thickBot="1" x14ac:dyDescent="0.35">
      <c r="A25" s="23"/>
      <c r="B25" s="24">
        <v>44731</v>
      </c>
      <c r="C25" s="25">
        <v>1035</v>
      </c>
      <c r="D25" s="35" t="s">
        <v>935</v>
      </c>
      <c r="E25" s="27">
        <v>44731</v>
      </c>
      <c r="F25" s="28">
        <v>122175</v>
      </c>
      <c r="G25" s="572"/>
      <c r="H25" s="29">
        <v>44731</v>
      </c>
      <c r="I25" s="30">
        <v>2354</v>
      </c>
      <c r="J25" s="50"/>
      <c r="K25" s="38"/>
      <c r="L25" s="54"/>
      <c r="M25" s="32">
        <v>75117</v>
      </c>
      <c r="N25" s="33">
        <v>43669</v>
      </c>
      <c r="O25" s="657" t="s">
        <v>913</v>
      </c>
      <c r="P25" s="283">
        <f t="shared" si="1"/>
        <v>122175</v>
      </c>
      <c r="Q25" s="325">
        <f t="shared" si="0"/>
        <v>0</v>
      </c>
      <c r="R25" s="319">
        <v>0</v>
      </c>
    </row>
    <row r="26" spans="1:18" ht="18" thickBot="1" x14ac:dyDescent="0.35">
      <c r="A26" s="23"/>
      <c r="B26" s="24">
        <v>44732</v>
      </c>
      <c r="C26" s="25">
        <v>26174</v>
      </c>
      <c r="D26" s="35" t="s">
        <v>936</v>
      </c>
      <c r="E26" s="27">
        <v>44732</v>
      </c>
      <c r="F26" s="28">
        <v>117280</v>
      </c>
      <c r="G26" s="572"/>
      <c r="H26" s="29">
        <v>44732</v>
      </c>
      <c r="I26" s="30">
        <v>3422</v>
      </c>
      <c r="J26" s="37"/>
      <c r="K26" s="173"/>
      <c r="L26" s="45"/>
      <c r="M26" s="32">
        <v>33921</v>
      </c>
      <c r="N26" s="33">
        <v>53763</v>
      </c>
      <c r="O26" s="660" t="s">
        <v>937</v>
      </c>
      <c r="P26" s="284">
        <f t="shared" si="1"/>
        <v>117280</v>
      </c>
      <c r="Q26" s="325">
        <f t="shared" si="0"/>
        <v>0</v>
      </c>
      <c r="R26" s="319">
        <v>0</v>
      </c>
    </row>
    <row r="27" spans="1:18" ht="18" customHeight="1" thickBot="1" x14ac:dyDescent="0.35">
      <c r="A27" s="23"/>
      <c r="B27" s="24">
        <v>44733</v>
      </c>
      <c r="C27" s="25">
        <v>19843</v>
      </c>
      <c r="D27" s="42" t="s">
        <v>938</v>
      </c>
      <c r="E27" s="27">
        <v>44733</v>
      </c>
      <c r="F27" s="28">
        <v>100329</v>
      </c>
      <c r="G27" s="572"/>
      <c r="H27" s="29">
        <v>44733</v>
      </c>
      <c r="I27" s="30">
        <v>119</v>
      </c>
      <c r="J27" s="55"/>
      <c r="K27" s="174"/>
      <c r="L27" s="54"/>
      <c r="M27" s="32">
        <v>43366</v>
      </c>
      <c r="N27" s="33">
        <v>37001</v>
      </c>
      <c r="O27" s="660" t="s">
        <v>937</v>
      </c>
      <c r="P27" s="39">
        <f t="shared" si="1"/>
        <v>100329</v>
      </c>
      <c r="Q27" s="325">
        <f t="shared" si="0"/>
        <v>0</v>
      </c>
      <c r="R27" s="319">
        <v>0</v>
      </c>
    </row>
    <row r="28" spans="1:18" ht="18" customHeight="1" thickBot="1" x14ac:dyDescent="0.35">
      <c r="A28" s="23"/>
      <c r="B28" s="24">
        <v>44734</v>
      </c>
      <c r="C28" s="25">
        <v>24052</v>
      </c>
      <c r="D28" s="42" t="s">
        <v>939</v>
      </c>
      <c r="E28" s="27">
        <v>44734</v>
      </c>
      <c r="F28" s="28">
        <v>101243</v>
      </c>
      <c r="G28" s="572"/>
      <c r="H28" s="29">
        <v>44734</v>
      </c>
      <c r="I28" s="30">
        <v>2308</v>
      </c>
      <c r="J28" s="56"/>
      <c r="K28" s="57"/>
      <c r="L28" s="54"/>
      <c r="M28" s="32">
        <f>2333.5+43790.5</f>
        <v>46124</v>
      </c>
      <c r="N28" s="33">
        <v>28759</v>
      </c>
      <c r="O28" s="660" t="s">
        <v>937</v>
      </c>
      <c r="P28" s="34">
        <f t="shared" si="1"/>
        <v>101243</v>
      </c>
      <c r="Q28" s="325">
        <f t="shared" si="0"/>
        <v>0</v>
      </c>
      <c r="R28" s="319">
        <v>0</v>
      </c>
    </row>
    <row r="29" spans="1:18" ht="18" thickBot="1" x14ac:dyDescent="0.35">
      <c r="A29" s="23"/>
      <c r="B29" s="24">
        <v>44735</v>
      </c>
      <c r="C29" s="25">
        <v>8833.5</v>
      </c>
      <c r="D29" s="58" t="s">
        <v>940</v>
      </c>
      <c r="E29" s="27">
        <v>44735</v>
      </c>
      <c r="F29" s="28">
        <v>172152</v>
      </c>
      <c r="G29" s="572"/>
      <c r="H29" s="29">
        <v>44735</v>
      </c>
      <c r="I29" s="30">
        <v>1356</v>
      </c>
      <c r="J29" s="59"/>
      <c r="K29" s="175"/>
      <c r="L29" s="54"/>
      <c r="M29" s="32">
        <v>125792.5</v>
      </c>
      <c r="N29" s="33">
        <v>36170</v>
      </c>
      <c r="O29" s="660" t="s">
        <v>937</v>
      </c>
      <c r="P29" s="34">
        <f t="shared" si="1"/>
        <v>172152</v>
      </c>
      <c r="Q29" s="325">
        <f t="shared" si="0"/>
        <v>0</v>
      </c>
      <c r="R29" s="319">
        <v>0</v>
      </c>
    </row>
    <row r="30" spans="1:18" ht="18" thickBot="1" x14ac:dyDescent="0.35">
      <c r="A30" s="23"/>
      <c r="B30" s="24">
        <v>44736</v>
      </c>
      <c r="C30" s="25">
        <v>2181</v>
      </c>
      <c r="D30" s="58" t="s">
        <v>941</v>
      </c>
      <c r="E30" s="27">
        <v>44736</v>
      </c>
      <c r="F30" s="28">
        <v>102159</v>
      </c>
      <c r="G30" s="572"/>
      <c r="H30" s="29">
        <v>44736</v>
      </c>
      <c r="I30" s="30">
        <v>5382</v>
      </c>
      <c r="J30" s="56"/>
      <c r="K30" s="38"/>
      <c r="L30" s="39"/>
      <c r="M30" s="32">
        <v>69597</v>
      </c>
      <c r="N30" s="33">
        <v>24999</v>
      </c>
      <c r="O30" s="660" t="s">
        <v>937</v>
      </c>
      <c r="P30" s="34">
        <f t="shared" si="1"/>
        <v>102159</v>
      </c>
      <c r="Q30" s="325">
        <f t="shared" si="0"/>
        <v>0</v>
      </c>
      <c r="R30" s="319">
        <v>0</v>
      </c>
    </row>
    <row r="31" spans="1:18" ht="18" thickBot="1" x14ac:dyDescent="0.35">
      <c r="A31" s="23"/>
      <c r="B31" s="24">
        <v>44737</v>
      </c>
      <c r="C31" s="25">
        <v>13634</v>
      </c>
      <c r="D31" s="67" t="s">
        <v>942</v>
      </c>
      <c r="E31" s="27">
        <v>44737</v>
      </c>
      <c r="F31" s="28">
        <v>108067</v>
      </c>
      <c r="G31" s="572"/>
      <c r="H31" s="29">
        <v>44737</v>
      </c>
      <c r="I31" s="30">
        <v>6744</v>
      </c>
      <c r="J31" s="56">
        <v>44737</v>
      </c>
      <c r="K31" s="566" t="s">
        <v>943</v>
      </c>
      <c r="L31" s="54">
        <v>17222</v>
      </c>
      <c r="M31" s="32">
        <f>840+24888</f>
        <v>25728</v>
      </c>
      <c r="N31" s="33">
        <v>44739</v>
      </c>
      <c r="O31" s="660" t="s">
        <v>937</v>
      </c>
      <c r="P31" s="34">
        <f t="shared" si="1"/>
        <v>108067</v>
      </c>
      <c r="Q31" s="325">
        <f t="shared" si="0"/>
        <v>0</v>
      </c>
      <c r="R31" s="319">
        <v>0</v>
      </c>
    </row>
    <row r="32" spans="1:18" ht="18" thickBot="1" x14ac:dyDescent="0.35">
      <c r="A32" s="23"/>
      <c r="B32" s="24">
        <v>44738</v>
      </c>
      <c r="C32" s="25">
        <v>52506</v>
      </c>
      <c r="D32" s="64" t="s">
        <v>944</v>
      </c>
      <c r="E32" s="27">
        <v>44738</v>
      </c>
      <c r="F32" s="28">
        <v>78446</v>
      </c>
      <c r="G32" s="572"/>
      <c r="H32" s="29">
        <v>44738</v>
      </c>
      <c r="I32" s="30">
        <v>106</v>
      </c>
      <c r="J32" s="56"/>
      <c r="K32" s="38"/>
      <c r="L32" s="39"/>
      <c r="M32" s="32">
        <v>1728</v>
      </c>
      <c r="N32" s="33">
        <v>24106</v>
      </c>
      <c r="O32" s="660" t="s">
        <v>937</v>
      </c>
      <c r="P32" s="34">
        <f t="shared" si="1"/>
        <v>78446</v>
      </c>
      <c r="Q32" s="325">
        <f t="shared" si="0"/>
        <v>0</v>
      </c>
      <c r="R32" s="319">
        <v>0</v>
      </c>
    </row>
    <row r="33" spans="1:18" ht="18" thickBot="1" x14ac:dyDescent="0.35">
      <c r="A33" s="23"/>
      <c r="B33" s="24">
        <v>44739</v>
      </c>
      <c r="C33" s="25">
        <v>22194.5</v>
      </c>
      <c r="D33" s="65" t="s">
        <v>945</v>
      </c>
      <c r="E33" s="27">
        <v>44739</v>
      </c>
      <c r="F33" s="28">
        <v>114527</v>
      </c>
      <c r="G33" s="572"/>
      <c r="H33" s="29">
        <v>44739</v>
      </c>
      <c r="I33" s="30">
        <v>4786</v>
      </c>
      <c r="J33" s="56"/>
      <c r="K33" s="223"/>
      <c r="L33" s="69"/>
      <c r="M33" s="32">
        <f>400+40980.5</f>
        <v>41380.5</v>
      </c>
      <c r="N33" s="33">
        <v>46166</v>
      </c>
      <c r="O33" s="660" t="s">
        <v>937</v>
      </c>
      <c r="P33" s="34">
        <f t="shared" si="1"/>
        <v>114527</v>
      </c>
      <c r="Q33" s="325">
        <f t="shared" si="0"/>
        <v>0</v>
      </c>
      <c r="R33" s="319">
        <v>0</v>
      </c>
    </row>
    <row r="34" spans="1:18" ht="18" thickBot="1" x14ac:dyDescent="0.35">
      <c r="A34" s="23"/>
      <c r="B34" s="24">
        <v>44740</v>
      </c>
      <c r="C34" s="25">
        <v>18614</v>
      </c>
      <c r="D34" s="64" t="s">
        <v>946</v>
      </c>
      <c r="E34" s="27">
        <v>44740</v>
      </c>
      <c r="F34" s="28">
        <v>117654</v>
      </c>
      <c r="G34" s="572"/>
      <c r="H34" s="29">
        <v>44740</v>
      </c>
      <c r="I34" s="30">
        <v>3967</v>
      </c>
      <c r="J34" s="557"/>
      <c r="K34" s="567"/>
      <c r="L34" s="9"/>
      <c r="M34" s="32">
        <v>73988</v>
      </c>
      <c r="N34" s="33">
        <v>21085</v>
      </c>
      <c r="O34" s="660" t="s">
        <v>937</v>
      </c>
      <c r="P34" s="34">
        <f t="shared" si="1"/>
        <v>117654</v>
      </c>
      <c r="Q34" s="325">
        <f t="shared" si="0"/>
        <v>0</v>
      </c>
      <c r="R34" s="319">
        <v>0</v>
      </c>
    </row>
    <row r="35" spans="1:18" ht="18" thickBot="1" x14ac:dyDescent="0.35">
      <c r="A35" s="23"/>
      <c r="B35" s="24">
        <v>44741</v>
      </c>
      <c r="C35" s="25">
        <v>22015</v>
      </c>
      <c r="D35" s="67" t="s">
        <v>947</v>
      </c>
      <c r="E35" s="27">
        <v>44741</v>
      </c>
      <c r="F35" s="28">
        <v>89000</v>
      </c>
      <c r="G35" s="572"/>
      <c r="H35" s="29">
        <v>44741</v>
      </c>
      <c r="I35" s="30">
        <v>2889.5</v>
      </c>
      <c r="J35" s="557"/>
      <c r="K35" s="568"/>
      <c r="L35" s="69"/>
      <c r="M35" s="32">
        <v>35929.5</v>
      </c>
      <c r="N35" s="33">
        <v>28166</v>
      </c>
      <c r="O35" s="660" t="s">
        <v>937</v>
      </c>
      <c r="P35" s="34">
        <f t="shared" si="1"/>
        <v>89000</v>
      </c>
      <c r="Q35" s="325">
        <f t="shared" si="0"/>
        <v>0</v>
      </c>
      <c r="R35" s="319">
        <v>0</v>
      </c>
    </row>
    <row r="36" spans="1:18" ht="18" customHeight="1" thickBot="1" x14ac:dyDescent="0.35">
      <c r="A36" s="23"/>
      <c r="B36" s="24">
        <v>44742</v>
      </c>
      <c r="C36" s="25">
        <v>540</v>
      </c>
      <c r="D36" s="64" t="s">
        <v>948</v>
      </c>
      <c r="E36" s="27">
        <v>44742</v>
      </c>
      <c r="F36" s="28">
        <v>86153</v>
      </c>
      <c r="G36" s="662"/>
      <c r="H36" s="29">
        <v>44742</v>
      </c>
      <c r="I36" s="30">
        <v>2070.5</v>
      </c>
      <c r="J36" s="557"/>
      <c r="K36" s="569"/>
      <c r="L36" s="9"/>
      <c r="M36" s="32">
        <v>60715.5</v>
      </c>
      <c r="N36" s="33">
        <v>22827</v>
      </c>
      <c r="O36" s="660" t="s">
        <v>937</v>
      </c>
      <c r="P36" s="34">
        <f t="shared" si="1"/>
        <v>86153</v>
      </c>
      <c r="Q36" s="325">
        <f t="shared" si="0"/>
        <v>0</v>
      </c>
      <c r="R36" s="319">
        <v>0</v>
      </c>
    </row>
    <row r="37" spans="1:18" ht="18" customHeight="1" thickBot="1" x14ac:dyDescent="0.35">
      <c r="A37" s="23"/>
      <c r="B37" s="24">
        <v>44743</v>
      </c>
      <c r="C37" s="25">
        <v>15245</v>
      </c>
      <c r="D37" s="506" t="s">
        <v>949</v>
      </c>
      <c r="E37" s="27">
        <v>44743</v>
      </c>
      <c r="F37" s="28">
        <v>108790</v>
      </c>
      <c r="G37" s="662"/>
      <c r="H37" s="29">
        <v>44743</v>
      </c>
      <c r="I37" s="30">
        <v>2735</v>
      </c>
      <c r="J37" s="56"/>
      <c r="K37" s="38"/>
      <c r="L37" s="39"/>
      <c r="M37" s="32">
        <v>59436</v>
      </c>
      <c r="N37" s="33">
        <v>31374</v>
      </c>
      <c r="O37" s="660" t="s">
        <v>937</v>
      </c>
      <c r="P37" s="34">
        <f t="shared" si="1"/>
        <v>108790</v>
      </c>
      <c r="Q37" s="325">
        <f t="shared" si="0"/>
        <v>0</v>
      </c>
      <c r="R37" s="319">
        <v>0</v>
      </c>
    </row>
    <row r="38" spans="1:18" ht="18" thickBot="1" x14ac:dyDescent="0.35">
      <c r="A38" s="23"/>
      <c r="B38" s="24">
        <v>44744</v>
      </c>
      <c r="C38" s="25">
        <v>10283.5</v>
      </c>
      <c r="D38" s="65" t="s">
        <v>950</v>
      </c>
      <c r="E38" s="27">
        <v>44744</v>
      </c>
      <c r="F38" s="28">
        <v>129052</v>
      </c>
      <c r="G38" s="662"/>
      <c r="H38" s="29">
        <v>44744</v>
      </c>
      <c r="I38" s="30">
        <v>4915</v>
      </c>
      <c r="J38" s="56">
        <v>44744</v>
      </c>
      <c r="K38" s="663" t="s">
        <v>951</v>
      </c>
      <c r="L38" s="39">
        <v>15579</v>
      </c>
      <c r="M38" s="32">
        <v>39379.5</v>
      </c>
      <c r="N38" s="33">
        <v>58895</v>
      </c>
      <c r="O38" s="660" t="s">
        <v>937</v>
      </c>
      <c r="P38" s="34">
        <f>N38+M38+L38+I38+C38</f>
        <v>129052</v>
      </c>
      <c r="Q38" s="325">
        <f t="shared" si="0"/>
        <v>0</v>
      </c>
      <c r="R38" s="319">
        <v>0</v>
      </c>
    </row>
    <row r="39" spans="1:18" ht="18" thickBot="1" x14ac:dyDescent="0.35">
      <c r="A39" s="23"/>
      <c r="B39" s="24">
        <v>44745</v>
      </c>
      <c r="C39" s="69">
        <v>10129</v>
      </c>
      <c r="D39" s="64" t="s">
        <v>952</v>
      </c>
      <c r="E39" s="27">
        <v>44745</v>
      </c>
      <c r="F39" s="508">
        <v>87809</v>
      </c>
      <c r="G39" s="662"/>
      <c r="H39" s="29">
        <v>44745</v>
      </c>
      <c r="I39" s="71">
        <v>243</v>
      </c>
      <c r="J39" s="56"/>
      <c r="K39" s="663"/>
      <c r="L39" s="39"/>
      <c r="M39" s="32">
        <v>48212</v>
      </c>
      <c r="N39" s="33">
        <v>29225</v>
      </c>
      <c r="O39" s="660" t="s">
        <v>937</v>
      </c>
      <c r="P39" s="34">
        <f t="shared" si="1"/>
        <v>87809</v>
      </c>
      <c r="Q39" s="111">
        <f t="shared" ref="Q39:Q40" si="2">P39-F39</f>
        <v>0</v>
      </c>
      <c r="R39" s="319">
        <v>0</v>
      </c>
    </row>
    <row r="40" spans="1:18" ht="18" thickBot="1" x14ac:dyDescent="0.35">
      <c r="A40" s="23"/>
      <c r="B40" s="24"/>
      <c r="C40" s="69"/>
      <c r="D40" s="506"/>
      <c r="E40" s="27"/>
      <c r="F40" s="70"/>
      <c r="G40" s="572"/>
      <c r="H40" s="36"/>
      <c r="I40" s="71"/>
      <c r="J40" s="622"/>
      <c r="K40" s="623"/>
      <c r="L40" s="624"/>
      <c r="M40" s="267">
        <v>0</v>
      </c>
      <c r="N40" s="268">
        <v>0</v>
      </c>
      <c r="P40" s="34">
        <f t="shared" si="1"/>
        <v>0</v>
      </c>
      <c r="Q40" s="111">
        <f t="shared" si="2"/>
        <v>0</v>
      </c>
      <c r="R40" s="319">
        <v>0</v>
      </c>
    </row>
    <row r="41" spans="1:18" ht="18" thickBot="1" x14ac:dyDescent="0.35">
      <c r="A41" s="23"/>
      <c r="B41" s="24"/>
      <c r="C41" s="72"/>
      <c r="D41" s="507"/>
      <c r="E41" s="74"/>
      <c r="F41" s="75"/>
      <c r="G41" s="572"/>
      <c r="H41" s="76"/>
      <c r="I41" s="77"/>
      <c r="J41" s="56">
        <v>44716</v>
      </c>
      <c r="K41" s="38" t="s">
        <v>907</v>
      </c>
      <c r="L41" s="39">
        <v>18992.37</v>
      </c>
      <c r="M41" s="871">
        <f>SUM(M5:M40)</f>
        <v>1737024</v>
      </c>
      <c r="N41" s="871">
        <f>SUM(N5:N40)</f>
        <v>1314313</v>
      </c>
      <c r="P41" s="505">
        <f>SUM(P5:P40)</f>
        <v>3810957.55</v>
      </c>
      <c r="Q41" s="936">
        <f>SUM(Q5:Q40)</f>
        <v>30.55000000000291</v>
      </c>
    </row>
    <row r="42" spans="1:18" ht="18" thickBot="1" x14ac:dyDescent="0.35">
      <c r="A42" s="23"/>
      <c r="B42" s="24">
        <v>44711</v>
      </c>
      <c r="C42" s="72">
        <v>6731.1</v>
      </c>
      <c r="D42" s="73" t="s">
        <v>1022</v>
      </c>
      <c r="E42" s="74"/>
      <c r="F42" s="75"/>
      <c r="G42" s="572"/>
      <c r="H42" s="76"/>
      <c r="I42" s="77"/>
      <c r="J42" s="51">
        <v>44723</v>
      </c>
      <c r="K42" s="173" t="s">
        <v>926</v>
      </c>
      <c r="L42" s="52">
        <v>17035.3</v>
      </c>
      <c r="M42" s="872"/>
      <c r="N42" s="872"/>
      <c r="P42" s="34"/>
      <c r="Q42" s="937"/>
    </row>
    <row r="43" spans="1:18" ht="18" thickBot="1" x14ac:dyDescent="0.35">
      <c r="A43" s="23"/>
      <c r="B43" s="24">
        <v>44711</v>
      </c>
      <c r="C43" s="72">
        <v>4673.8500000000004</v>
      </c>
      <c r="D43" s="73" t="s">
        <v>1023</v>
      </c>
      <c r="E43" s="74"/>
      <c r="F43" s="75"/>
      <c r="G43" s="572"/>
      <c r="H43" s="76"/>
      <c r="I43" s="77"/>
      <c r="J43" s="50">
        <v>44730</v>
      </c>
      <c r="K43" s="38" t="s">
        <v>934</v>
      </c>
      <c r="L43" s="54">
        <v>18951.07</v>
      </c>
      <c r="M43" s="643"/>
      <c r="N43" s="643"/>
      <c r="P43" s="34"/>
      <c r="Q43" s="13"/>
    </row>
    <row r="44" spans="1:18" ht="18" thickBot="1" x14ac:dyDescent="0.35">
      <c r="A44" s="23"/>
      <c r="B44" s="24">
        <v>44722</v>
      </c>
      <c r="C44" s="72">
        <v>3262.3</v>
      </c>
      <c r="D44" s="73" t="s">
        <v>855</v>
      </c>
      <c r="E44" s="74"/>
      <c r="F44" s="75"/>
      <c r="G44" s="572"/>
      <c r="H44" s="76"/>
      <c r="I44" s="77"/>
      <c r="J44" s="56">
        <v>44737</v>
      </c>
      <c r="K44" s="661" t="s">
        <v>943</v>
      </c>
      <c r="L44" s="39">
        <v>18451</v>
      </c>
      <c r="M44" s="643"/>
      <c r="N44" s="643"/>
      <c r="P44" s="34"/>
      <c r="Q44" s="13"/>
    </row>
    <row r="45" spans="1:18" ht="18" thickBot="1" x14ac:dyDescent="0.35">
      <c r="A45" s="23"/>
      <c r="B45" s="24">
        <v>44727</v>
      </c>
      <c r="C45" s="72">
        <v>45000</v>
      </c>
      <c r="D45" s="73" t="s">
        <v>978</v>
      </c>
      <c r="E45" s="74"/>
      <c r="F45" s="75"/>
      <c r="G45" s="572"/>
      <c r="H45" s="76"/>
      <c r="I45" s="77"/>
      <c r="J45" s="56">
        <v>44744</v>
      </c>
      <c r="K45" s="38" t="s">
        <v>951</v>
      </c>
      <c r="L45" s="39">
        <v>20521</v>
      </c>
      <c r="M45" s="938">
        <f>M41+N41</f>
        <v>3051337</v>
      </c>
      <c r="N45" s="939"/>
      <c r="P45" s="34"/>
      <c r="Q45" s="13"/>
    </row>
    <row r="46" spans="1:18" ht="18" thickBot="1" x14ac:dyDescent="0.35">
      <c r="A46" s="23"/>
      <c r="B46" s="24">
        <v>44729</v>
      </c>
      <c r="C46" s="72">
        <v>200000</v>
      </c>
      <c r="D46" s="73" t="s">
        <v>979</v>
      </c>
      <c r="E46" s="74"/>
      <c r="F46" s="75"/>
      <c r="G46" s="572"/>
      <c r="H46" s="76"/>
      <c r="I46" s="77"/>
      <c r="J46" s="56"/>
      <c r="K46" s="38"/>
      <c r="L46" s="39"/>
      <c r="M46" s="643"/>
      <c r="N46" s="643"/>
      <c r="P46" s="34"/>
      <c r="Q46" s="13"/>
    </row>
    <row r="47" spans="1:18" ht="18" thickBot="1" x14ac:dyDescent="0.35">
      <c r="A47" s="23"/>
      <c r="B47" s="24">
        <v>44729</v>
      </c>
      <c r="C47" s="72">
        <v>10522.72</v>
      </c>
      <c r="D47" s="73" t="s">
        <v>980</v>
      </c>
      <c r="E47" s="74"/>
      <c r="F47" s="75"/>
      <c r="G47" s="572"/>
      <c r="H47" s="76"/>
      <c r="I47" s="77"/>
      <c r="J47" s="56" t="s">
        <v>970</v>
      </c>
      <c r="K47" s="38" t="s">
        <v>1020</v>
      </c>
      <c r="L47" s="39">
        <v>10440</v>
      </c>
      <c r="M47" s="643"/>
      <c r="N47" s="643"/>
      <c r="P47" s="34"/>
      <c r="Q47" s="13"/>
    </row>
    <row r="48" spans="1:18" ht="18" thickBot="1" x14ac:dyDescent="0.35">
      <c r="A48" s="23"/>
      <c r="B48" s="24">
        <v>44733</v>
      </c>
      <c r="C48" s="25">
        <v>232817</v>
      </c>
      <c r="D48" s="73" t="s">
        <v>981</v>
      </c>
      <c r="E48" s="74"/>
      <c r="F48" s="75"/>
      <c r="G48" s="572"/>
      <c r="H48" s="76"/>
      <c r="I48" s="77"/>
      <c r="J48" s="56" t="s">
        <v>970</v>
      </c>
      <c r="K48" s="38" t="s">
        <v>971</v>
      </c>
      <c r="L48" s="39">
        <v>6599.24</v>
      </c>
      <c r="M48" s="643"/>
      <c r="N48" s="643"/>
      <c r="P48" s="34"/>
      <c r="Q48" s="13"/>
    </row>
    <row r="49" spans="1:17" ht="18" thickBot="1" x14ac:dyDescent="0.35">
      <c r="A49" s="23"/>
      <c r="B49" s="24">
        <v>44733</v>
      </c>
      <c r="C49" s="25">
        <v>178096</v>
      </c>
      <c r="D49" s="73" t="s">
        <v>979</v>
      </c>
      <c r="E49" s="74"/>
      <c r="F49" s="75"/>
      <c r="G49" s="572"/>
      <c r="H49" s="76"/>
      <c r="I49" s="77"/>
      <c r="J49" s="601" t="s">
        <v>970</v>
      </c>
      <c r="K49" s="38" t="s">
        <v>972</v>
      </c>
      <c r="L49" s="69">
        <v>1126.45</v>
      </c>
      <c r="M49" s="643"/>
      <c r="N49" s="643"/>
      <c r="P49" s="34"/>
      <c r="Q49" s="13"/>
    </row>
    <row r="50" spans="1:17" ht="18" thickBot="1" x14ac:dyDescent="0.35">
      <c r="A50" s="23"/>
      <c r="B50" s="24">
        <v>44733</v>
      </c>
      <c r="C50" s="25">
        <v>95000</v>
      </c>
      <c r="D50" s="73" t="s">
        <v>982</v>
      </c>
      <c r="E50" s="74"/>
      <c r="F50" s="75"/>
      <c r="G50" s="572"/>
      <c r="H50" s="76"/>
      <c r="I50" s="77"/>
      <c r="J50" s="601" t="s">
        <v>970</v>
      </c>
      <c r="K50" s="38" t="s">
        <v>973</v>
      </c>
      <c r="L50" s="69">
        <f>4277+6757</f>
        <v>11034</v>
      </c>
      <c r="M50" s="643"/>
      <c r="N50" s="643"/>
      <c r="P50" s="34"/>
      <c r="Q50" s="13"/>
    </row>
    <row r="51" spans="1:17" ht="18" thickBot="1" x14ac:dyDescent="0.35">
      <c r="A51" s="23"/>
      <c r="B51" s="24">
        <v>44741</v>
      </c>
      <c r="C51" s="25">
        <v>16368.37</v>
      </c>
      <c r="D51" s="73" t="s">
        <v>855</v>
      </c>
      <c r="E51" s="74"/>
      <c r="F51" s="75"/>
      <c r="G51" s="572"/>
      <c r="H51" s="76"/>
      <c r="I51" s="77"/>
      <c r="J51" s="601" t="s">
        <v>970</v>
      </c>
      <c r="K51" s="38" t="s">
        <v>974</v>
      </c>
      <c r="L51" s="69">
        <v>38488</v>
      </c>
      <c r="M51" s="643"/>
      <c r="N51" s="643"/>
      <c r="P51" s="34"/>
      <c r="Q51" s="13"/>
    </row>
    <row r="52" spans="1:17" ht="18" thickBot="1" x14ac:dyDescent="0.35">
      <c r="A52" s="23"/>
      <c r="B52" s="24"/>
      <c r="C52" s="25">
        <v>0</v>
      </c>
      <c r="D52" s="73"/>
      <c r="E52" s="74"/>
      <c r="F52" s="75"/>
      <c r="G52" s="572"/>
      <c r="H52" s="76"/>
      <c r="I52" s="77"/>
      <c r="J52" s="601" t="s">
        <v>975</v>
      </c>
      <c r="K52" s="38" t="s">
        <v>1021</v>
      </c>
      <c r="L52" s="69">
        <v>9171</v>
      </c>
      <c r="M52" s="643"/>
      <c r="N52" s="643"/>
      <c r="P52" s="34"/>
      <c r="Q52" s="13"/>
    </row>
    <row r="53" spans="1:17" ht="18" thickBot="1" x14ac:dyDescent="0.35">
      <c r="A53" s="23"/>
      <c r="B53" s="24"/>
      <c r="C53" s="25">
        <v>0</v>
      </c>
      <c r="D53" s="73"/>
      <c r="E53" s="74"/>
      <c r="F53" s="75"/>
      <c r="G53" s="572"/>
      <c r="H53" s="76"/>
      <c r="I53" s="77"/>
      <c r="J53" s="601" t="s">
        <v>970</v>
      </c>
      <c r="K53" s="38" t="s">
        <v>824</v>
      </c>
      <c r="L53" s="69">
        <v>4006.5</v>
      </c>
      <c r="M53" s="643"/>
      <c r="N53" s="643"/>
      <c r="P53" s="34"/>
      <c r="Q53" s="13"/>
    </row>
    <row r="54" spans="1:17" ht="18" thickBot="1" x14ac:dyDescent="0.35">
      <c r="A54" s="23"/>
      <c r="B54" s="24"/>
      <c r="C54" s="25">
        <v>0</v>
      </c>
      <c r="D54" s="73"/>
      <c r="E54" s="74"/>
      <c r="F54" s="75"/>
      <c r="G54" s="572"/>
      <c r="H54" s="76"/>
      <c r="I54" s="77"/>
      <c r="J54" s="601"/>
      <c r="K54" s="38"/>
      <c r="L54" s="69"/>
      <c r="M54" s="643"/>
      <c r="N54" s="643"/>
      <c r="P54" s="34"/>
      <c r="Q54" s="13"/>
    </row>
    <row r="55" spans="1:17" ht="18" thickBot="1" x14ac:dyDescent="0.35">
      <c r="A55" s="23"/>
      <c r="B55" s="24"/>
      <c r="C55" s="25">
        <v>0</v>
      </c>
      <c r="D55" s="73"/>
      <c r="E55" s="74"/>
      <c r="F55" s="75"/>
      <c r="G55" s="572"/>
      <c r="H55" s="76"/>
      <c r="I55" s="77"/>
      <c r="J55" s="601" t="s">
        <v>970</v>
      </c>
      <c r="K55" s="38" t="s">
        <v>830</v>
      </c>
      <c r="L55" s="69">
        <v>1856</v>
      </c>
      <c r="M55" s="643"/>
      <c r="N55" s="643"/>
      <c r="P55" s="34"/>
      <c r="Q55" s="13"/>
    </row>
    <row r="56" spans="1:17" ht="18" thickBot="1" x14ac:dyDescent="0.35">
      <c r="A56" s="23"/>
      <c r="B56" s="24"/>
      <c r="C56" s="25">
        <v>0</v>
      </c>
      <c r="D56" s="73"/>
      <c r="E56" s="74"/>
      <c r="F56" s="75"/>
      <c r="G56" s="572"/>
      <c r="H56" s="76"/>
      <c r="I56" s="77"/>
      <c r="J56" s="601" t="s">
        <v>970</v>
      </c>
      <c r="K56" s="38" t="s">
        <v>976</v>
      </c>
      <c r="L56" s="69">
        <v>8182.16</v>
      </c>
      <c r="M56" s="643"/>
      <c r="N56" s="643"/>
      <c r="P56" s="34"/>
      <c r="Q56" s="13"/>
    </row>
    <row r="57" spans="1:17" ht="18" thickBot="1" x14ac:dyDescent="0.35">
      <c r="A57" s="23"/>
      <c r="B57" s="24"/>
      <c r="C57" s="25">
        <v>0</v>
      </c>
      <c r="D57" s="73"/>
      <c r="E57" s="74"/>
      <c r="F57" s="75"/>
      <c r="G57" s="572"/>
      <c r="H57" s="76"/>
      <c r="I57" s="77"/>
      <c r="J57" s="601" t="s">
        <v>977</v>
      </c>
      <c r="K57" s="38" t="s">
        <v>842</v>
      </c>
      <c r="L57" s="69">
        <v>3644.79</v>
      </c>
      <c r="M57" s="643"/>
      <c r="N57" s="643"/>
      <c r="P57" s="34"/>
      <c r="Q57" s="13"/>
    </row>
    <row r="58" spans="1:17" ht="18" thickBot="1" x14ac:dyDescent="0.35">
      <c r="A58" s="23"/>
      <c r="B58" s="24"/>
      <c r="C58" s="25">
        <v>0</v>
      </c>
      <c r="D58" s="73"/>
      <c r="E58" s="74"/>
      <c r="F58" s="75"/>
      <c r="G58" s="572"/>
      <c r="H58" s="76"/>
      <c r="I58" s="77"/>
      <c r="J58" s="601" t="s">
        <v>970</v>
      </c>
      <c r="K58" s="38" t="s">
        <v>825</v>
      </c>
      <c r="L58" s="69">
        <v>2320</v>
      </c>
      <c r="M58" s="643"/>
      <c r="N58" s="643"/>
      <c r="P58" s="34"/>
      <c r="Q58" s="13"/>
    </row>
    <row r="59" spans="1:17" ht="18" thickBot="1" x14ac:dyDescent="0.35">
      <c r="A59" s="23"/>
      <c r="B59" s="24"/>
      <c r="C59" s="25">
        <v>0</v>
      </c>
      <c r="D59" s="73"/>
      <c r="E59" s="74"/>
      <c r="F59" s="75"/>
      <c r="G59" s="572"/>
      <c r="H59" s="76"/>
      <c r="I59" s="77"/>
      <c r="J59" s="601" t="s">
        <v>983</v>
      </c>
      <c r="K59" s="38" t="s">
        <v>202</v>
      </c>
      <c r="L59" s="69">
        <v>14671.53</v>
      </c>
      <c r="M59" s="643"/>
      <c r="N59" s="643"/>
      <c r="P59" s="34"/>
      <c r="Q59" s="13"/>
    </row>
    <row r="60" spans="1:17" ht="16.5" thickBot="1" x14ac:dyDescent="0.3">
      <c r="A60" s="23"/>
      <c r="B60" s="80"/>
      <c r="C60" s="25">
        <v>0</v>
      </c>
      <c r="D60" s="81"/>
      <c r="E60" s="82"/>
      <c r="F60" s="72"/>
      <c r="H60" s="83"/>
      <c r="I60" s="77"/>
      <c r="J60" s="557" t="s">
        <v>984</v>
      </c>
      <c r="K60" s="174" t="s">
        <v>1017</v>
      </c>
      <c r="L60" s="69">
        <v>2902</v>
      </c>
      <c r="M60" s="34"/>
      <c r="N60" s="34"/>
      <c r="P60" s="34"/>
      <c r="Q60" s="13"/>
    </row>
    <row r="61" spans="1:17" ht="16.5" thickBot="1" x14ac:dyDescent="0.3">
      <c r="A61" s="23"/>
      <c r="B61" s="595"/>
      <c r="C61" s="596"/>
      <c r="D61" s="81"/>
      <c r="E61" s="597"/>
      <c r="F61" s="34"/>
      <c r="H61" s="598"/>
      <c r="I61" s="34"/>
      <c r="J61" s="557" t="s">
        <v>970</v>
      </c>
      <c r="K61" s="671" t="s">
        <v>985</v>
      </c>
      <c r="L61" s="69">
        <v>4408</v>
      </c>
      <c r="M61" s="34"/>
      <c r="N61" s="34"/>
      <c r="P61" s="34"/>
      <c r="Q61" s="13"/>
    </row>
    <row r="62" spans="1:17" ht="16.5" thickBot="1" x14ac:dyDescent="0.3">
      <c r="A62" s="23"/>
      <c r="B62" s="595"/>
      <c r="C62" s="596"/>
      <c r="D62" s="81"/>
      <c r="E62" s="597"/>
      <c r="F62" s="34"/>
      <c r="H62" s="598"/>
      <c r="I62" s="34"/>
      <c r="J62" s="557" t="s">
        <v>986</v>
      </c>
      <c r="K62" s="671" t="s">
        <v>826</v>
      </c>
      <c r="L62" s="69">
        <v>28000</v>
      </c>
      <c r="M62" s="34"/>
      <c r="N62" s="34"/>
      <c r="P62" s="34"/>
      <c r="Q62" s="13"/>
    </row>
    <row r="63" spans="1:17" ht="16.5" thickBot="1" x14ac:dyDescent="0.3">
      <c r="A63" s="23"/>
      <c r="B63" s="595"/>
      <c r="C63" s="596"/>
      <c r="D63" s="81"/>
      <c r="E63" s="597"/>
      <c r="F63" s="34"/>
      <c r="H63" s="598"/>
      <c r="I63" s="34"/>
      <c r="J63" s="557" t="s">
        <v>970</v>
      </c>
      <c r="K63" s="671" t="s">
        <v>987</v>
      </c>
      <c r="L63" s="69">
        <v>71514</v>
      </c>
      <c r="M63" s="34"/>
      <c r="N63" s="34"/>
      <c r="P63" s="34"/>
      <c r="Q63" s="13"/>
    </row>
    <row r="64" spans="1:17" ht="16.5" thickBot="1" x14ac:dyDescent="0.3">
      <c r="A64" s="23"/>
      <c r="B64" s="595"/>
      <c r="C64" s="596"/>
      <c r="D64" s="81"/>
      <c r="E64" s="597"/>
      <c r="F64" s="34"/>
      <c r="H64" s="598"/>
      <c r="I64" s="34"/>
      <c r="J64" s="557" t="s">
        <v>970</v>
      </c>
      <c r="K64" s="671" t="s">
        <v>201</v>
      </c>
      <c r="L64" s="69">
        <v>364</v>
      </c>
      <c r="M64" s="34"/>
      <c r="N64" s="34"/>
      <c r="P64" s="34"/>
      <c r="Q64" s="13"/>
    </row>
    <row r="65" spans="1:17" ht="16.5" thickBot="1" x14ac:dyDescent="0.3">
      <c r="A65" s="23"/>
      <c r="B65" s="595"/>
      <c r="C65" s="596"/>
      <c r="D65" s="81"/>
      <c r="E65" s="597"/>
      <c r="F65" s="34"/>
      <c r="H65" s="598"/>
      <c r="I65" s="34"/>
      <c r="J65" s="557" t="s">
        <v>970</v>
      </c>
      <c r="K65" s="671" t="s">
        <v>1019</v>
      </c>
      <c r="L65" s="69">
        <v>34362.83</v>
      </c>
      <c r="M65" s="34"/>
      <c r="N65" s="34"/>
      <c r="P65" s="34"/>
      <c r="Q65" s="13"/>
    </row>
    <row r="66" spans="1:17" ht="16.5" thickBot="1" x14ac:dyDescent="0.3">
      <c r="A66" s="23"/>
      <c r="B66" s="595"/>
      <c r="C66" s="596"/>
      <c r="D66" s="81"/>
      <c r="E66" s="597"/>
      <c r="F66" s="34"/>
      <c r="H66" s="598"/>
      <c r="I66" s="34"/>
      <c r="J66" s="670"/>
      <c r="K66" s="164"/>
      <c r="L66" s="9"/>
      <c r="M66" s="34"/>
      <c r="N66" s="34"/>
      <c r="P66" s="34"/>
      <c r="Q66" s="13"/>
    </row>
    <row r="67" spans="1:17" ht="16.5" thickBot="1" x14ac:dyDescent="0.3">
      <c r="B67" s="550" t="s">
        <v>8</v>
      </c>
      <c r="C67" s="87">
        <f>SUM(C5:C60)</f>
        <v>1364449.84</v>
      </c>
      <c r="D67" s="88"/>
      <c r="E67" s="91" t="s">
        <v>8</v>
      </c>
      <c r="F67" s="90">
        <f>SUM(F5:F60)</f>
        <v>3782162</v>
      </c>
      <c r="G67" s="573"/>
      <c r="H67" s="91" t="s">
        <v>9</v>
      </c>
      <c r="I67" s="92">
        <f>SUM(I5:I60)</f>
        <v>101782.5</v>
      </c>
      <c r="J67" s="93"/>
      <c r="K67" s="94" t="s">
        <v>10</v>
      </c>
      <c r="L67" s="95">
        <f>SUM(L5:L65)</f>
        <v>432900.79</v>
      </c>
      <c r="M67" s="96"/>
      <c r="N67" s="96"/>
      <c r="P67" s="34"/>
      <c r="Q67" s="13"/>
    </row>
    <row r="68" spans="1:17" ht="16.5" thickTop="1" x14ac:dyDescent="0.25">
      <c r="C68" s="3" t="s">
        <v>7</v>
      </c>
      <c r="P68" s="34"/>
      <c r="Q68" s="13"/>
    </row>
    <row r="69" spans="1:17" ht="18.75" x14ac:dyDescent="0.25">
      <c r="A69" s="98"/>
      <c r="B69" s="99"/>
      <c r="C69" s="1"/>
      <c r="H69" s="848" t="s">
        <v>11</v>
      </c>
      <c r="I69" s="849"/>
      <c r="J69" s="559"/>
      <c r="K69" s="973">
        <f>I67+L67</f>
        <v>534683.29</v>
      </c>
      <c r="L69" s="974"/>
      <c r="M69" s="272"/>
      <c r="N69" s="272"/>
      <c r="P69" s="34"/>
      <c r="Q69" s="13"/>
    </row>
    <row r="70" spans="1:17" x14ac:dyDescent="0.25">
      <c r="D70" s="854" t="s">
        <v>12</v>
      </c>
      <c r="E70" s="854"/>
      <c r="F70" s="312">
        <f>F67-K69-C67</f>
        <v>1883028.8699999999</v>
      </c>
      <c r="I70" s="102"/>
      <c r="J70" s="560"/>
    </row>
    <row r="71" spans="1:17" ht="18.75" x14ac:dyDescent="0.3">
      <c r="D71" s="878" t="s">
        <v>95</v>
      </c>
      <c r="E71" s="878"/>
      <c r="F71" s="111">
        <v>-2122394.9</v>
      </c>
      <c r="I71" s="855" t="s">
        <v>13</v>
      </c>
      <c r="J71" s="856"/>
      <c r="K71" s="857">
        <f>F73+F74+F75</f>
        <v>2367293.46</v>
      </c>
      <c r="L71" s="857"/>
      <c r="M71" s="404"/>
      <c r="N71" s="404"/>
      <c r="O71" s="654"/>
      <c r="P71" s="404"/>
      <c r="Q71" s="404"/>
    </row>
    <row r="72" spans="1:17" ht="19.5" thickBot="1" x14ac:dyDescent="0.35">
      <c r="D72" s="313" t="s">
        <v>94</v>
      </c>
      <c r="E72" s="314"/>
      <c r="F72" s="315">
        <v>-289475.05</v>
      </c>
      <c r="I72" s="105"/>
      <c r="J72" s="106"/>
      <c r="K72" s="571"/>
      <c r="L72" s="154"/>
      <c r="M72" s="404"/>
      <c r="N72" s="404"/>
      <c r="O72" s="654"/>
      <c r="P72" s="404"/>
      <c r="Q72" s="404"/>
    </row>
    <row r="73" spans="1:17" ht="19.5" thickTop="1" x14ac:dyDescent="0.3">
      <c r="C73" s="4" t="s">
        <v>7</v>
      </c>
      <c r="E73" s="98" t="s">
        <v>14</v>
      </c>
      <c r="F73" s="96">
        <f>SUM(F70:F72)</f>
        <v>-528841.08000000007</v>
      </c>
      <c r="H73" s="555"/>
      <c r="I73" s="108" t="s">
        <v>15</v>
      </c>
      <c r="J73" s="109"/>
      <c r="K73" s="969">
        <f>-C4</f>
        <v>-2546982.16</v>
      </c>
      <c r="L73" s="857"/>
    </row>
    <row r="74" spans="1:17" ht="16.5" thickBot="1" x14ac:dyDescent="0.3">
      <c r="D74" s="110" t="s">
        <v>16</v>
      </c>
      <c r="E74" s="98" t="s">
        <v>17</v>
      </c>
      <c r="F74" s="111">
        <v>540708</v>
      </c>
    </row>
    <row r="75" spans="1:17" ht="20.25" thickTop="1" thickBot="1" x14ac:dyDescent="0.35">
      <c r="C75" s="112">
        <v>44745</v>
      </c>
      <c r="D75" s="837" t="s">
        <v>18</v>
      </c>
      <c r="E75" s="838"/>
      <c r="F75" s="113">
        <v>2355426.54</v>
      </c>
      <c r="I75" s="839" t="s">
        <v>97</v>
      </c>
      <c r="J75" s="840"/>
      <c r="K75" s="841">
        <f>K71+K73</f>
        <v>-179688.70000000019</v>
      </c>
      <c r="L75" s="841"/>
    </row>
    <row r="76" spans="1:17" ht="17.25" x14ac:dyDescent="0.3">
      <c r="C76" s="114"/>
      <c r="D76" s="115"/>
      <c r="E76" s="98"/>
      <c r="F76" s="117"/>
      <c r="J76" s="118"/>
    </row>
    <row r="77" spans="1:17" ht="20.25" customHeight="1" x14ac:dyDescent="0.25">
      <c r="I77" s="119"/>
      <c r="J77" s="119"/>
      <c r="K77" s="179"/>
      <c r="L77" s="120"/>
    </row>
    <row r="78" spans="1:17" ht="16.5" customHeight="1" x14ac:dyDescent="0.25">
      <c r="B78" s="121"/>
      <c r="C78" s="122"/>
      <c r="D78" s="123"/>
      <c r="E78" s="34"/>
      <c r="I78" s="119"/>
      <c r="J78" s="119"/>
      <c r="K78" s="179"/>
      <c r="L78" s="120"/>
      <c r="M78" s="124"/>
      <c r="N78" s="98"/>
    </row>
    <row r="79" spans="1:17" x14ac:dyDescent="0.25">
      <c r="B79" s="121"/>
      <c r="C79" s="125"/>
      <c r="E79" s="34"/>
      <c r="M79" s="124"/>
      <c r="N79" s="98"/>
    </row>
    <row r="80" spans="1:17" x14ac:dyDescent="0.25">
      <c r="B80" s="121"/>
      <c r="C80" s="125"/>
      <c r="E80" s="34"/>
      <c r="F80" s="126"/>
      <c r="L80" s="127"/>
      <c r="M80" s="1"/>
    </row>
    <row r="81" spans="2:13" x14ac:dyDescent="0.25">
      <c r="B81" s="121"/>
      <c r="C81" s="125"/>
      <c r="E81" s="34"/>
      <c r="M81" s="1"/>
    </row>
    <row r="82" spans="2:13" x14ac:dyDescent="0.25">
      <c r="B82" s="121"/>
      <c r="C82" s="125"/>
      <c r="D82" s="128"/>
      <c r="E82" s="34"/>
      <c r="F82" s="129"/>
      <c r="M82" s="1"/>
    </row>
    <row r="83" spans="2:13" x14ac:dyDescent="0.25">
      <c r="D83" s="128"/>
      <c r="E83" s="130"/>
      <c r="F83" s="34"/>
      <c r="M83" s="1"/>
    </row>
    <row r="84" spans="2:13" x14ac:dyDescent="0.25">
      <c r="D84" s="128"/>
      <c r="E84" s="130"/>
      <c r="F84" s="34"/>
      <c r="M84" s="1"/>
    </row>
    <row r="85" spans="2:13" x14ac:dyDescent="0.25">
      <c r="D85" s="128"/>
      <c r="E85" s="130"/>
      <c r="F85" s="34"/>
      <c r="M85" s="1"/>
    </row>
    <row r="86" spans="2:13" x14ac:dyDescent="0.25">
      <c r="D86" s="128"/>
      <c r="E86" s="130"/>
      <c r="F86" s="34"/>
      <c r="M86" s="1"/>
    </row>
    <row r="87" spans="2:13" x14ac:dyDescent="0.25">
      <c r="D87" s="128"/>
      <c r="E87" s="130"/>
      <c r="F87" s="34"/>
      <c r="M87" s="1"/>
    </row>
    <row r="88" spans="2:13" x14ac:dyDescent="0.25">
      <c r="D88" s="128"/>
      <c r="E88" s="130"/>
      <c r="F88" s="34"/>
      <c r="M88" s="1"/>
    </row>
    <row r="89" spans="2:13" x14ac:dyDescent="0.25">
      <c r="D89" s="128"/>
      <c r="E89" s="130"/>
      <c r="F89" s="34"/>
      <c r="M89" s="1"/>
    </row>
    <row r="90" spans="2:13" x14ac:dyDescent="0.25">
      <c r="D90" s="128"/>
      <c r="E90" s="130"/>
      <c r="F90" s="34"/>
      <c r="M90" s="1"/>
    </row>
    <row r="91" spans="2:13" x14ac:dyDescent="0.25">
      <c r="D91" s="128"/>
      <c r="E91" s="130"/>
      <c r="F91" s="34"/>
      <c r="M91" s="1"/>
    </row>
    <row r="92" spans="2:13" x14ac:dyDescent="0.25">
      <c r="D92" s="128"/>
      <c r="E92" s="130"/>
      <c r="F92" s="34"/>
      <c r="M92" s="1"/>
    </row>
    <row r="93" spans="2:13" x14ac:dyDescent="0.25">
      <c r="D93" s="128"/>
      <c r="E93" s="130"/>
      <c r="F93" s="34"/>
      <c r="M93" s="1"/>
    </row>
    <row r="94" spans="2:13" x14ac:dyDescent="0.25">
      <c r="D94" s="128"/>
      <c r="E94" s="130"/>
      <c r="F94" s="34"/>
    </row>
    <row r="95" spans="2:13" x14ac:dyDescent="0.25">
      <c r="D95" s="128"/>
      <c r="E95" s="554"/>
      <c r="F95" s="129"/>
    </row>
    <row r="96" spans="2:13" x14ac:dyDescent="0.25">
      <c r="D96" s="128"/>
      <c r="E96" s="554"/>
      <c r="F96" s="129"/>
    </row>
    <row r="97" spans="4:6" x14ac:dyDescent="0.25">
      <c r="D97" s="128"/>
      <c r="E97" s="554"/>
      <c r="F97" s="129"/>
    </row>
  </sheetData>
  <sortState ref="B42:D51">
    <sortCondition ref="B42:B51"/>
  </sortState>
  <mergeCells count="22">
    <mergeCell ref="K73:L73"/>
    <mergeCell ref="D75:E75"/>
    <mergeCell ref="I75:J75"/>
    <mergeCell ref="K75:L75"/>
    <mergeCell ref="M45:N45"/>
    <mergeCell ref="H69:I69"/>
    <mergeCell ref="K69:L69"/>
    <mergeCell ref="D70:E70"/>
    <mergeCell ref="D71:E71"/>
    <mergeCell ref="I71:J71"/>
    <mergeCell ref="K71:L71"/>
    <mergeCell ref="R3:R4"/>
    <mergeCell ref="E4:F4"/>
    <mergeCell ref="H4:I4"/>
    <mergeCell ref="M41:M42"/>
    <mergeCell ref="N41:N42"/>
    <mergeCell ref="Q41:Q42"/>
    <mergeCell ref="B1:B2"/>
    <mergeCell ref="C1:M1"/>
    <mergeCell ref="B3:C3"/>
    <mergeCell ref="H3:I3"/>
    <mergeCell ref="P3:P4"/>
  </mergeCells>
  <pageMargins left="0.23622047244094491" right="0.23622047244094491" top="0.31496062992125984" bottom="0.39370078740157483" header="0.31496062992125984" footer="0.31496062992125984"/>
  <pageSetup paperSize="5" scale="70" orientation="landscape" horizontalDpi="0" verticalDpi="0" r:id="rId1"/>
  <drawing r:id="rId2"/>
  <legacyDrawing r:id="rId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M123"/>
  <sheetViews>
    <sheetView topLeftCell="A40" workbookViewId="0">
      <selection activeCell="C74" sqref="C74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8.710937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8.42578125" customWidth="1"/>
    <col min="8" max="8" width="14.5703125" style="98" customWidth="1"/>
    <col min="9" max="9" width="13.28515625" style="116" customWidth="1"/>
    <col min="10" max="10" width="18.85546875" style="4" bestFit="1" customWidth="1"/>
    <col min="11" max="11" width="12.42578125" style="257" bestFit="1" customWidth="1"/>
    <col min="12" max="12" width="15.140625" style="4" bestFit="1" customWidth="1"/>
    <col min="13" max="13" width="19.5703125" style="3" bestFit="1" customWidth="1"/>
  </cols>
  <sheetData>
    <row r="1" spans="1:13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H1" s="301" t="s">
        <v>318</v>
      </c>
      <c r="I1" s="302"/>
      <c r="J1" s="303"/>
      <c r="K1" s="367"/>
      <c r="L1" s="303"/>
      <c r="M1" s="377" t="s">
        <v>314</v>
      </c>
    </row>
    <row r="2" spans="1:13" ht="21.75" customHeight="1" thickTop="1" thickBot="1" x14ac:dyDescent="0.35">
      <c r="A2" s="545" t="s">
        <v>19</v>
      </c>
      <c r="B2" s="546" t="s">
        <v>20</v>
      </c>
      <c r="C2" s="547" t="s">
        <v>21</v>
      </c>
      <c r="D2" s="548" t="s">
        <v>22</v>
      </c>
      <c r="E2" s="549" t="s">
        <v>23</v>
      </c>
      <c r="F2" s="289" t="s">
        <v>210</v>
      </c>
      <c r="H2" s="297" t="s">
        <v>19</v>
      </c>
      <c r="I2" s="308" t="s">
        <v>265</v>
      </c>
      <c r="J2" s="299" t="s">
        <v>21</v>
      </c>
      <c r="K2" s="368" t="s">
        <v>22</v>
      </c>
      <c r="L2" s="299" t="s">
        <v>23</v>
      </c>
      <c r="M2" s="309" t="s">
        <v>210</v>
      </c>
    </row>
    <row r="3" spans="1:13" ht="15.75" x14ac:dyDescent="0.25">
      <c r="A3" s="454">
        <v>44711</v>
      </c>
      <c r="B3" s="246" t="s">
        <v>883</v>
      </c>
      <c r="C3" s="111">
        <v>66303.14</v>
      </c>
      <c r="D3" s="683">
        <v>44760</v>
      </c>
      <c r="E3" s="684">
        <v>66303.14</v>
      </c>
      <c r="F3" s="410">
        <f>C3-E3</f>
        <v>0</v>
      </c>
      <c r="H3" s="500" t="s">
        <v>988</v>
      </c>
      <c r="I3" s="501">
        <v>9423</v>
      </c>
      <c r="J3" s="502">
        <v>1393.2</v>
      </c>
      <c r="K3" s="721">
        <v>44766</v>
      </c>
      <c r="L3" s="722">
        <v>1393.2</v>
      </c>
      <c r="M3" s="183">
        <f>J3-L3</f>
        <v>0</v>
      </c>
    </row>
    <row r="4" spans="1:13" ht="18.75" x14ac:dyDescent="0.3">
      <c r="A4" s="454">
        <v>44712</v>
      </c>
      <c r="B4" s="246" t="s">
        <v>884</v>
      </c>
      <c r="C4" s="111">
        <v>111611.08</v>
      </c>
      <c r="D4" s="683">
        <v>44760</v>
      </c>
      <c r="E4" s="684">
        <v>111611.08</v>
      </c>
      <c r="F4" s="544">
        <f t="shared" ref="F4:F64" si="0">C4-E4</f>
        <v>0</v>
      </c>
      <c r="G4" s="138"/>
      <c r="H4" s="497" t="s">
        <v>989</v>
      </c>
      <c r="I4" s="498">
        <v>9432</v>
      </c>
      <c r="J4" s="499">
        <v>1519.7</v>
      </c>
      <c r="K4" s="721">
        <v>44766</v>
      </c>
      <c r="L4" s="720">
        <v>1519.7</v>
      </c>
      <c r="M4" s="137">
        <f>M3+J4-L4</f>
        <v>0</v>
      </c>
    </row>
    <row r="5" spans="1:13" ht="17.25" x14ac:dyDescent="0.3">
      <c r="A5" s="454">
        <v>44712</v>
      </c>
      <c r="B5" s="246" t="s">
        <v>885</v>
      </c>
      <c r="C5" s="111">
        <v>5816.4</v>
      </c>
      <c r="D5" s="683">
        <v>44760</v>
      </c>
      <c r="E5" s="684">
        <v>5816.4</v>
      </c>
      <c r="F5" s="544">
        <f t="shared" si="0"/>
        <v>0</v>
      </c>
      <c r="H5" s="672" t="s">
        <v>990</v>
      </c>
      <c r="I5" s="673">
        <v>9435</v>
      </c>
      <c r="J5" s="674">
        <v>1470</v>
      </c>
      <c r="K5" s="721">
        <v>44766</v>
      </c>
      <c r="L5" s="723">
        <v>1470</v>
      </c>
      <c r="M5" s="137">
        <f t="shared" ref="M5:M65" si="1">M4+J5-L5</f>
        <v>0</v>
      </c>
    </row>
    <row r="6" spans="1:13" ht="17.25" x14ac:dyDescent="0.3">
      <c r="A6" s="454">
        <v>44712</v>
      </c>
      <c r="B6" s="246" t="s">
        <v>886</v>
      </c>
      <c r="C6" s="111">
        <v>308.72000000000003</v>
      </c>
      <c r="D6" s="683">
        <v>44760</v>
      </c>
      <c r="E6" s="684">
        <v>308.72000000000003</v>
      </c>
      <c r="F6" s="544">
        <f t="shared" si="0"/>
        <v>0</v>
      </c>
      <c r="H6" s="672" t="s">
        <v>991</v>
      </c>
      <c r="I6" s="673">
        <v>9448</v>
      </c>
      <c r="J6" s="674">
        <v>550</v>
      </c>
      <c r="K6" s="721">
        <v>44766</v>
      </c>
      <c r="L6" s="723">
        <v>550</v>
      </c>
      <c r="M6" s="137">
        <f t="shared" si="1"/>
        <v>0</v>
      </c>
    </row>
    <row r="7" spans="1:13" ht="17.25" x14ac:dyDescent="0.3">
      <c r="A7" s="454">
        <v>44713</v>
      </c>
      <c r="B7" s="246" t="s">
        <v>887</v>
      </c>
      <c r="C7" s="111">
        <v>8698.7000000000007</v>
      </c>
      <c r="D7" s="683">
        <v>44760</v>
      </c>
      <c r="E7" s="684">
        <v>8698.7000000000007</v>
      </c>
      <c r="F7" s="544">
        <f t="shared" si="0"/>
        <v>0</v>
      </c>
      <c r="H7" s="675" t="s">
        <v>992</v>
      </c>
      <c r="I7" s="676">
        <v>9455</v>
      </c>
      <c r="J7" s="677">
        <v>2114</v>
      </c>
      <c r="K7" s="721">
        <v>44766</v>
      </c>
      <c r="L7" s="724">
        <v>2114</v>
      </c>
      <c r="M7" s="137">
        <f t="shared" si="1"/>
        <v>0</v>
      </c>
    </row>
    <row r="8" spans="1:13" ht="17.25" x14ac:dyDescent="0.3">
      <c r="A8" s="454">
        <v>44714</v>
      </c>
      <c r="B8" s="246" t="s">
        <v>888</v>
      </c>
      <c r="C8" s="111">
        <v>32020.98</v>
      </c>
      <c r="D8" s="683">
        <v>44760</v>
      </c>
      <c r="E8" s="684">
        <v>32020.98</v>
      </c>
      <c r="F8" s="544">
        <f t="shared" si="0"/>
        <v>0</v>
      </c>
      <c r="H8" s="675" t="s">
        <v>993</v>
      </c>
      <c r="I8" s="676">
        <v>9460</v>
      </c>
      <c r="J8" s="677">
        <v>14229.9</v>
      </c>
      <c r="K8" s="721">
        <v>44766</v>
      </c>
      <c r="L8" s="724">
        <v>14229.9</v>
      </c>
      <c r="M8" s="137">
        <f t="shared" si="1"/>
        <v>0</v>
      </c>
    </row>
    <row r="9" spans="1:13" ht="17.25" x14ac:dyDescent="0.3">
      <c r="A9" s="454">
        <v>44715</v>
      </c>
      <c r="B9" s="246" t="s">
        <v>889</v>
      </c>
      <c r="C9" s="111">
        <v>61048.800000000003</v>
      </c>
      <c r="D9" s="683">
        <v>44760</v>
      </c>
      <c r="E9" s="684">
        <v>61048.800000000003</v>
      </c>
      <c r="F9" s="544">
        <f t="shared" si="0"/>
        <v>0</v>
      </c>
      <c r="H9" s="672" t="s">
        <v>994</v>
      </c>
      <c r="I9" s="673">
        <v>9485</v>
      </c>
      <c r="J9" s="674">
        <v>6100</v>
      </c>
      <c r="K9" s="721">
        <v>44766</v>
      </c>
      <c r="L9" s="723">
        <v>6100</v>
      </c>
      <c r="M9" s="137">
        <f t="shared" si="1"/>
        <v>0</v>
      </c>
    </row>
    <row r="10" spans="1:13" ht="18.75" x14ac:dyDescent="0.3">
      <c r="A10" s="454">
        <v>44716</v>
      </c>
      <c r="B10" s="246" t="s">
        <v>890</v>
      </c>
      <c r="C10" s="111">
        <v>100170.2</v>
      </c>
      <c r="D10" s="683">
        <v>44760</v>
      </c>
      <c r="E10" s="684">
        <v>100170.2</v>
      </c>
      <c r="F10" s="544">
        <f t="shared" si="0"/>
        <v>0</v>
      </c>
      <c r="G10" s="138"/>
      <c r="H10" s="672" t="s">
        <v>995</v>
      </c>
      <c r="I10" s="673">
        <v>9490</v>
      </c>
      <c r="J10" s="674">
        <v>2232</v>
      </c>
      <c r="K10" s="721">
        <v>44766</v>
      </c>
      <c r="L10" s="723">
        <v>2232</v>
      </c>
      <c r="M10" s="137">
        <f t="shared" si="1"/>
        <v>0</v>
      </c>
    </row>
    <row r="11" spans="1:13" ht="17.25" x14ac:dyDescent="0.3">
      <c r="A11" s="454">
        <v>44718</v>
      </c>
      <c r="B11" s="246" t="s">
        <v>891</v>
      </c>
      <c r="C11" s="111">
        <v>49503.49</v>
      </c>
      <c r="D11" s="683">
        <v>44760</v>
      </c>
      <c r="E11" s="684">
        <v>49503.49</v>
      </c>
      <c r="F11" s="544">
        <f t="shared" si="0"/>
        <v>0</v>
      </c>
      <c r="H11" s="672" t="s">
        <v>996</v>
      </c>
      <c r="I11" s="673">
        <v>9496</v>
      </c>
      <c r="J11" s="674">
        <v>10033.6</v>
      </c>
      <c r="K11" s="721">
        <v>44766</v>
      </c>
      <c r="L11" s="723">
        <v>10033.6</v>
      </c>
      <c r="M11" s="137">
        <f t="shared" si="1"/>
        <v>0</v>
      </c>
    </row>
    <row r="12" spans="1:13" ht="17.25" x14ac:dyDescent="0.3">
      <c r="A12" s="454">
        <v>44718</v>
      </c>
      <c r="B12" s="246" t="s">
        <v>892</v>
      </c>
      <c r="C12" s="111">
        <v>47878.06</v>
      </c>
      <c r="D12" s="683">
        <v>44760</v>
      </c>
      <c r="E12" s="684">
        <v>47878.06</v>
      </c>
      <c r="F12" s="544">
        <f t="shared" si="0"/>
        <v>0</v>
      </c>
      <c r="H12" s="672" t="s">
        <v>997</v>
      </c>
      <c r="I12" s="673">
        <v>9504</v>
      </c>
      <c r="J12" s="674">
        <v>12212</v>
      </c>
      <c r="K12" s="721">
        <v>44766</v>
      </c>
      <c r="L12" s="723">
        <v>12212</v>
      </c>
      <c r="M12" s="137">
        <f t="shared" si="1"/>
        <v>0</v>
      </c>
    </row>
    <row r="13" spans="1:13" ht="17.25" x14ac:dyDescent="0.3">
      <c r="A13" s="454">
        <v>44719</v>
      </c>
      <c r="B13" s="246" t="s">
        <v>893</v>
      </c>
      <c r="C13" s="111">
        <v>15201.66</v>
      </c>
      <c r="D13" s="683">
        <v>44760</v>
      </c>
      <c r="E13" s="684">
        <v>15201.66</v>
      </c>
      <c r="F13" s="544">
        <f t="shared" si="0"/>
        <v>0</v>
      </c>
      <c r="H13" s="675" t="s">
        <v>998</v>
      </c>
      <c r="I13" s="676">
        <v>9511</v>
      </c>
      <c r="J13" s="677">
        <v>12465</v>
      </c>
      <c r="K13" s="721">
        <v>44766</v>
      </c>
      <c r="L13" s="724">
        <v>12465</v>
      </c>
      <c r="M13" s="137">
        <f t="shared" si="1"/>
        <v>0</v>
      </c>
    </row>
    <row r="14" spans="1:13" ht="17.25" x14ac:dyDescent="0.3">
      <c r="A14" s="454">
        <v>44719</v>
      </c>
      <c r="B14" s="246" t="s">
        <v>894</v>
      </c>
      <c r="C14" s="111">
        <v>1710</v>
      </c>
      <c r="D14" s="683">
        <v>44760</v>
      </c>
      <c r="E14" s="684">
        <v>1710</v>
      </c>
      <c r="F14" s="544">
        <f t="shared" si="0"/>
        <v>0</v>
      </c>
      <c r="H14" s="675" t="s">
        <v>999</v>
      </c>
      <c r="I14" s="676">
        <v>9517</v>
      </c>
      <c r="J14" s="677">
        <v>7129.75</v>
      </c>
      <c r="K14" s="721">
        <v>44766</v>
      </c>
      <c r="L14" s="724">
        <v>7129.75</v>
      </c>
      <c r="M14" s="137">
        <f t="shared" si="1"/>
        <v>0</v>
      </c>
    </row>
    <row r="15" spans="1:13" ht="17.25" x14ac:dyDescent="0.3">
      <c r="A15" s="454">
        <v>44719</v>
      </c>
      <c r="B15" s="246" t="s">
        <v>895</v>
      </c>
      <c r="C15" s="111">
        <v>45293.1</v>
      </c>
      <c r="D15" s="683">
        <v>44760</v>
      </c>
      <c r="E15" s="684">
        <v>45293.1</v>
      </c>
      <c r="F15" s="544">
        <f t="shared" si="0"/>
        <v>0</v>
      </c>
      <c r="H15" s="672" t="s">
        <v>999</v>
      </c>
      <c r="I15" s="673">
        <v>9518</v>
      </c>
      <c r="J15" s="674">
        <v>847</v>
      </c>
      <c r="K15" s="721">
        <v>44766</v>
      </c>
      <c r="L15" s="723">
        <v>847</v>
      </c>
      <c r="M15" s="137">
        <f t="shared" si="1"/>
        <v>0</v>
      </c>
    </row>
    <row r="16" spans="1:13" ht="17.25" x14ac:dyDescent="0.3">
      <c r="A16" s="454">
        <v>44720</v>
      </c>
      <c r="B16" s="246" t="s">
        <v>896</v>
      </c>
      <c r="C16" s="111">
        <v>45940.800000000003</v>
      </c>
      <c r="D16" s="683">
        <v>44760</v>
      </c>
      <c r="E16" s="684">
        <v>45940.800000000003</v>
      </c>
      <c r="F16" s="544">
        <f t="shared" si="0"/>
        <v>0</v>
      </c>
      <c r="H16" s="675" t="s">
        <v>1000</v>
      </c>
      <c r="I16" s="676">
        <v>9529</v>
      </c>
      <c r="J16" s="677">
        <v>31103.1</v>
      </c>
      <c r="K16" s="721">
        <v>44766</v>
      </c>
      <c r="L16" s="724">
        <v>31103.1</v>
      </c>
      <c r="M16" s="137">
        <f t="shared" si="1"/>
        <v>0</v>
      </c>
    </row>
    <row r="17" spans="1:13" ht="17.25" x14ac:dyDescent="0.3">
      <c r="A17" s="454">
        <v>44721</v>
      </c>
      <c r="B17" s="246" t="s">
        <v>897</v>
      </c>
      <c r="C17" s="111">
        <v>69162.899999999994</v>
      </c>
      <c r="D17" s="683">
        <v>44760</v>
      </c>
      <c r="E17" s="684">
        <v>69162.899999999994</v>
      </c>
      <c r="F17" s="544">
        <f t="shared" si="0"/>
        <v>0</v>
      </c>
      <c r="H17" s="675" t="s">
        <v>1001</v>
      </c>
      <c r="I17" s="676">
        <v>9533</v>
      </c>
      <c r="J17" s="677">
        <v>1016</v>
      </c>
      <c r="K17" s="721">
        <v>44766</v>
      </c>
      <c r="L17" s="724">
        <v>1016</v>
      </c>
      <c r="M17" s="137">
        <f t="shared" si="1"/>
        <v>0</v>
      </c>
    </row>
    <row r="18" spans="1:13" ht="17.25" x14ac:dyDescent="0.3">
      <c r="A18" s="454">
        <v>44722</v>
      </c>
      <c r="B18" s="246" t="s">
        <v>898</v>
      </c>
      <c r="C18" s="111">
        <v>157826.47</v>
      </c>
      <c r="D18" s="683">
        <v>44760</v>
      </c>
      <c r="E18" s="684">
        <v>157826.47</v>
      </c>
      <c r="F18" s="544">
        <f t="shared" si="0"/>
        <v>0</v>
      </c>
      <c r="H18" s="672" t="s">
        <v>1001</v>
      </c>
      <c r="I18" s="673">
        <v>9534</v>
      </c>
      <c r="J18" s="674">
        <v>2400</v>
      </c>
      <c r="K18" s="721">
        <v>44766</v>
      </c>
      <c r="L18" s="723">
        <v>2400</v>
      </c>
      <c r="M18" s="137">
        <f t="shared" si="1"/>
        <v>0</v>
      </c>
    </row>
    <row r="19" spans="1:13" ht="17.25" x14ac:dyDescent="0.3">
      <c r="A19" s="454">
        <v>44723</v>
      </c>
      <c r="B19" s="246" t="s">
        <v>916</v>
      </c>
      <c r="C19" s="111">
        <v>75251.399999999994</v>
      </c>
      <c r="D19" s="718">
        <v>44769</v>
      </c>
      <c r="E19" s="717">
        <v>75251.399999999994</v>
      </c>
      <c r="F19" s="544">
        <f t="shared" si="0"/>
        <v>0</v>
      </c>
      <c r="H19" s="675" t="s">
        <v>1002</v>
      </c>
      <c r="I19" s="676">
        <v>9543</v>
      </c>
      <c r="J19" s="677">
        <v>3150.5</v>
      </c>
      <c r="K19" s="721">
        <v>44766</v>
      </c>
      <c r="L19" s="724">
        <v>3150.5</v>
      </c>
      <c r="M19" s="137">
        <f t="shared" si="1"/>
        <v>0</v>
      </c>
    </row>
    <row r="20" spans="1:13" ht="17.25" x14ac:dyDescent="0.3">
      <c r="A20" s="454">
        <v>44725</v>
      </c>
      <c r="B20" s="246" t="s">
        <v>917</v>
      </c>
      <c r="C20" s="111">
        <v>59986.66</v>
      </c>
      <c r="D20" s="718">
        <v>44769</v>
      </c>
      <c r="E20" s="717">
        <v>59986.66</v>
      </c>
      <c r="F20" s="544">
        <f t="shared" si="0"/>
        <v>0</v>
      </c>
      <c r="H20" s="672" t="s">
        <v>1002</v>
      </c>
      <c r="I20" s="673">
        <v>9544</v>
      </c>
      <c r="J20" s="674">
        <v>40918.800000000003</v>
      </c>
      <c r="K20" s="721">
        <v>44766</v>
      </c>
      <c r="L20" s="723">
        <v>40918.800000000003</v>
      </c>
      <c r="M20" s="137">
        <f t="shared" si="1"/>
        <v>0</v>
      </c>
    </row>
    <row r="21" spans="1:13" ht="17.25" x14ac:dyDescent="0.3">
      <c r="A21" s="454">
        <v>44726</v>
      </c>
      <c r="B21" s="246" t="s">
        <v>918</v>
      </c>
      <c r="C21" s="111">
        <v>28057.52</v>
      </c>
      <c r="D21" s="718">
        <v>44769</v>
      </c>
      <c r="E21" s="717">
        <v>28057.52</v>
      </c>
      <c r="F21" s="544">
        <f t="shared" si="0"/>
        <v>0</v>
      </c>
      <c r="H21" s="675" t="s">
        <v>1003</v>
      </c>
      <c r="I21" s="676">
        <v>9551</v>
      </c>
      <c r="J21" s="677">
        <v>300</v>
      </c>
      <c r="K21" s="721">
        <v>44766</v>
      </c>
      <c r="L21" s="724">
        <v>300</v>
      </c>
      <c r="M21" s="137">
        <f t="shared" si="1"/>
        <v>0</v>
      </c>
    </row>
    <row r="22" spans="1:13" ht="18.75" x14ac:dyDescent="0.3">
      <c r="A22" s="454">
        <v>44726</v>
      </c>
      <c r="B22" s="246" t="s">
        <v>919</v>
      </c>
      <c r="C22" s="111">
        <v>4554</v>
      </c>
      <c r="D22" s="718">
        <v>44769</v>
      </c>
      <c r="E22" s="717">
        <v>4554</v>
      </c>
      <c r="F22" s="544">
        <f t="shared" si="0"/>
        <v>0</v>
      </c>
      <c r="G22" s="644"/>
      <c r="H22" s="672" t="s">
        <v>1004</v>
      </c>
      <c r="I22" s="673">
        <v>9558</v>
      </c>
      <c r="J22" s="674">
        <v>6240</v>
      </c>
      <c r="K22" s="721">
        <v>44766</v>
      </c>
      <c r="L22" s="723">
        <v>6240</v>
      </c>
      <c r="M22" s="137">
        <f t="shared" si="1"/>
        <v>0</v>
      </c>
    </row>
    <row r="23" spans="1:13" ht="17.25" x14ac:dyDescent="0.3">
      <c r="A23" s="454">
        <v>44727</v>
      </c>
      <c r="B23" s="246" t="s">
        <v>920</v>
      </c>
      <c r="C23" s="111">
        <v>20506.8</v>
      </c>
      <c r="D23" s="718">
        <v>44769</v>
      </c>
      <c r="E23" s="717">
        <v>20506.8</v>
      </c>
      <c r="F23" s="544">
        <f t="shared" si="0"/>
        <v>0</v>
      </c>
      <c r="G23" s="2"/>
      <c r="H23" s="672" t="s">
        <v>1005</v>
      </c>
      <c r="I23" s="673">
        <v>9568</v>
      </c>
      <c r="J23" s="674">
        <v>64859.8</v>
      </c>
      <c r="K23" s="721">
        <v>44766</v>
      </c>
      <c r="L23" s="723">
        <v>64859.8</v>
      </c>
      <c r="M23" s="137">
        <f t="shared" si="1"/>
        <v>0</v>
      </c>
    </row>
    <row r="24" spans="1:13" ht="17.25" x14ac:dyDescent="0.3">
      <c r="A24" s="454">
        <v>44728</v>
      </c>
      <c r="B24" s="246" t="s">
        <v>921</v>
      </c>
      <c r="C24" s="111">
        <v>70754.91</v>
      </c>
      <c r="D24" s="718">
        <v>44769</v>
      </c>
      <c r="E24" s="717">
        <v>70754.91</v>
      </c>
      <c r="F24" s="544">
        <f t="shared" si="0"/>
        <v>0</v>
      </c>
      <c r="G24" s="2"/>
      <c r="H24" s="672" t="s">
        <v>1005</v>
      </c>
      <c r="I24" s="673">
        <v>9569</v>
      </c>
      <c r="J24" s="674">
        <v>2900</v>
      </c>
      <c r="K24" s="721">
        <v>44766</v>
      </c>
      <c r="L24" s="723">
        <v>2900</v>
      </c>
      <c r="M24" s="137">
        <f t="shared" si="1"/>
        <v>0</v>
      </c>
    </row>
    <row r="25" spans="1:13" ht="17.25" x14ac:dyDescent="0.3">
      <c r="A25" s="454">
        <v>44729</v>
      </c>
      <c r="B25" s="246" t="s">
        <v>922</v>
      </c>
      <c r="C25" s="111">
        <v>102195.9</v>
      </c>
      <c r="D25" s="718">
        <v>44769</v>
      </c>
      <c r="E25" s="717">
        <v>102195.9</v>
      </c>
      <c r="F25" s="544">
        <f t="shared" si="0"/>
        <v>0</v>
      </c>
      <c r="G25" s="645"/>
      <c r="H25" s="675" t="s">
        <v>1005</v>
      </c>
      <c r="I25" s="676">
        <v>9570</v>
      </c>
      <c r="J25" s="677">
        <v>333.6</v>
      </c>
      <c r="K25" s="721">
        <v>44766</v>
      </c>
      <c r="L25" s="724">
        <v>333.6</v>
      </c>
      <c r="M25" s="137">
        <f t="shared" si="1"/>
        <v>0</v>
      </c>
    </row>
    <row r="26" spans="1:13" ht="17.25" x14ac:dyDescent="0.3">
      <c r="A26" s="454">
        <v>44730</v>
      </c>
      <c r="B26" s="580" t="s">
        <v>953</v>
      </c>
      <c r="C26" s="111">
        <v>64559.72</v>
      </c>
      <c r="D26" s="718">
        <v>44769</v>
      </c>
      <c r="E26" s="717">
        <v>64559.72</v>
      </c>
      <c r="F26" s="544">
        <f t="shared" si="0"/>
        <v>0</v>
      </c>
      <c r="G26" s="645"/>
      <c r="H26" s="672" t="s">
        <v>1005</v>
      </c>
      <c r="I26" s="673">
        <v>9572</v>
      </c>
      <c r="J26" s="674">
        <v>500</v>
      </c>
      <c r="K26" s="721">
        <v>44766</v>
      </c>
      <c r="L26" s="723">
        <v>500</v>
      </c>
      <c r="M26" s="137">
        <f t="shared" si="1"/>
        <v>0</v>
      </c>
    </row>
    <row r="27" spans="1:13" ht="17.25" x14ac:dyDescent="0.3">
      <c r="A27" s="454">
        <v>44732</v>
      </c>
      <c r="B27" s="246" t="s">
        <v>954</v>
      </c>
      <c r="C27" s="111">
        <v>68026</v>
      </c>
      <c r="D27" s="718">
        <v>44769</v>
      </c>
      <c r="E27" s="717">
        <v>68026</v>
      </c>
      <c r="F27" s="544">
        <f t="shared" si="0"/>
        <v>0</v>
      </c>
      <c r="G27" s="645"/>
      <c r="H27" s="675" t="s">
        <v>1006</v>
      </c>
      <c r="I27" s="676">
        <v>9583</v>
      </c>
      <c r="J27" s="677">
        <v>7288.2</v>
      </c>
      <c r="K27" s="721">
        <v>44766</v>
      </c>
      <c r="L27" s="724">
        <v>7288.2</v>
      </c>
      <c r="M27" s="137">
        <f t="shared" si="1"/>
        <v>0</v>
      </c>
    </row>
    <row r="28" spans="1:13" ht="17.25" x14ac:dyDescent="0.3">
      <c r="A28" s="454">
        <v>44733</v>
      </c>
      <c r="B28" s="246" t="s">
        <v>955</v>
      </c>
      <c r="C28" s="111">
        <v>66413.16</v>
      </c>
      <c r="D28" s="718">
        <v>44769</v>
      </c>
      <c r="E28" s="717">
        <v>66413.16</v>
      </c>
      <c r="F28" s="544">
        <f t="shared" si="0"/>
        <v>0</v>
      </c>
      <c r="G28" s="645"/>
      <c r="H28" s="675" t="s">
        <v>1007</v>
      </c>
      <c r="I28" s="676">
        <v>9591</v>
      </c>
      <c r="J28" s="677">
        <v>32983.1</v>
      </c>
      <c r="K28" s="721">
        <v>44766</v>
      </c>
      <c r="L28" s="724">
        <v>32983.1</v>
      </c>
      <c r="M28" s="137">
        <f t="shared" si="1"/>
        <v>0</v>
      </c>
    </row>
    <row r="29" spans="1:13" ht="17.25" x14ac:dyDescent="0.3">
      <c r="A29" s="454">
        <v>44733</v>
      </c>
      <c r="B29" s="246" t="s">
        <v>956</v>
      </c>
      <c r="C29" s="111">
        <v>2197.8000000000002</v>
      </c>
      <c r="D29" s="718">
        <v>44769</v>
      </c>
      <c r="E29" s="717">
        <v>2197.8000000000002</v>
      </c>
      <c r="F29" s="544">
        <f t="shared" si="0"/>
        <v>0</v>
      </c>
      <c r="G29" s="645"/>
      <c r="H29" s="675" t="s">
        <v>1008</v>
      </c>
      <c r="I29" s="676">
        <v>9599</v>
      </c>
      <c r="J29" s="677">
        <v>3363</v>
      </c>
      <c r="K29" s="721">
        <v>44766</v>
      </c>
      <c r="L29" s="724">
        <v>3363</v>
      </c>
      <c r="M29" s="137">
        <f t="shared" si="1"/>
        <v>0</v>
      </c>
    </row>
    <row r="30" spans="1:13" ht="17.25" x14ac:dyDescent="0.3">
      <c r="A30" s="454">
        <v>44734</v>
      </c>
      <c r="B30" s="246" t="s">
        <v>957</v>
      </c>
      <c r="C30" s="111">
        <v>55732.800000000003</v>
      </c>
      <c r="D30" s="718">
        <v>44769</v>
      </c>
      <c r="E30" s="717">
        <v>55732.800000000003</v>
      </c>
      <c r="F30" s="544">
        <f t="shared" si="0"/>
        <v>0</v>
      </c>
      <c r="G30" s="645"/>
      <c r="H30" s="675" t="s">
        <v>1009</v>
      </c>
      <c r="I30" s="676">
        <v>9607</v>
      </c>
      <c r="J30" s="677">
        <v>300</v>
      </c>
      <c r="K30" s="721">
        <v>44766</v>
      </c>
      <c r="L30" s="724">
        <v>300</v>
      </c>
      <c r="M30" s="137">
        <f t="shared" si="1"/>
        <v>0</v>
      </c>
    </row>
    <row r="31" spans="1:13" ht="17.25" x14ac:dyDescent="0.3">
      <c r="A31" s="454">
        <v>44735</v>
      </c>
      <c r="B31" s="246" t="s">
        <v>958</v>
      </c>
      <c r="C31" s="111">
        <v>106959.76</v>
      </c>
      <c r="D31" s="718">
        <v>44769</v>
      </c>
      <c r="E31" s="717">
        <v>106959.76</v>
      </c>
      <c r="F31" s="544">
        <f t="shared" si="0"/>
        <v>0</v>
      </c>
      <c r="G31" s="2"/>
      <c r="H31" s="675" t="s">
        <v>1010</v>
      </c>
      <c r="I31" s="676">
        <v>9623</v>
      </c>
      <c r="J31" s="677">
        <v>780</v>
      </c>
      <c r="K31" s="721">
        <v>44766</v>
      </c>
      <c r="L31" s="724">
        <v>780</v>
      </c>
      <c r="M31" s="137">
        <f t="shared" si="1"/>
        <v>0</v>
      </c>
    </row>
    <row r="32" spans="1:13" ht="17.25" x14ac:dyDescent="0.3">
      <c r="A32" s="454">
        <v>44736</v>
      </c>
      <c r="B32" s="246" t="s">
        <v>959</v>
      </c>
      <c r="C32" s="111">
        <v>69961.259999999995</v>
      </c>
      <c r="D32" s="718">
        <v>44769</v>
      </c>
      <c r="E32" s="717">
        <v>69961.259999999995</v>
      </c>
      <c r="F32" s="544">
        <f t="shared" si="0"/>
        <v>0</v>
      </c>
      <c r="G32" s="2"/>
      <c r="H32" s="672" t="s">
        <v>1011</v>
      </c>
      <c r="I32" s="673">
        <v>9630</v>
      </c>
      <c r="J32" s="674">
        <v>5345.6</v>
      </c>
      <c r="K32" s="721">
        <v>44766</v>
      </c>
      <c r="L32" s="723">
        <v>5345.6</v>
      </c>
      <c r="M32" s="137">
        <f t="shared" si="1"/>
        <v>0</v>
      </c>
    </row>
    <row r="33" spans="1:13" ht="17.25" x14ac:dyDescent="0.3">
      <c r="A33" s="454">
        <v>44737</v>
      </c>
      <c r="B33" s="246" t="s">
        <v>960</v>
      </c>
      <c r="C33" s="111">
        <v>81212.86</v>
      </c>
      <c r="D33" s="718">
        <v>44769</v>
      </c>
      <c r="E33" s="717">
        <v>81212.86</v>
      </c>
      <c r="F33" s="544">
        <f t="shared" si="0"/>
        <v>0</v>
      </c>
      <c r="H33" s="672" t="s">
        <v>1012</v>
      </c>
      <c r="I33" s="673">
        <v>9643</v>
      </c>
      <c r="J33" s="674">
        <v>1150</v>
      </c>
      <c r="K33" s="721">
        <v>44766</v>
      </c>
      <c r="L33" s="723">
        <v>1150</v>
      </c>
      <c r="M33" s="137">
        <f t="shared" si="1"/>
        <v>0</v>
      </c>
    </row>
    <row r="34" spans="1:13" ht="32.25" x14ac:dyDescent="0.3">
      <c r="A34" s="454">
        <v>44739</v>
      </c>
      <c r="B34" s="246" t="s">
        <v>961</v>
      </c>
      <c r="C34" s="111">
        <v>49528.800000000003</v>
      </c>
      <c r="D34" s="736" t="s">
        <v>1182</v>
      </c>
      <c r="E34" s="717">
        <f>24074.75+25454.05</f>
        <v>49528.800000000003</v>
      </c>
      <c r="F34" s="544">
        <f t="shared" si="0"/>
        <v>0</v>
      </c>
      <c r="H34" s="672" t="s">
        <v>1012</v>
      </c>
      <c r="I34" s="673">
        <v>9644</v>
      </c>
      <c r="J34" s="674">
        <v>6406.9</v>
      </c>
      <c r="K34" s="721">
        <v>44766</v>
      </c>
      <c r="L34" s="723">
        <v>6406.9</v>
      </c>
      <c r="M34" s="137">
        <f t="shared" si="1"/>
        <v>0</v>
      </c>
    </row>
    <row r="35" spans="1:13" ht="17.25" x14ac:dyDescent="0.3">
      <c r="A35" s="454">
        <v>44739</v>
      </c>
      <c r="B35" s="246" t="s">
        <v>962</v>
      </c>
      <c r="C35" s="111">
        <v>9215.3700000000008</v>
      </c>
      <c r="D35" s="737">
        <v>44799</v>
      </c>
      <c r="E35" s="738">
        <v>9215.3700000000008</v>
      </c>
      <c r="F35" s="544">
        <f t="shared" si="0"/>
        <v>0</v>
      </c>
      <c r="H35" s="675" t="s">
        <v>1013</v>
      </c>
      <c r="I35" s="676">
        <v>9649</v>
      </c>
      <c r="J35" s="677">
        <v>3200</v>
      </c>
      <c r="K35" s="721">
        <v>44766</v>
      </c>
      <c r="L35" s="724">
        <v>3200</v>
      </c>
      <c r="M35" s="137">
        <f t="shared" si="1"/>
        <v>0</v>
      </c>
    </row>
    <row r="36" spans="1:13" ht="17.25" x14ac:dyDescent="0.3">
      <c r="A36" s="454">
        <v>44740</v>
      </c>
      <c r="B36" s="246" t="s">
        <v>963</v>
      </c>
      <c r="C36" s="111">
        <v>96875.6</v>
      </c>
      <c r="D36" s="737">
        <v>44799</v>
      </c>
      <c r="E36" s="738">
        <v>96875.6</v>
      </c>
      <c r="F36" s="544">
        <f t="shared" si="0"/>
        <v>0</v>
      </c>
      <c r="H36" s="675" t="s">
        <v>1014</v>
      </c>
      <c r="I36" s="676">
        <v>9658</v>
      </c>
      <c r="J36" s="677">
        <v>550</v>
      </c>
      <c r="K36" s="721">
        <v>44766</v>
      </c>
      <c r="L36" s="724">
        <v>550</v>
      </c>
      <c r="M36" s="137">
        <f t="shared" si="1"/>
        <v>0</v>
      </c>
    </row>
    <row r="37" spans="1:13" ht="17.25" x14ac:dyDescent="0.3">
      <c r="A37" s="454">
        <v>44741</v>
      </c>
      <c r="B37" s="246" t="s">
        <v>964</v>
      </c>
      <c r="C37" s="111">
        <v>26574.6</v>
      </c>
      <c r="D37" s="737">
        <v>44799</v>
      </c>
      <c r="E37" s="738">
        <v>26574.6</v>
      </c>
      <c r="F37" s="544">
        <f t="shared" si="0"/>
        <v>0</v>
      </c>
      <c r="H37" s="672" t="s">
        <v>1015</v>
      </c>
      <c r="I37" s="673">
        <v>9678</v>
      </c>
      <c r="J37" s="674">
        <v>773.5</v>
      </c>
      <c r="K37" s="721">
        <v>44766</v>
      </c>
      <c r="L37" s="723">
        <v>773.5</v>
      </c>
      <c r="M37" s="137">
        <f t="shared" si="1"/>
        <v>0</v>
      </c>
    </row>
    <row r="38" spans="1:13" ht="17.25" x14ac:dyDescent="0.3">
      <c r="A38" s="454">
        <v>44742</v>
      </c>
      <c r="B38" s="246" t="s">
        <v>965</v>
      </c>
      <c r="C38" s="111">
        <v>110618.06</v>
      </c>
      <c r="D38" s="737">
        <v>44799</v>
      </c>
      <c r="E38" s="738">
        <v>110618.06</v>
      </c>
      <c r="F38" s="544">
        <f t="shared" si="0"/>
        <v>0</v>
      </c>
      <c r="H38" s="675" t="s">
        <v>1016</v>
      </c>
      <c r="I38" s="676">
        <v>9686</v>
      </c>
      <c r="J38" s="677">
        <v>1316.8</v>
      </c>
      <c r="K38" s="721">
        <v>44766</v>
      </c>
      <c r="L38" s="724">
        <v>1316.8</v>
      </c>
      <c r="M38" s="137">
        <f t="shared" si="1"/>
        <v>0</v>
      </c>
    </row>
    <row r="39" spans="1:13" ht="15.75" x14ac:dyDescent="0.25">
      <c r="A39" s="667">
        <v>44742</v>
      </c>
      <c r="B39" s="668" t="s">
        <v>966</v>
      </c>
      <c r="C39" s="111">
        <v>3223.2</v>
      </c>
      <c r="D39" s="737">
        <v>44799</v>
      </c>
      <c r="E39" s="738">
        <v>3223.2</v>
      </c>
      <c r="F39" s="111">
        <f t="shared" si="0"/>
        <v>0</v>
      </c>
      <c r="H39" s="134"/>
      <c r="I39" s="139"/>
      <c r="J39" s="69"/>
      <c r="K39" s="253"/>
      <c r="L39" s="69"/>
      <c r="M39" s="137">
        <f t="shared" si="1"/>
        <v>0</v>
      </c>
    </row>
    <row r="40" spans="1:13" ht="15.75" x14ac:dyDescent="0.25">
      <c r="A40" s="667">
        <v>44743</v>
      </c>
      <c r="B40" s="668" t="s">
        <v>967</v>
      </c>
      <c r="C40" s="111">
        <v>65436.19</v>
      </c>
      <c r="D40" s="737">
        <v>44799</v>
      </c>
      <c r="E40" s="738">
        <v>65436.19</v>
      </c>
      <c r="F40" s="111">
        <f t="shared" si="0"/>
        <v>0</v>
      </c>
      <c r="H40" s="134"/>
      <c r="I40" s="139"/>
      <c r="J40" s="69"/>
      <c r="K40" s="253"/>
      <c r="L40" s="69"/>
      <c r="M40" s="137">
        <f t="shared" si="1"/>
        <v>0</v>
      </c>
    </row>
    <row r="41" spans="1:13" ht="15.75" x14ac:dyDescent="0.25">
      <c r="A41" s="667">
        <v>44744</v>
      </c>
      <c r="B41" s="668" t="s">
        <v>968</v>
      </c>
      <c r="C41" s="111">
        <v>60853.03</v>
      </c>
      <c r="D41" s="737">
        <v>44799</v>
      </c>
      <c r="E41" s="738">
        <v>60853.03</v>
      </c>
      <c r="F41" s="111">
        <f t="shared" si="0"/>
        <v>0</v>
      </c>
      <c r="H41" s="134"/>
      <c r="I41" s="139"/>
      <c r="J41" s="69"/>
      <c r="K41" s="253"/>
      <c r="L41" s="69"/>
      <c r="M41" s="137">
        <f t="shared" si="1"/>
        <v>0</v>
      </c>
    </row>
    <row r="42" spans="1:13" ht="15.75" x14ac:dyDescent="0.25">
      <c r="A42" s="667">
        <v>44744</v>
      </c>
      <c r="B42" s="668" t="s">
        <v>969</v>
      </c>
      <c r="C42" s="111">
        <v>5205</v>
      </c>
      <c r="D42" s="737">
        <v>44799</v>
      </c>
      <c r="E42" s="738">
        <v>5205</v>
      </c>
      <c r="F42" s="111">
        <f t="shared" si="0"/>
        <v>0</v>
      </c>
      <c r="H42" s="134"/>
      <c r="I42" s="139"/>
      <c r="J42" s="69"/>
      <c r="K42" s="253"/>
      <c r="L42" s="69"/>
      <c r="M42" s="137">
        <f t="shared" si="1"/>
        <v>0</v>
      </c>
    </row>
    <row r="43" spans="1:13" ht="15.75" x14ac:dyDescent="0.25">
      <c r="A43" s="667"/>
      <c r="B43" s="668"/>
      <c r="C43" s="111"/>
      <c r="D43" s="253"/>
      <c r="E43" s="69"/>
      <c r="F43" s="111">
        <f t="shared" si="0"/>
        <v>0</v>
      </c>
      <c r="H43" s="930" t="s">
        <v>594</v>
      </c>
      <c r="I43" s="931"/>
      <c r="J43" s="69"/>
      <c r="K43" s="253"/>
      <c r="L43" s="69"/>
      <c r="M43" s="137">
        <f t="shared" si="1"/>
        <v>0</v>
      </c>
    </row>
    <row r="44" spans="1:13" ht="15.75" x14ac:dyDescent="0.25">
      <c r="A44" s="669"/>
      <c r="B44" s="668"/>
      <c r="C44" s="111"/>
      <c r="D44" s="253"/>
      <c r="E44" s="69"/>
      <c r="F44" s="111">
        <f t="shared" si="0"/>
        <v>0</v>
      </c>
      <c r="H44" s="932"/>
      <c r="I44" s="933"/>
      <c r="J44" s="69"/>
      <c r="K44" s="253"/>
      <c r="L44" s="69"/>
      <c r="M44" s="137">
        <f t="shared" si="1"/>
        <v>0</v>
      </c>
    </row>
    <row r="45" spans="1:13" ht="15.75" x14ac:dyDescent="0.25">
      <c r="A45" s="669"/>
      <c r="B45" s="668"/>
      <c r="C45" s="111"/>
      <c r="D45" s="253"/>
      <c r="E45" s="69"/>
      <c r="F45" s="111">
        <f t="shared" si="0"/>
        <v>0</v>
      </c>
      <c r="H45" s="934"/>
      <c r="I45" s="935"/>
      <c r="J45" s="69"/>
      <c r="K45" s="253"/>
      <c r="L45" s="69"/>
      <c r="M45" s="137">
        <f t="shared" si="1"/>
        <v>0</v>
      </c>
    </row>
    <row r="46" spans="1:13" ht="15.75" x14ac:dyDescent="0.25">
      <c r="A46" s="666"/>
      <c r="B46" s="664"/>
      <c r="C46" s="69"/>
      <c r="D46" s="253"/>
      <c r="E46" s="69"/>
      <c r="F46" s="111">
        <f t="shared" si="0"/>
        <v>0</v>
      </c>
      <c r="H46" s="134"/>
      <c r="I46" s="139"/>
      <c r="J46" s="69"/>
      <c r="K46" s="253"/>
      <c r="L46" s="69"/>
      <c r="M46" s="137">
        <f t="shared" si="1"/>
        <v>0</v>
      </c>
    </row>
    <row r="47" spans="1:13" ht="15.75" x14ac:dyDescent="0.25">
      <c r="A47" s="134"/>
      <c r="B47" s="664"/>
      <c r="C47" s="69"/>
      <c r="D47" s="253"/>
      <c r="E47" s="69"/>
      <c r="F47" s="111">
        <f t="shared" si="0"/>
        <v>0</v>
      </c>
      <c r="H47" s="134"/>
      <c r="I47" s="139"/>
      <c r="J47" s="69"/>
      <c r="K47" s="253"/>
      <c r="L47" s="69"/>
      <c r="M47" s="137">
        <f t="shared" si="1"/>
        <v>0</v>
      </c>
    </row>
    <row r="48" spans="1:13" ht="15.75" x14ac:dyDescent="0.25">
      <c r="A48" s="134"/>
      <c r="B48" s="664"/>
      <c r="C48" s="69"/>
      <c r="D48" s="253"/>
      <c r="E48" s="69"/>
      <c r="F48" s="111">
        <f t="shared" si="0"/>
        <v>0</v>
      </c>
      <c r="H48" s="134"/>
      <c r="I48" s="139"/>
      <c r="J48" s="69"/>
      <c r="K48" s="253"/>
      <c r="L48" s="69"/>
      <c r="M48" s="137">
        <f t="shared" si="1"/>
        <v>0</v>
      </c>
    </row>
    <row r="49" spans="1:13" ht="15.75" hidden="1" x14ac:dyDescent="0.25">
      <c r="A49" s="134"/>
      <c r="B49" s="665"/>
      <c r="C49" s="69"/>
      <c r="D49" s="253"/>
      <c r="E49" s="69"/>
      <c r="F49" s="111">
        <f t="shared" si="0"/>
        <v>0</v>
      </c>
      <c r="H49" s="134"/>
      <c r="I49" s="139"/>
      <c r="J49" s="69"/>
      <c r="K49" s="253"/>
      <c r="L49" s="69"/>
      <c r="M49" s="137">
        <f t="shared" si="1"/>
        <v>0</v>
      </c>
    </row>
    <row r="50" spans="1:13" ht="15.75" hidden="1" x14ac:dyDescent="0.25">
      <c r="A50" s="134"/>
      <c r="B50" s="139"/>
      <c r="C50" s="69"/>
      <c r="D50" s="254"/>
      <c r="E50" s="69"/>
      <c r="F50" s="111">
        <f t="shared" si="0"/>
        <v>0</v>
      </c>
      <c r="H50" s="356"/>
      <c r="I50" s="357"/>
      <c r="J50" s="34"/>
      <c r="K50" s="118"/>
      <c r="L50" s="34"/>
      <c r="M50" s="137">
        <f t="shared" si="1"/>
        <v>0</v>
      </c>
    </row>
    <row r="51" spans="1:13" ht="15.75" hidden="1" x14ac:dyDescent="0.25">
      <c r="A51" s="134"/>
      <c r="B51" s="139"/>
      <c r="C51" s="69"/>
      <c r="D51" s="254"/>
      <c r="E51" s="69"/>
      <c r="F51" s="111">
        <f t="shared" si="0"/>
        <v>0</v>
      </c>
      <c r="H51" s="356"/>
      <c r="I51" s="357"/>
      <c r="J51" s="34"/>
      <c r="K51" s="118"/>
      <c r="L51" s="34"/>
      <c r="M51" s="137">
        <f t="shared" si="1"/>
        <v>0</v>
      </c>
    </row>
    <row r="52" spans="1:13" ht="15.75" hidden="1" x14ac:dyDescent="0.25">
      <c r="A52" s="134"/>
      <c r="B52" s="139"/>
      <c r="C52" s="69"/>
      <c r="D52" s="254"/>
      <c r="E52" s="69"/>
      <c r="F52" s="111">
        <f t="shared" si="0"/>
        <v>0</v>
      </c>
      <c r="H52" s="356"/>
      <c r="I52" s="357"/>
      <c r="J52" s="34"/>
      <c r="K52" s="118"/>
      <c r="L52" s="34"/>
      <c r="M52" s="137">
        <f t="shared" si="1"/>
        <v>0</v>
      </c>
    </row>
    <row r="53" spans="1:13" ht="15.75" hidden="1" x14ac:dyDescent="0.25">
      <c r="A53" s="134"/>
      <c r="B53" s="139"/>
      <c r="C53" s="69"/>
      <c r="D53" s="254"/>
      <c r="E53" s="69"/>
      <c r="F53" s="111">
        <f t="shared" si="0"/>
        <v>0</v>
      </c>
      <c r="H53" s="356"/>
      <c r="I53" s="357"/>
      <c r="J53" s="34"/>
      <c r="K53" s="118"/>
      <c r="L53" s="34"/>
      <c r="M53" s="137">
        <f t="shared" si="1"/>
        <v>0</v>
      </c>
    </row>
    <row r="54" spans="1:13" ht="15.75" hidden="1" x14ac:dyDescent="0.25">
      <c r="A54" s="134"/>
      <c r="B54" s="139"/>
      <c r="C54" s="69"/>
      <c r="D54" s="254"/>
      <c r="E54" s="69"/>
      <c r="F54" s="111">
        <f t="shared" si="0"/>
        <v>0</v>
      </c>
      <c r="H54" s="356"/>
      <c r="I54" s="357"/>
      <c r="J54" s="34"/>
      <c r="K54" s="118"/>
      <c r="L54" s="34"/>
      <c r="M54" s="137">
        <f t="shared" si="1"/>
        <v>0</v>
      </c>
    </row>
    <row r="55" spans="1:13" ht="15.75" hidden="1" x14ac:dyDescent="0.25">
      <c r="A55" s="356"/>
      <c r="B55" s="357"/>
      <c r="C55" s="34"/>
      <c r="D55" s="118"/>
      <c r="E55" s="34"/>
      <c r="F55" s="111">
        <f t="shared" si="0"/>
        <v>0</v>
      </c>
      <c r="H55" s="356"/>
      <c r="I55" s="357"/>
      <c r="J55" s="34"/>
      <c r="K55" s="118"/>
      <c r="L55" s="34"/>
      <c r="M55" s="137">
        <f t="shared" si="1"/>
        <v>0</v>
      </c>
    </row>
    <row r="56" spans="1:13" ht="15.75" hidden="1" x14ac:dyDescent="0.25">
      <c r="A56" s="134"/>
      <c r="B56" s="139"/>
      <c r="C56" s="69"/>
      <c r="D56" s="254"/>
      <c r="E56" s="69"/>
      <c r="F56" s="111">
        <f t="shared" si="0"/>
        <v>0</v>
      </c>
      <c r="H56" s="134"/>
      <c r="I56" s="139"/>
      <c r="J56" s="69"/>
      <c r="K56" s="254"/>
      <c r="L56" s="69"/>
      <c r="M56" s="137">
        <f t="shared" si="1"/>
        <v>0</v>
      </c>
    </row>
    <row r="57" spans="1:13" ht="15.75" hidden="1" x14ac:dyDescent="0.25">
      <c r="A57" s="134"/>
      <c r="B57" s="139"/>
      <c r="C57" s="69"/>
      <c r="D57" s="254"/>
      <c r="E57" s="69"/>
      <c r="F57" s="111">
        <f t="shared" si="0"/>
        <v>0</v>
      </c>
      <c r="H57" s="134"/>
      <c r="I57" s="139"/>
      <c r="J57" s="69"/>
      <c r="K57" s="254"/>
      <c r="L57" s="69"/>
      <c r="M57" s="137">
        <f t="shared" si="1"/>
        <v>0</v>
      </c>
    </row>
    <row r="58" spans="1:13" ht="15.75" hidden="1" x14ac:dyDescent="0.25">
      <c r="A58" s="134"/>
      <c r="B58" s="139"/>
      <c r="C58" s="69"/>
      <c r="D58" s="254"/>
      <c r="E58" s="69"/>
      <c r="F58" s="111">
        <f t="shared" si="0"/>
        <v>0</v>
      </c>
      <c r="H58" s="134"/>
      <c r="I58" s="139"/>
      <c r="J58" s="69"/>
      <c r="K58" s="254"/>
      <c r="L58" s="69"/>
      <c r="M58" s="137">
        <f t="shared" si="1"/>
        <v>0</v>
      </c>
    </row>
    <row r="59" spans="1:13" ht="15.75" hidden="1" x14ac:dyDescent="0.25">
      <c r="A59" s="134"/>
      <c r="B59" s="139"/>
      <c r="C59" s="69"/>
      <c r="D59" s="254"/>
      <c r="E59" s="69"/>
      <c r="F59" s="111">
        <f t="shared" si="0"/>
        <v>0</v>
      </c>
      <c r="H59" s="134"/>
      <c r="I59" s="139"/>
      <c r="J59" s="69"/>
      <c r="K59" s="254"/>
      <c r="L59" s="69"/>
      <c r="M59" s="137">
        <f t="shared" si="1"/>
        <v>0</v>
      </c>
    </row>
    <row r="60" spans="1:13" ht="15.75" hidden="1" x14ac:dyDescent="0.25">
      <c r="A60" s="134"/>
      <c r="B60" s="139"/>
      <c r="C60" s="69"/>
      <c r="D60" s="254"/>
      <c r="E60" s="69"/>
      <c r="F60" s="111">
        <f t="shared" si="0"/>
        <v>0</v>
      </c>
      <c r="H60" s="134"/>
      <c r="I60" s="139"/>
      <c r="J60" s="69"/>
      <c r="K60" s="254"/>
      <c r="L60" s="69"/>
      <c r="M60" s="137">
        <f t="shared" si="1"/>
        <v>0</v>
      </c>
    </row>
    <row r="61" spans="1:13" ht="15.75" hidden="1" x14ac:dyDescent="0.25">
      <c r="A61" s="134"/>
      <c r="B61" s="139"/>
      <c r="C61" s="69"/>
      <c r="D61" s="254"/>
      <c r="E61" s="69"/>
      <c r="F61" s="111">
        <f t="shared" si="0"/>
        <v>0</v>
      </c>
      <c r="H61" s="134"/>
      <c r="I61" s="139"/>
      <c r="J61" s="69"/>
      <c r="K61" s="254"/>
      <c r="L61" s="69"/>
      <c r="M61" s="137">
        <f t="shared" si="1"/>
        <v>0</v>
      </c>
    </row>
    <row r="62" spans="1:13" ht="15.75" hidden="1" x14ac:dyDescent="0.25">
      <c r="A62" s="134"/>
      <c r="B62" s="139"/>
      <c r="C62" s="69"/>
      <c r="D62" s="254"/>
      <c r="E62" s="69"/>
      <c r="F62" s="111">
        <f t="shared" si="0"/>
        <v>0</v>
      </c>
      <c r="H62" s="134"/>
      <c r="I62" s="139"/>
      <c r="J62" s="69"/>
      <c r="K62" s="254"/>
      <c r="L62" s="69"/>
      <c r="M62" s="137">
        <f t="shared" si="1"/>
        <v>0</v>
      </c>
    </row>
    <row r="63" spans="1:13" ht="15.75" hidden="1" x14ac:dyDescent="0.25">
      <c r="A63" s="134"/>
      <c r="B63" s="139"/>
      <c r="C63" s="69"/>
      <c r="D63" s="254"/>
      <c r="E63" s="69"/>
      <c r="F63" s="111">
        <f t="shared" si="0"/>
        <v>0</v>
      </c>
      <c r="H63" s="134"/>
      <c r="I63" s="139"/>
      <c r="J63" s="69"/>
      <c r="K63" s="254"/>
      <c r="L63" s="69"/>
      <c r="M63" s="137">
        <f t="shared" si="1"/>
        <v>0</v>
      </c>
    </row>
    <row r="64" spans="1:13" ht="15.75" hidden="1" x14ac:dyDescent="0.25">
      <c r="A64" s="134"/>
      <c r="B64" s="139"/>
      <c r="C64" s="69"/>
      <c r="D64" s="254"/>
      <c r="E64" s="69"/>
      <c r="F64" s="111">
        <f t="shared" si="0"/>
        <v>0</v>
      </c>
      <c r="H64" s="134"/>
      <c r="I64" s="139"/>
      <c r="J64" s="69"/>
      <c r="K64" s="254"/>
      <c r="L64" s="69"/>
      <c r="M64" s="137">
        <f t="shared" si="1"/>
        <v>0</v>
      </c>
    </row>
    <row r="65" spans="1:13" ht="15.75" hidden="1" x14ac:dyDescent="0.25">
      <c r="A65" s="134"/>
      <c r="B65" s="139"/>
      <c r="C65" s="69"/>
      <c r="D65" s="254"/>
      <c r="E65" s="69"/>
      <c r="F65" s="111">
        <f t="shared" ref="F65" si="2">C65-E65</f>
        <v>0</v>
      </c>
      <c r="H65" s="134"/>
      <c r="I65" s="139"/>
      <c r="J65" s="69"/>
      <c r="K65" s="254"/>
      <c r="L65" s="69"/>
      <c r="M65" s="137">
        <f t="shared" si="1"/>
        <v>0</v>
      </c>
    </row>
    <row r="66" spans="1:13" ht="16.5" thickBot="1" x14ac:dyDescent="0.3">
      <c r="A66" s="149"/>
      <c r="B66" s="210"/>
      <c r="C66" s="34">
        <v>0</v>
      </c>
      <c r="D66" s="255"/>
      <c r="E66" s="151"/>
      <c r="F66" s="137">
        <v>0</v>
      </c>
      <c r="H66" s="149"/>
      <c r="I66" s="150"/>
      <c r="J66" s="151">
        <v>0</v>
      </c>
      <c r="K66" s="255"/>
      <c r="L66" s="151"/>
      <c r="M66" s="137"/>
    </row>
    <row r="67" spans="1:13" ht="21.75" thickTop="1" x14ac:dyDescent="0.35">
      <c r="B67" s="440"/>
      <c r="C67" s="212">
        <f>SUM(C3:C66)</f>
        <v>2122394.9000000004</v>
      </c>
      <c r="D67" s="407"/>
      <c r="E67" s="395">
        <f>SUM(E3:E66)</f>
        <v>2122394.9000000004</v>
      </c>
      <c r="F67" s="153">
        <f>SUM(F3:F66)</f>
        <v>0</v>
      </c>
      <c r="H67" s="926" t="s">
        <v>594</v>
      </c>
      <c r="I67" s="927"/>
      <c r="J67" s="642">
        <f>SUM(J3:J66)</f>
        <v>289475.05</v>
      </c>
      <c r="K67" s="713"/>
      <c r="L67" s="209">
        <f>SUM(L3:L66)</f>
        <v>289475.05</v>
      </c>
      <c r="M67" s="153">
        <f>M66</f>
        <v>0</v>
      </c>
    </row>
    <row r="68" spans="1:13" ht="15.75" thickBot="1" x14ac:dyDescent="0.3">
      <c r="B68" s="441"/>
      <c r="C68" s="214"/>
      <c r="D68" s="256"/>
      <c r="E68" s="3"/>
      <c r="F68" s="888" t="s">
        <v>207</v>
      </c>
      <c r="H68" s="928"/>
      <c r="I68" s="929"/>
      <c r="J68" s="1"/>
      <c r="K68" s="256"/>
      <c r="L68" s="3"/>
      <c r="M68" s="1"/>
    </row>
    <row r="69" spans="1:13" x14ac:dyDescent="0.25">
      <c r="B69" s="163"/>
      <c r="C69" s="1"/>
      <c r="D69" s="256"/>
      <c r="E69" s="3"/>
      <c r="F69" s="889"/>
      <c r="J69" s="1"/>
      <c r="K69" s="256"/>
      <c r="L69" s="3"/>
      <c r="M69" s="1"/>
    </row>
    <row r="70" spans="1:13" ht="15.75" x14ac:dyDescent="0.25">
      <c r="A70" s="511"/>
      <c r="B70" s="512"/>
      <c r="C70" s="233"/>
      <c r="E70"/>
      <c r="I70" s="194"/>
      <c r="L70"/>
    </row>
    <row r="71" spans="1:13" ht="15.75" x14ac:dyDescent="0.25">
      <c r="A71" s="511"/>
      <c r="B71" s="512"/>
      <c r="C71" s="233"/>
      <c r="E71"/>
      <c r="I71" s="194"/>
      <c r="L71"/>
    </row>
    <row r="72" spans="1:13" ht="15" customHeight="1" x14ac:dyDescent="0.25">
      <c r="A72" s="98"/>
      <c r="B72" s="194"/>
      <c r="D72" s="456"/>
      <c r="E72"/>
      <c r="H72"/>
      <c r="I72"/>
      <c r="J72"/>
      <c r="L72"/>
      <c r="M72"/>
    </row>
    <row r="73" spans="1:13" ht="15.75" customHeight="1" x14ac:dyDescent="0.25">
      <c r="A73" s="98"/>
      <c r="B73" s="194"/>
      <c r="D73" s="456"/>
      <c r="E73"/>
      <c r="H73"/>
      <c r="I73"/>
      <c r="J73"/>
      <c r="L73"/>
      <c r="M73"/>
    </row>
    <row r="74" spans="1:13" x14ac:dyDescent="0.25">
      <c r="A74" s="98"/>
      <c r="B74" s="194"/>
      <c r="D74" s="456"/>
      <c r="E74"/>
      <c r="H74"/>
      <c r="I74"/>
      <c r="J74"/>
      <c r="L74"/>
      <c r="M74"/>
    </row>
    <row r="75" spans="1:13" x14ac:dyDescent="0.25">
      <c r="A75" s="98"/>
      <c r="B75" s="194"/>
      <c r="D75" s="456"/>
      <c r="H75"/>
      <c r="I75"/>
      <c r="J75"/>
      <c r="L75"/>
      <c r="M75"/>
    </row>
    <row r="76" spans="1:13" ht="49.5" customHeight="1" x14ac:dyDescent="0.25">
      <c r="E76" s="735"/>
      <c r="F76" s="734"/>
      <c r="H76"/>
      <c r="I76"/>
      <c r="J76"/>
      <c r="L76"/>
      <c r="M76"/>
    </row>
    <row r="77" spans="1:13" x14ac:dyDescent="0.25">
      <c r="H77"/>
      <c r="I77"/>
      <c r="J77"/>
      <c r="L77"/>
      <c r="M77"/>
    </row>
    <row r="78" spans="1:13" x14ac:dyDescent="0.25">
      <c r="H78"/>
      <c r="I78"/>
      <c r="J78"/>
      <c r="L78"/>
      <c r="M78"/>
    </row>
    <row r="79" spans="1:13" x14ac:dyDescent="0.25">
      <c r="H79"/>
      <c r="I79"/>
      <c r="J79"/>
      <c r="L79"/>
      <c r="M79"/>
    </row>
    <row r="80" spans="1:13" x14ac:dyDescent="0.25">
      <c r="H80"/>
      <c r="I80"/>
      <c r="J80"/>
      <c r="L80"/>
      <c r="M80"/>
    </row>
    <row r="81" spans="8:13" x14ac:dyDescent="0.25">
      <c r="H81"/>
      <c r="I81"/>
      <c r="J81"/>
      <c r="L81"/>
      <c r="M81"/>
    </row>
    <row r="82" spans="8:13" x14ac:dyDescent="0.25">
      <c r="H82"/>
      <c r="I82"/>
      <c r="J82"/>
      <c r="L82"/>
      <c r="M82"/>
    </row>
    <row r="83" spans="8:13" x14ac:dyDescent="0.25">
      <c r="H83"/>
      <c r="I83"/>
      <c r="J83"/>
      <c r="L83"/>
      <c r="M83"/>
    </row>
    <row r="84" spans="8:13" x14ac:dyDescent="0.25">
      <c r="H84"/>
      <c r="I84"/>
      <c r="J84"/>
      <c r="L84"/>
      <c r="M84"/>
    </row>
    <row r="85" spans="8:13" x14ac:dyDescent="0.25">
      <c r="H85"/>
      <c r="I85"/>
      <c r="J85"/>
      <c r="L85"/>
      <c r="M85"/>
    </row>
    <row r="86" spans="8:13" x14ac:dyDescent="0.25">
      <c r="H86"/>
      <c r="I86"/>
      <c r="J86"/>
      <c r="L86"/>
      <c r="M86"/>
    </row>
    <row r="87" spans="8:13" x14ac:dyDescent="0.25">
      <c r="H87"/>
      <c r="I87"/>
      <c r="J87"/>
      <c r="L87"/>
      <c r="M87"/>
    </row>
    <row r="88" spans="8:13" x14ac:dyDescent="0.25">
      <c r="H88"/>
      <c r="I88"/>
      <c r="J88"/>
      <c r="L88"/>
      <c r="M88"/>
    </row>
    <row r="89" spans="8:13" x14ac:dyDescent="0.25">
      <c r="H89"/>
      <c r="I89"/>
      <c r="J89"/>
      <c r="L89"/>
      <c r="M89"/>
    </row>
    <row r="90" spans="8:13" x14ac:dyDescent="0.25">
      <c r="H90"/>
      <c r="I90"/>
      <c r="J90"/>
      <c r="L90"/>
      <c r="M90"/>
    </row>
    <row r="91" spans="8:13" x14ac:dyDescent="0.25">
      <c r="H91"/>
      <c r="I91"/>
      <c r="J91"/>
      <c r="L91"/>
      <c r="M91"/>
    </row>
    <row r="92" spans="8:13" x14ac:dyDescent="0.25">
      <c r="H92"/>
      <c r="I92"/>
      <c r="J92"/>
      <c r="L92"/>
      <c r="M92"/>
    </row>
    <row r="93" spans="8:13" x14ac:dyDescent="0.25">
      <c r="H93"/>
      <c r="I93"/>
      <c r="J93"/>
      <c r="L93"/>
      <c r="M93"/>
    </row>
    <row r="94" spans="8:13" x14ac:dyDescent="0.25">
      <c r="H94"/>
      <c r="I94"/>
      <c r="J94"/>
      <c r="L94"/>
      <c r="M94"/>
    </row>
    <row r="95" spans="8:13" x14ac:dyDescent="0.25">
      <c r="H95"/>
      <c r="I95"/>
      <c r="J95"/>
      <c r="L95"/>
      <c r="M95"/>
    </row>
    <row r="96" spans="8:13" x14ac:dyDescent="0.25">
      <c r="H96"/>
      <c r="I96"/>
      <c r="J96"/>
      <c r="L96"/>
      <c r="M96"/>
    </row>
    <row r="97" spans="1:13" x14ac:dyDescent="0.25">
      <c r="H97"/>
      <c r="I97"/>
      <c r="J97"/>
      <c r="L97"/>
      <c r="M97"/>
    </row>
    <row r="98" spans="1:13" ht="34.5" customHeight="1" x14ac:dyDescent="0.25">
      <c r="H98"/>
      <c r="I98"/>
      <c r="J98"/>
      <c r="L98"/>
      <c r="M98"/>
    </row>
    <row r="99" spans="1:13" x14ac:dyDescent="0.25">
      <c r="H99"/>
      <c r="I99"/>
      <c r="J99"/>
      <c r="L99"/>
      <c r="M99"/>
    </row>
    <row r="100" spans="1:13" x14ac:dyDescent="0.25">
      <c r="H100"/>
      <c r="I100"/>
      <c r="J100"/>
      <c r="L100"/>
      <c r="M100"/>
    </row>
    <row r="101" spans="1:13" x14ac:dyDescent="0.25">
      <c r="A101" s="98"/>
      <c r="B101" s="116"/>
      <c r="D101" s="456"/>
      <c r="H101"/>
      <c r="I101"/>
      <c r="J101"/>
      <c r="L101"/>
      <c r="M101"/>
    </row>
    <row r="102" spans="1:13" x14ac:dyDescent="0.25">
      <c r="A102" s="98"/>
      <c r="B102" s="116"/>
      <c r="D102" s="456"/>
      <c r="H102"/>
      <c r="I102"/>
      <c r="J102"/>
      <c r="L102"/>
      <c r="M102"/>
    </row>
    <row r="103" spans="1:13" x14ac:dyDescent="0.25">
      <c r="A103" s="98"/>
      <c r="B103" s="116"/>
      <c r="D103" s="456"/>
      <c r="H103"/>
      <c r="I103"/>
      <c r="J103"/>
      <c r="L103"/>
      <c r="M103"/>
    </row>
    <row r="104" spans="1:13" x14ac:dyDescent="0.25">
      <c r="A104" s="98"/>
      <c r="B104" s="116"/>
      <c r="D104" s="456"/>
      <c r="H104"/>
      <c r="I104"/>
      <c r="J104"/>
      <c r="L104"/>
      <c r="M104"/>
    </row>
    <row r="105" spans="1:13" x14ac:dyDescent="0.25">
      <c r="A105" s="98"/>
      <c r="B105" s="116"/>
      <c r="D105" s="456"/>
      <c r="H105"/>
      <c r="I105"/>
      <c r="J105"/>
      <c r="L105"/>
      <c r="M105"/>
    </row>
    <row r="106" spans="1:13" x14ac:dyDescent="0.25">
      <c r="A106" s="98"/>
      <c r="B106" s="116"/>
      <c r="D106" s="456"/>
      <c r="H106"/>
      <c r="I106"/>
      <c r="J106"/>
      <c r="L106"/>
      <c r="M106"/>
    </row>
    <row r="107" spans="1:13" x14ac:dyDescent="0.25">
      <c r="A107" s="98"/>
      <c r="B107" s="116"/>
      <c r="D107" s="456"/>
      <c r="H107"/>
      <c r="I107"/>
      <c r="J107"/>
      <c r="L107"/>
      <c r="M107"/>
    </row>
    <row r="108" spans="1:13" x14ac:dyDescent="0.25">
      <c r="A108" s="98"/>
      <c r="B108" s="116"/>
      <c r="D108" s="456"/>
      <c r="H108"/>
      <c r="I108"/>
      <c r="J108"/>
      <c r="L108"/>
      <c r="M108"/>
    </row>
    <row r="109" spans="1:13" x14ac:dyDescent="0.25">
      <c r="A109" s="98"/>
      <c r="B109" s="116"/>
      <c r="D109" s="456"/>
      <c r="H109"/>
      <c r="I109"/>
      <c r="J109"/>
      <c r="L109"/>
      <c r="M109"/>
    </row>
    <row r="110" spans="1:13" x14ac:dyDescent="0.25">
      <c r="A110" s="98"/>
      <c r="B110" s="116"/>
      <c r="D110" s="456"/>
      <c r="H110"/>
      <c r="I110"/>
      <c r="J110"/>
      <c r="L110"/>
      <c r="M110"/>
    </row>
    <row r="111" spans="1:13" x14ac:dyDescent="0.25">
      <c r="A111" s="98"/>
      <c r="B111" s="116"/>
      <c r="D111" s="456"/>
      <c r="H111"/>
      <c r="I111"/>
      <c r="J111"/>
      <c r="L111"/>
      <c r="M111"/>
    </row>
    <row r="112" spans="1:13" x14ac:dyDescent="0.25">
      <c r="A112" s="98"/>
      <c r="B112" s="116"/>
      <c r="D112" s="456"/>
      <c r="H112"/>
      <c r="I112"/>
      <c r="J112"/>
      <c r="L112"/>
      <c r="M112"/>
    </row>
    <row r="113" spans="1:13" x14ac:dyDescent="0.25">
      <c r="A113" s="98"/>
      <c r="B113" s="116"/>
      <c r="D113" s="456"/>
      <c r="H113"/>
      <c r="I113"/>
      <c r="J113"/>
      <c r="L113"/>
      <c r="M113"/>
    </row>
    <row r="114" spans="1:13" x14ac:dyDescent="0.25">
      <c r="A114" s="98"/>
      <c r="B114" s="116"/>
      <c r="D114" s="456"/>
      <c r="H114"/>
      <c r="I114"/>
      <c r="J114"/>
      <c r="L114"/>
      <c r="M114"/>
    </row>
    <row r="115" spans="1:13" x14ac:dyDescent="0.25">
      <c r="A115" s="98"/>
      <c r="B115" s="116"/>
      <c r="D115" s="456"/>
      <c r="H115"/>
      <c r="I115"/>
      <c r="J115"/>
      <c r="L115"/>
      <c r="M115"/>
    </row>
    <row r="116" spans="1:13" x14ac:dyDescent="0.25">
      <c r="A116" s="98"/>
      <c r="B116" s="116"/>
      <c r="D116" s="456"/>
      <c r="H116"/>
      <c r="I116"/>
      <c r="J116"/>
      <c r="L116"/>
      <c r="M116"/>
    </row>
    <row r="117" spans="1:13" x14ac:dyDescent="0.25">
      <c r="A117" s="98"/>
      <c r="B117" s="116"/>
      <c r="D117" s="456"/>
      <c r="H117"/>
      <c r="I117"/>
      <c r="J117"/>
      <c r="L117"/>
      <c r="M117"/>
    </row>
    <row r="118" spans="1:13" x14ac:dyDescent="0.25">
      <c r="A118" s="98"/>
      <c r="B118" s="116"/>
      <c r="D118" s="456"/>
      <c r="H118"/>
      <c r="I118"/>
      <c r="J118"/>
      <c r="L118"/>
      <c r="M118"/>
    </row>
    <row r="119" spans="1:13" x14ac:dyDescent="0.25">
      <c r="A119" s="98"/>
      <c r="B119" s="116"/>
      <c r="D119" s="456"/>
      <c r="H119"/>
      <c r="I119"/>
      <c r="J119"/>
      <c r="L119"/>
      <c r="M119"/>
    </row>
    <row r="120" spans="1:13" x14ac:dyDescent="0.25">
      <c r="A120" s="98"/>
      <c r="B120" s="116"/>
      <c r="D120" s="456"/>
      <c r="H120"/>
      <c r="I120"/>
      <c r="J120"/>
      <c r="L120"/>
      <c r="M120"/>
    </row>
    <row r="121" spans="1:13" x14ac:dyDescent="0.25">
      <c r="A121" s="98"/>
      <c r="B121" s="116"/>
      <c r="D121" s="456"/>
      <c r="H121"/>
      <c r="I121"/>
      <c r="J121"/>
      <c r="L121"/>
      <c r="M121"/>
    </row>
    <row r="122" spans="1:13" x14ac:dyDescent="0.25">
      <c r="A122" s="98"/>
      <c r="B122" s="116"/>
      <c r="D122" s="456"/>
      <c r="H122"/>
      <c r="I122"/>
      <c r="J122"/>
      <c r="L122"/>
      <c r="M122"/>
    </row>
    <row r="123" spans="1:13" x14ac:dyDescent="0.25">
      <c r="A123" s="98"/>
      <c r="B123" s="116"/>
      <c r="D123" s="456"/>
      <c r="H123"/>
      <c r="I123"/>
      <c r="J123"/>
      <c r="L123"/>
      <c r="M123"/>
    </row>
  </sheetData>
  <mergeCells count="3">
    <mergeCell ref="F68:F69"/>
    <mergeCell ref="H67:I68"/>
    <mergeCell ref="H43:I45"/>
  </mergeCells>
  <pageMargins left="0.52" right="0.25" top="0.75" bottom="0.75" header="0.3" footer="0.3"/>
  <pageSetup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00000"/>
  </sheetPr>
  <dimension ref="A1:N134"/>
  <sheetViews>
    <sheetView topLeftCell="F43" workbookViewId="0">
      <selection activeCell="J30" sqref="J30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5.85546875" style="4" bestFit="1" customWidth="1"/>
    <col min="4" max="4" width="12.42578125" bestFit="1" customWidth="1"/>
    <col min="5" max="5" width="15.1406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1:14" ht="36.75" customHeight="1" thickTop="1" thickBot="1" x14ac:dyDescent="0.3">
      <c r="A1" s="155" t="s">
        <v>90</v>
      </c>
      <c r="B1" s="156"/>
      <c r="C1" s="157"/>
      <c r="D1" s="156"/>
      <c r="E1" s="157"/>
      <c r="F1" s="158" t="s">
        <v>27</v>
      </c>
      <c r="I1" s="187" t="s">
        <v>91</v>
      </c>
      <c r="J1" s="193"/>
      <c r="K1" s="188"/>
      <c r="L1" s="251"/>
      <c r="M1" s="188"/>
      <c r="N1" s="158" t="s">
        <v>27</v>
      </c>
    </row>
    <row r="2" spans="1:14" ht="16.5" thickBot="1" x14ac:dyDescent="0.3">
      <c r="A2" s="131" t="s">
        <v>19</v>
      </c>
      <c r="B2" s="131" t="s">
        <v>20</v>
      </c>
      <c r="C2" s="132" t="s">
        <v>21</v>
      </c>
      <c r="D2" s="131" t="s">
        <v>22</v>
      </c>
      <c r="E2" s="132" t="s">
        <v>23</v>
      </c>
      <c r="F2" s="133" t="s">
        <v>21</v>
      </c>
      <c r="I2" s="131" t="s">
        <v>19</v>
      </c>
      <c r="J2" s="192" t="s">
        <v>20</v>
      </c>
      <c r="K2" s="132" t="s">
        <v>21</v>
      </c>
      <c r="L2" s="252" t="s">
        <v>22</v>
      </c>
      <c r="M2" s="132" t="s">
        <v>23</v>
      </c>
      <c r="N2" s="133" t="s">
        <v>21</v>
      </c>
    </row>
    <row r="3" spans="1:14" ht="15.75" x14ac:dyDescent="0.25">
      <c r="A3" s="134">
        <v>44487</v>
      </c>
      <c r="B3" s="135" t="s">
        <v>53</v>
      </c>
      <c r="C3" s="69">
        <v>225686.58</v>
      </c>
      <c r="D3" s="136"/>
      <c r="E3" s="69"/>
      <c r="F3" s="183">
        <f>C3-E3</f>
        <v>225686.58</v>
      </c>
      <c r="I3" s="191">
        <v>44483</v>
      </c>
      <c r="J3" s="195">
        <v>2554</v>
      </c>
      <c r="K3" s="196">
        <v>19269</v>
      </c>
      <c r="L3" s="258">
        <v>44498</v>
      </c>
      <c r="M3" s="69">
        <v>19269</v>
      </c>
      <c r="N3" s="183">
        <f>K3-M3</f>
        <v>0</v>
      </c>
    </row>
    <row r="4" spans="1:14" ht="18.75" x14ac:dyDescent="0.3">
      <c r="A4" s="134">
        <v>44488</v>
      </c>
      <c r="B4" s="135" t="s">
        <v>55</v>
      </c>
      <c r="C4" s="69">
        <v>53647.199999999997</v>
      </c>
      <c r="D4" s="136"/>
      <c r="E4" s="69"/>
      <c r="F4" s="137">
        <f>F3+C4-E4</f>
        <v>279333.77999999997</v>
      </c>
      <c r="G4" s="138"/>
      <c r="I4" s="191">
        <v>44487</v>
      </c>
      <c r="J4" s="195">
        <v>2579</v>
      </c>
      <c r="K4" s="196">
        <v>25542</v>
      </c>
      <c r="L4" s="259">
        <v>44498</v>
      </c>
      <c r="M4" s="69">
        <v>25542</v>
      </c>
      <c r="N4" s="137">
        <f>N3+K4-M4</f>
        <v>0</v>
      </c>
    </row>
    <row r="5" spans="1:14" ht="15.75" x14ac:dyDescent="0.25">
      <c r="A5" s="134">
        <v>44488</v>
      </c>
      <c r="B5" s="135" t="s">
        <v>54</v>
      </c>
      <c r="C5" s="69">
        <v>117061.64</v>
      </c>
      <c r="D5" s="136"/>
      <c r="E5" s="69"/>
      <c r="F5" s="137">
        <f t="shared" ref="F5:F68" si="0">F4+C5-E5</f>
        <v>396395.42</v>
      </c>
      <c r="I5" s="191">
        <v>44487</v>
      </c>
      <c r="J5" s="195">
        <v>2581</v>
      </c>
      <c r="K5" s="196">
        <v>10208</v>
      </c>
      <c r="L5" s="366" t="s">
        <v>311</v>
      </c>
      <c r="M5" s="69">
        <v>6530.58</v>
      </c>
      <c r="N5" s="137">
        <f t="shared" ref="N5:N68" si="1">N4+K5-M5</f>
        <v>3677.42</v>
      </c>
    </row>
    <row r="6" spans="1:14" ht="15.75" x14ac:dyDescent="0.25">
      <c r="A6" s="134">
        <v>44488</v>
      </c>
      <c r="B6" s="135" t="s">
        <v>56</v>
      </c>
      <c r="C6" s="69">
        <v>1300</v>
      </c>
      <c r="D6" s="136"/>
      <c r="E6" s="69"/>
      <c r="F6" s="137">
        <f t="shared" si="0"/>
        <v>397695.42</v>
      </c>
      <c r="I6" s="191">
        <v>44487</v>
      </c>
      <c r="J6" s="195">
        <v>2582</v>
      </c>
      <c r="K6" s="196">
        <v>14172</v>
      </c>
      <c r="L6" s="136"/>
      <c r="M6" s="69"/>
      <c r="N6" s="137">
        <f t="shared" si="1"/>
        <v>17849.419999999998</v>
      </c>
    </row>
    <row r="7" spans="1:14" ht="15.75" x14ac:dyDescent="0.25">
      <c r="A7" s="134">
        <v>44488</v>
      </c>
      <c r="B7" s="135" t="s">
        <v>57</v>
      </c>
      <c r="C7" s="69">
        <v>1741.6</v>
      </c>
      <c r="D7" s="136"/>
      <c r="E7" s="69"/>
      <c r="F7" s="137">
        <f t="shared" si="0"/>
        <v>399437.01999999996</v>
      </c>
      <c r="I7" s="191">
        <v>44487</v>
      </c>
      <c r="J7" s="195">
        <v>2583</v>
      </c>
      <c r="K7" s="196">
        <v>1616</v>
      </c>
      <c r="L7" s="136"/>
      <c r="M7" s="69"/>
      <c r="N7" s="137">
        <f t="shared" si="1"/>
        <v>19465.419999999998</v>
      </c>
    </row>
    <row r="8" spans="1:14" ht="15.75" x14ac:dyDescent="0.25">
      <c r="A8" s="134">
        <v>44489</v>
      </c>
      <c r="B8" s="135" t="s">
        <v>58</v>
      </c>
      <c r="C8" s="69">
        <v>15000</v>
      </c>
      <c r="D8" s="136"/>
      <c r="E8" s="69"/>
      <c r="F8" s="137">
        <f t="shared" si="0"/>
        <v>414437.01999999996</v>
      </c>
      <c r="I8" s="191">
        <v>44488</v>
      </c>
      <c r="J8" s="195">
        <v>2591</v>
      </c>
      <c r="K8" s="196">
        <v>15642</v>
      </c>
      <c r="L8" s="136"/>
      <c r="M8" s="69"/>
      <c r="N8" s="137">
        <f t="shared" si="1"/>
        <v>35107.42</v>
      </c>
    </row>
    <row r="9" spans="1:14" ht="15.75" x14ac:dyDescent="0.25">
      <c r="A9" s="134">
        <v>44489</v>
      </c>
      <c r="B9" s="135" t="s">
        <v>59</v>
      </c>
      <c r="C9" s="69">
        <v>23362.9</v>
      </c>
      <c r="D9" s="136"/>
      <c r="E9" s="69"/>
      <c r="F9" s="137">
        <f t="shared" si="0"/>
        <v>437799.92</v>
      </c>
      <c r="I9" s="191">
        <v>44488</v>
      </c>
      <c r="J9" s="195">
        <v>2592</v>
      </c>
      <c r="K9" s="196">
        <v>13192</v>
      </c>
      <c r="L9" s="136"/>
      <c r="M9" s="69"/>
      <c r="N9" s="137">
        <f t="shared" si="1"/>
        <v>48299.42</v>
      </c>
    </row>
    <row r="10" spans="1:14" ht="18.75" x14ac:dyDescent="0.3">
      <c r="A10" s="134">
        <v>44489</v>
      </c>
      <c r="B10" s="135" t="s">
        <v>60</v>
      </c>
      <c r="C10" s="69">
        <v>199330</v>
      </c>
      <c r="D10" s="136"/>
      <c r="E10" s="69"/>
      <c r="F10" s="137">
        <f t="shared" si="0"/>
        <v>637129.91999999993</v>
      </c>
      <c r="G10" s="138"/>
      <c r="I10" s="191">
        <v>44488</v>
      </c>
      <c r="J10" s="195">
        <v>2593</v>
      </c>
      <c r="K10" s="196">
        <v>21530</v>
      </c>
      <c r="L10" s="136"/>
      <c r="M10" s="69"/>
      <c r="N10" s="137">
        <f t="shared" si="1"/>
        <v>69829.42</v>
      </c>
    </row>
    <row r="11" spans="1:14" ht="15.75" x14ac:dyDescent="0.25">
      <c r="A11" s="134">
        <v>44489</v>
      </c>
      <c r="B11" s="139" t="s">
        <v>61</v>
      </c>
      <c r="C11" s="69">
        <v>198868.1</v>
      </c>
      <c r="D11" s="140"/>
      <c r="E11" s="69"/>
      <c r="F11" s="137">
        <f t="shared" si="0"/>
        <v>835998.0199999999</v>
      </c>
      <c r="I11" s="191">
        <v>44488</v>
      </c>
      <c r="J11" s="195">
        <v>2594</v>
      </c>
      <c r="K11" s="196">
        <v>10768</v>
      </c>
      <c r="L11" s="140"/>
      <c r="M11" s="69"/>
      <c r="N11" s="137">
        <f t="shared" si="1"/>
        <v>80597.42</v>
      </c>
    </row>
    <row r="12" spans="1:14" ht="15.75" x14ac:dyDescent="0.25">
      <c r="A12" s="140">
        <v>44489</v>
      </c>
      <c r="B12" s="208" t="s">
        <v>62</v>
      </c>
      <c r="C12" s="69">
        <v>191153.5</v>
      </c>
      <c r="D12" s="140"/>
      <c r="E12" s="69"/>
      <c r="F12" s="137">
        <f t="shared" si="0"/>
        <v>1027151.5199999999</v>
      </c>
      <c r="I12" s="191">
        <v>44488</v>
      </c>
      <c r="J12" s="195">
        <v>2595</v>
      </c>
      <c r="K12" s="196">
        <v>90060</v>
      </c>
      <c r="L12" s="140"/>
      <c r="M12" s="69"/>
      <c r="N12" s="137">
        <f t="shared" si="1"/>
        <v>170657.41999999998</v>
      </c>
    </row>
    <row r="13" spans="1:14" ht="25.5" customHeight="1" x14ac:dyDescent="0.25">
      <c r="A13" s="184">
        <v>44498</v>
      </c>
      <c r="B13" s="185" t="s">
        <v>63</v>
      </c>
      <c r="C13" s="186">
        <v>-1027151.52</v>
      </c>
      <c r="D13" s="140"/>
      <c r="E13" s="69"/>
      <c r="F13" s="137">
        <f t="shared" si="0"/>
        <v>-1.1641532182693481E-10</v>
      </c>
      <c r="I13" s="191">
        <v>44488</v>
      </c>
      <c r="J13" s="195">
        <v>2596</v>
      </c>
      <c r="K13" s="196">
        <v>18321</v>
      </c>
      <c r="L13" s="140"/>
      <c r="M13" s="69"/>
      <c r="N13" s="137">
        <f t="shared" si="1"/>
        <v>188978.41999999998</v>
      </c>
    </row>
    <row r="14" spans="1:14" ht="15.75" x14ac:dyDescent="0.25">
      <c r="A14" s="140">
        <v>44498</v>
      </c>
      <c r="B14" s="208" t="s">
        <v>62</v>
      </c>
      <c r="C14" s="69">
        <v>6239</v>
      </c>
      <c r="D14" s="140"/>
      <c r="E14" s="69"/>
      <c r="F14" s="137">
        <f t="shared" si="0"/>
        <v>6238.9999999998836</v>
      </c>
      <c r="I14" s="191">
        <v>44488</v>
      </c>
      <c r="J14" s="195">
        <v>2597</v>
      </c>
      <c r="K14" s="196">
        <v>20989</v>
      </c>
      <c r="L14" s="140"/>
      <c r="M14" s="69"/>
      <c r="N14" s="137">
        <f t="shared" si="1"/>
        <v>209967.41999999998</v>
      </c>
    </row>
    <row r="15" spans="1:14" ht="15.75" x14ac:dyDescent="0.25">
      <c r="A15" s="140">
        <v>44489</v>
      </c>
      <c r="B15" s="139" t="s">
        <v>64</v>
      </c>
      <c r="C15" s="69">
        <v>2200</v>
      </c>
      <c r="D15" s="140"/>
      <c r="E15" s="69"/>
      <c r="F15" s="137">
        <f t="shared" si="0"/>
        <v>8438.9999999998836</v>
      </c>
      <c r="I15" s="191">
        <v>44488</v>
      </c>
      <c r="J15" s="195">
        <v>2598</v>
      </c>
      <c r="K15" s="196">
        <v>25399</v>
      </c>
      <c r="L15" s="140"/>
      <c r="M15" s="69"/>
      <c r="N15" s="137">
        <f t="shared" si="1"/>
        <v>235366.41999999998</v>
      </c>
    </row>
    <row r="16" spans="1:14" ht="15.75" x14ac:dyDescent="0.25">
      <c r="A16" s="140">
        <v>44489</v>
      </c>
      <c r="B16" s="365" t="s">
        <v>65</v>
      </c>
      <c r="C16" s="69">
        <v>283491.90000000002</v>
      </c>
      <c r="D16" s="140">
        <v>44499</v>
      </c>
      <c r="E16" s="69">
        <v>145000</v>
      </c>
      <c r="F16" s="265">
        <f t="shared" si="0"/>
        <v>146930.89999999991</v>
      </c>
      <c r="I16" s="191">
        <v>44489</v>
      </c>
      <c r="J16" s="195">
        <v>2600</v>
      </c>
      <c r="K16" s="196">
        <v>6297</v>
      </c>
      <c r="L16" s="253"/>
      <c r="M16" s="69"/>
      <c r="N16" s="137">
        <f t="shared" si="1"/>
        <v>241663.41999999998</v>
      </c>
    </row>
    <row r="17" spans="1:14" ht="15.75" x14ac:dyDescent="0.25">
      <c r="A17" s="140">
        <v>44490</v>
      </c>
      <c r="B17" s="139" t="s">
        <v>66</v>
      </c>
      <c r="C17" s="69">
        <v>19643.5</v>
      </c>
      <c r="D17" s="140"/>
      <c r="E17" s="69"/>
      <c r="F17" s="137">
        <f t="shared" si="0"/>
        <v>166574.39999999991</v>
      </c>
      <c r="I17" s="191">
        <v>44489</v>
      </c>
      <c r="J17" s="195">
        <v>2601</v>
      </c>
      <c r="K17" s="196">
        <v>12350</v>
      </c>
      <c r="L17" s="253"/>
      <c r="M17" s="69"/>
      <c r="N17" s="137">
        <f t="shared" si="1"/>
        <v>254013.41999999998</v>
      </c>
    </row>
    <row r="18" spans="1:14" ht="15.75" x14ac:dyDescent="0.25">
      <c r="A18" s="140">
        <v>44490</v>
      </c>
      <c r="B18" s="139" t="s">
        <v>67</v>
      </c>
      <c r="C18" s="69">
        <v>3737</v>
      </c>
      <c r="D18" s="140"/>
      <c r="E18" s="69"/>
      <c r="F18" s="137">
        <f t="shared" si="0"/>
        <v>170311.39999999991</v>
      </c>
      <c r="I18" s="191">
        <v>44489</v>
      </c>
      <c r="J18" s="195">
        <v>2602</v>
      </c>
      <c r="K18" s="196">
        <v>5444</v>
      </c>
      <c r="L18" s="253"/>
      <c r="M18" s="69"/>
      <c r="N18" s="137">
        <f t="shared" si="1"/>
        <v>259457.41999999998</v>
      </c>
    </row>
    <row r="19" spans="1:14" ht="15.75" x14ac:dyDescent="0.25">
      <c r="A19" s="140">
        <v>44491</v>
      </c>
      <c r="B19" s="139" t="s">
        <v>68</v>
      </c>
      <c r="C19" s="69">
        <v>1072.5</v>
      </c>
      <c r="D19" s="140"/>
      <c r="E19" s="69"/>
      <c r="F19" s="137">
        <f t="shared" si="0"/>
        <v>171383.89999999991</v>
      </c>
      <c r="I19" s="191">
        <v>44489</v>
      </c>
      <c r="J19" s="195">
        <v>2603</v>
      </c>
      <c r="K19" s="196">
        <v>1717</v>
      </c>
      <c r="L19" s="253"/>
      <c r="M19" s="69"/>
      <c r="N19" s="137">
        <f t="shared" si="1"/>
        <v>261174.41999999998</v>
      </c>
    </row>
    <row r="20" spans="1:14" ht="15.75" x14ac:dyDescent="0.25">
      <c r="A20" s="140">
        <v>44492</v>
      </c>
      <c r="B20" s="139" t="s">
        <v>69</v>
      </c>
      <c r="C20" s="69">
        <v>19152.8</v>
      </c>
      <c r="D20" s="140"/>
      <c r="E20" s="69"/>
      <c r="F20" s="137">
        <f t="shared" si="0"/>
        <v>190536.6999999999</v>
      </c>
      <c r="I20" s="191">
        <v>44489</v>
      </c>
      <c r="J20" s="195">
        <v>2608</v>
      </c>
      <c r="K20" s="196">
        <v>16136</v>
      </c>
      <c r="L20" s="253"/>
      <c r="M20" s="69"/>
      <c r="N20" s="137">
        <f t="shared" si="1"/>
        <v>277310.42</v>
      </c>
    </row>
    <row r="21" spans="1:14" ht="15.75" x14ac:dyDescent="0.25">
      <c r="A21" s="140">
        <v>44492</v>
      </c>
      <c r="B21" s="139" t="s">
        <v>70</v>
      </c>
      <c r="C21" s="69">
        <v>2509</v>
      </c>
      <c r="D21" s="140"/>
      <c r="E21" s="69"/>
      <c r="F21" s="137">
        <f t="shared" si="0"/>
        <v>193045.6999999999</v>
      </c>
      <c r="I21" s="191">
        <v>44489</v>
      </c>
      <c r="J21" s="195">
        <v>2609</v>
      </c>
      <c r="K21" s="196">
        <v>9256</v>
      </c>
      <c r="L21" s="253"/>
      <c r="M21" s="69"/>
      <c r="N21" s="137">
        <f t="shared" si="1"/>
        <v>286566.42</v>
      </c>
    </row>
    <row r="22" spans="1:14" ht="18.75" x14ac:dyDescent="0.3">
      <c r="A22" s="140">
        <v>44494</v>
      </c>
      <c r="B22" s="139" t="s">
        <v>71</v>
      </c>
      <c r="C22" s="69">
        <v>1228.5</v>
      </c>
      <c r="D22" s="140"/>
      <c r="E22" s="69"/>
      <c r="F22" s="137">
        <f t="shared" si="0"/>
        <v>194274.1999999999</v>
      </c>
      <c r="G22" s="138"/>
      <c r="I22" s="191">
        <v>44490</v>
      </c>
      <c r="J22" s="195">
        <v>2611</v>
      </c>
      <c r="K22" s="196">
        <v>5500</v>
      </c>
      <c r="L22" s="253"/>
      <c r="M22" s="69"/>
      <c r="N22" s="137">
        <f t="shared" si="1"/>
        <v>292066.42</v>
      </c>
    </row>
    <row r="23" spans="1:14" ht="15.75" x14ac:dyDescent="0.25">
      <c r="A23" s="140">
        <v>44495</v>
      </c>
      <c r="B23" s="139" t="s">
        <v>72</v>
      </c>
      <c r="C23" s="69">
        <v>46234</v>
      </c>
      <c r="D23" s="140"/>
      <c r="E23" s="69"/>
      <c r="F23" s="137">
        <f t="shared" si="0"/>
        <v>240508.1999999999</v>
      </c>
      <c r="I23" s="191">
        <v>44490</v>
      </c>
      <c r="J23" s="195">
        <v>2615</v>
      </c>
      <c r="K23" s="196">
        <v>1331</v>
      </c>
      <c r="L23" s="253"/>
      <c r="M23" s="69"/>
      <c r="N23" s="137">
        <f t="shared" si="1"/>
        <v>293397.42</v>
      </c>
    </row>
    <row r="24" spans="1:14" ht="15.75" x14ac:dyDescent="0.25">
      <c r="A24" s="140">
        <v>44495</v>
      </c>
      <c r="B24" s="139" t="s">
        <v>73</v>
      </c>
      <c r="C24" s="69">
        <v>6250</v>
      </c>
      <c r="D24" s="140"/>
      <c r="E24" s="69"/>
      <c r="F24" s="137">
        <f t="shared" si="0"/>
        <v>246758.1999999999</v>
      </c>
      <c r="I24" s="191">
        <v>44490</v>
      </c>
      <c r="J24" s="195">
        <v>2619</v>
      </c>
      <c r="K24" s="196">
        <v>420</v>
      </c>
      <c r="L24" s="253"/>
      <c r="M24" s="69"/>
      <c r="N24" s="137">
        <f t="shared" si="1"/>
        <v>293817.42</v>
      </c>
    </row>
    <row r="25" spans="1:14" ht="15.75" x14ac:dyDescent="0.25">
      <c r="A25" s="140">
        <v>44496</v>
      </c>
      <c r="B25" s="139" t="s">
        <v>74</v>
      </c>
      <c r="C25" s="69">
        <v>2092.1999999999998</v>
      </c>
      <c r="D25" s="140"/>
      <c r="E25" s="69"/>
      <c r="F25" s="137">
        <f t="shared" si="0"/>
        <v>248850.39999999991</v>
      </c>
      <c r="I25" s="191">
        <v>44490</v>
      </c>
      <c r="J25" s="195">
        <v>2620</v>
      </c>
      <c r="K25" s="196">
        <v>770</v>
      </c>
      <c r="L25" s="253"/>
      <c r="M25" s="69"/>
      <c r="N25" s="137">
        <f t="shared" si="1"/>
        <v>294587.42</v>
      </c>
    </row>
    <row r="26" spans="1:14" ht="15.75" x14ac:dyDescent="0.25">
      <c r="A26" s="140">
        <v>44496</v>
      </c>
      <c r="B26" s="139" t="s">
        <v>75</v>
      </c>
      <c r="C26" s="69">
        <v>2756</v>
      </c>
      <c r="D26" s="140"/>
      <c r="E26" s="69"/>
      <c r="F26" s="137">
        <f t="shared" si="0"/>
        <v>251606.39999999991</v>
      </c>
      <c r="I26" s="191">
        <v>44491</v>
      </c>
      <c r="J26" s="195">
        <v>2622</v>
      </c>
      <c r="K26" s="196">
        <v>2257</v>
      </c>
      <c r="L26" s="253"/>
      <c r="M26" s="69"/>
      <c r="N26" s="137">
        <f t="shared" si="1"/>
        <v>296844.42</v>
      </c>
    </row>
    <row r="27" spans="1:14" ht="15.75" x14ac:dyDescent="0.25">
      <c r="A27" s="140">
        <v>44496</v>
      </c>
      <c r="B27" s="139" t="s">
        <v>76</v>
      </c>
      <c r="C27" s="69">
        <v>9313.6</v>
      </c>
      <c r="D27" s="140"/>
      <c r="E27" s="69"/>
      <c r="F27" s="137">
        <f t="shared" si="0"/>
        <v>260919.99999999991</v>
      </c>
      <c r="I27" s="191">
        <v>44491</v>
      </c>
      <c r="J27" s="195">
        <v>2623</v>
      </c>
      <c r="K27" s="196">
        <v>60</v>
      </c>
      <c r="L27" s="253"/>
      <c r="M27" s="69"/>
      <c r="N27" s="137">
        <f t="shared" si="1"/>
        <v>296904.42</v>
      </c>
    </row>
    <row r="28" spans="1:14" ht="15.75" x14ac:dyDescent="0.25">
      <c r="A28" s="140">
        <v>44497</v>
      </c>
      <c r="B28" s="139" t="s">
        <v>77</v>
      </c>
      <c r="C28" s="69">
        <v>10048.5</v>
      </c>
      <c r="D28" s="140"/>
      <c r="E28" s="69"/>
      <c r="F28" s="137">
        <f t="shared" si="0"/>
        <v>270968.49999999988</v>
      </c>
      <c r="I28" s="191">
        <v>44491</v>
      </c>
      <c r="J28" s="195">
        <v>2628</v>
      </c>
      <c r="K28" s="196">
        <v>39533</v>
      </c>
      <c r="L28" s="253"/>
      <c r="M28" s="69"/>
      <c r="N28" s="137">
        <f t="shared" si="1"/>
        <v>336437.42</v>
      </c>
    </row>
    <row r="29" spans="1:14" ht="15.75" x14ac:dyDescent="0.25">
      <c r="A29" s="140">
        <v>44497</v>
      </c>
      <c r="B29" s="139" t="s">
        <v>78</v>
      </c>
      <c r="C29" s="69">
        <v>3233</v>
      </c>
      <c r="D29" s="140"/>
      <c r="E29" s="69"/>
      <c r="F29" s="137">
        <f t="shared" si="0"/>
        <v>274201.49999999988</v>
      </c>
      <c r="I29" s="191">
        <v>44492</v>
      </c>
      <c r="J29" s="195">
        <v>2633</v>
      </c>
      <c r="K29" s="196">
        <v>3727</v>
      </c>
      <c r="L29" s="253"/>
      <c r="M29" s="69"/>
      <c r="N29" s="137">
        <f t="shared" si="1"/>
        <v>340164.42</v>
      </c>
    </row>
    <row r="30" spans="1:14" ht="18.75" x14ac:dyDescent="0.3">
      <c r="A30" s="140">
        <v>44498</v>
      </c>
      <c r="B30" s="139" t="s">
        <v>79</v>
      </c>
      <c r="C30" s="69">
        <v>18440.3</v>
      </c>
      <c r="D30" s="140"/>
      <c r="E30" s="69"/>
      <c r="F30" s="137">
        <f t="shared" si="0"/>
        <v>292641.79999999987</v>
      </c>
      <c r="G30" s="138"/>
      <c r="I30" s="191">
        <v>44492</v>
      </c>
      <c r="J30" s="220">
        <v>2638</v>
      </c>
      <c r="K30" s="221">
        <v>3861</v>
      </c>
      <c r="L30" s="253"/>
      <c r="M30" s="69"/>
      <c r="N30" s="137">
        <f t="shared" si="1"/>
        <v>344025.42</v>
      </c>
    </row>
    <row r="31" spans="1:14" ht="15.75" x14ac:dyDescent="0.25">
      <c r="A31" s="140">
        <v>44498</v>
      </c>
      <c r="B31" s="139" t="s">
        <v>80</v>
      </c>
      <c r="C31" s="69">
        <v>5634.12</v>
      </c>
      <c r="D31" s="140"/>
      <c r="E31" s="69"/>
      <c r="F31" s="137">
        <f t="shared" si="0"/>
        <v>298275.91999999987</v>
      </c>
      <c r="I31" s="191">
        <v>44493</v>
      </c>
      <c r="J31" s="195">
        <v>2641</v>
      </c>
      <c r="K31" s="196">
        <v>24825</v>
      </c>
      <c r="L31" s="253"/>
      <c r="M31" s="69"/>
      <c r="N31" s="137">
        <f t="shared" si="1"/>
        <v>368850.42</v>
      </c>
    </row>
    <row r="32" spans="1:14" ht="15.75" x14ac:dyDescent="0.25">
      <c r="A32" s="140">
        <v>44499</v>
      </c>
      <c r="B32" s="139" t="s">
        <v>81</v>
      </c>
      <c r="C32" s="69">
        <v>42852</v>
      </c>
      <c r="D32" s="140"/>
      <c r="E32" s="69"/>
      <c r="F32" s="137">
        <f t="shared" si="0"/>
        <v>341127.91999999987</v>
      </c>
      <c r="I32" s="191">
        <v>44493</v>
      </c>
      <c r="J32" s="195">
        <v>2642</v>
      </c>
      <c r="K32" s="196">
        <v>614</v>
      </c>
      <c r="L32" s="253"/>
      <c r="M32" s="69"/>
      <c r="N32" s="137">
        <f t="shared" si="1"/>
        <v>369464.42</v>
      </c>
    </row>
    <row r="33" spans="1:14" ht="15.75" x14ac:dyDescent="0.25">
      <c r="A33" s="140">
        <v>44501</v>
      </c>
      <c r="B33" s="139" t="s">
        <v>82</v>
      </c>
      <c r="C33" s="69">
        <v>7757.6</v>
      </c>
      <c r="D33" s="140"/>
      <c r="E33" s="69"/>
      <c r="F33" s="137">
        <f t="shared" si="0"/>
        <v>348885.51999999984</v>
      </c>
      <c r="I33" s="191">
        <v>44494</v>
      </c>
      <c r="J33" s="195">
        <v>2644</v>
      </c>
      <c r="K33" s="196">
        <v>2901</v>
      </c>
      <c r="L33" s="253"/>
      <c r="M33" s="69"/>
      <c r="N33" s="137">
        <f t="shared" si="1"/>
        <v>372365.42</v>
      </c>
    </row>
    <row r="34" spans="1:14" ht="15.75" x14ac:dyDescent="0.25">
      <c r="A34" s="140">
        <v>44502</v>
      </c>
      <c r="B34" s="139" t="s">
        <v>83</v>
      </c>
      <c r="C34" s="69">
        <v>6498</v>
      </c>
      <c r="D34" s="140"/>
      <c r="E34" s="69"/>
      <c r="F34" s="137">
        <f t="shared" si="0"/>
        <v>355383.51999999984</v>
      </c>
      <c r="I34" s="191">
        <v>44495</v>
      </c>
      <c r="J34" s="195">
        <v>2648</v>
      </c>
      <c r="K34" s="196">
        <v>2623</v>
      </c>
      <c r="L34" s="253"/>
      <c r="M34" s="69"/>
      <c r="N34" s="137">
        <f t="shared" si="1"/>
        <v>374988.42</v>
      </c>
    </row>
    <row r="35" spans="1:14" ht="15.75" x14ac:dyDescent="0.25">
      <c r="A35" s="140">
        <v>44504</v>
      </c>
      <c r="B35" s="139" t="s">
        <v>84</v>
      </c>
      <c r="C35" s="69">
        <v>5926.3</v>
      </c>
      <c r="D35" s="140"/>
      <c r="E35" s="69"/>
      <c r="F35" s="137">
        <f t="shared" si="0"/>
        <v>361309.81999999983</v>
      </c>
      <c r="I35" s="191">
        <v>44495</v>
      </c>
      <c r="J35" s="195">
        <v>2653</v>
      </c>
      <c r="K35" s="196">
        <v>740</v>
      </c>
      <c r="L35" s="253"/>
      <c r="M35" s="69"/>
      <c r="N35" s="137">
        <f t="shared" si="1"/>
        <v>375728.42</v>
      </c>
    </row>
    <row r="36" spans="1:14" ht="15.75" x14ac:dyDescent="0.25">
      <c r="A36" s="140">
        <v>44505</v>
      </c>
      <c r="B36" s="139" t="s">
        <v>85</v>
      </c>
      <c r="C36" s="69">
        <v>19420.8</v>
      </c>
      <c r="D36" s="140"/>
      <c r="E36" s="69"/>
      <c r="F36" s="137">
        <f t="shared" si="0"/>
        <v>380730.61999999982</v>
      </c>
      <c r="I36" s="191">
        <v>44495</v>
      </c>
      <c r="J36" s="220">
        <v>2655</v>
      </c>
      <c r="K36" s="221">
        <v>1189</v>
      </c>
      <c r="L36" s="253"/>
      <c r="M36" s="69"/>
      <c r="N36" s="137">
        <f t="shared" si="1"/>
        <v>376917.42</v>
      </c>
    </row>
    <row r="37" spans="1:14" ht="15.75" x14ac:dyDescent="0.25">
      <c r="A37" s="140">
        <v>44505</v>
      </c>
      <c r="B37" s="139" t="s">
        <v>86</v>
      </c>
      <c r="C37" s="69">
        <v>10233.200000000001</v>
      </c>
      <c r="D37" s="140"/>
      <c r="E37" s="69"/>
      <c r="F37" s="137">
        <f t="shared" si="0"/>
        <v>390963.81999999983</v>
      </c>
      <c r="I37" s="191">
        <v>44496</v>
      </c>
      <c r="J37" s="195">
        <v>2659</v>
      </c>
      <c r="K37" s="196">
        <v>6711</v>
      </c>
      <c r="L37" s="253"/>
      <c r="M37" s="69"/>
      <c r="N37" s="137">
        <f t="shared" si="1"/>
        <v>383628.42</v>
      </c>
    </row>
    <row r="38" spans="1:14" ht="15.75" x14ac:dyDescent="0.25">
      <c r="A38" s="140">
        <v>44506</v>
      </c>
      <c r="B38" s="139" t="s">
        <v>87</v>
      </c>
      <c r="C38" s="69">
        <v>15301.7</v>
      </c>
      <c r="D38" s="140"/>
      <c r="E38" s="69"/>
      <c r="F38" s="137">
        <f t="shared" si="0"/>
        <v>406265.51999999984</v>
      </c>
      <c r="I38" s="191">
        <v>44497</v>
      </c>
      <c r="J38" s="195">
        <v>2666</v>
      </c>
      <c r="K38" s="196">
        <v>71111</v>
      </c>
      <c r="L38" s="253"/>
      <c r="M38" s="69"/>
      <c r="N38" s="137">
        <f t="shared" si="1"/>
        <v>454739.42</v>
      </c>
    </row>
    <row r="39" spans="1:14" ht="15.75" x14ac:dyDescent="0.25">
      <c r="A39" s="140">
        <v>44506</v>
      </c>
      <c r="B39" s="139" t="s">
        <v>88</v>
      </c>
      <c r="C39" s="69">
        <v>3101.84</v>
      </c>
      <c r="D39" s="140"/>
      <c r="E39" s="69"/>
      <c r="F39" s="137">
        <f t="shared" si="0"/>
        <v>409367.35999999987</v>
      </c>
      <c r="I39" s="191">
        <v>44497</v>
      </c>
      <c r="J39" s="195">
        <v>2668</v>
      </c>
      <c r="K39" s="196">
        <v>13525</v>
      </c>
      <c r="L39" s="253"/>
      <c r="M39" s="69"/>
      <c r="N39" s="137">
        <f t="shared" si="1"/>
        <v>468264.42</v>
      </c>
    </row>
    <row r="40" spans="1:14" ht="15.75" x14ac:dyDescent="0.25">
      <c r="A40" s="140">
        <v>44506</v>
      </c>
      <c r="B40" s="139" t="s">
        <v>89</v>
      </c>
      <c r="C40" s="69">
        <v>81.599999999999994</v>
      </c>
      <c r="D40" s="140">
        <v>44536</v>
      </c>
      <c r="E40" s="69">
        <v>409448.96000000002</v>
      </c>
      <c r="F40" s="137">
        <f t="shared" si="0"/>
        <v>0</v>
      </c>
      <c r="I40" s="191">
        <v>44497</v>
      </c>
      <c r="J40" s="195">
        <v>2669</v>
      </c>
      <c r="K40" s="196">
        <v>7227</v>
      </c>
      <c r="L40" s="253"/>
      <c r="M40" s="69"/>
      <c r="N40" s="137">
        <f t="shared" si="1"/>
        <v>475491.42</v>
      </c>
    </row>
    <row r="41" spans="1:14" ht="15.75" x14ac:dyDescent="0.25">
      <c r="A41" s="140">
        <v>44507</v>
      </c>
      <c r="B41" s="861" t="s">
        <v>92</v>
      </c>
      <c r="C41" s="190">
        <v>0</v>
      </c>
      <c r="D41" s="140"/>
      <c r="E41" s="69"/>
      <c r="F41" s="137">
        <f t="shared" si="0"/>
        <v>0</v>
      </c>
      <c r="I41" s="191">
        <v>44497</v>
      </c>
      <c r="J41" s="195">
        <v>2672</v>
      </c>
      <c r="K41" s="196">
        <v>2618</v>
      </c>
      <c r="L41" s="253"/>
      <c r="M41" s="69"/>
      <c r="N41" s="137">
        <f t="shared" si="1"/>
        <v>478109.42</v>
      </c>
    </row>
    <row r="42" spans="1:14" ht="15.75" x14ac:dyDescent="0.25">
      <c r="A42" s="140" t="s">
        <v>93</v>
      </c>
      <c r="B42" s="862"/>
      <c r="C42" s="143">
        <v>0</v>
      </c>
      <c r="D42" s="140"/>
      <c r="E42" s="69"/>
      <c r="F42" s="137">
        <f t="shared" si="0"/>
        <v>0</v>
      </c>
      <c r="I42" s="191">
        <v>44498</v>
      </c>
      <c r="J42" s="195">
        <v>2675</v>
      </c>
      <c r="K42" s="196">
        <v>8371</v>
      </c>
      <c r="L42" s="253"/>
      <c r="M42" s="69"/>
      <c r="N42" s="137">
        <f t="shared" si="1"/>
        <v>486480.42</v>
      </c>
    </row>
    <row r="43" spans="1:14" ht="15.75" x14ac:dyDescent="0.25">
      <c r="A43" s="140"/>
      <c r="B43" s="279">
        <v>4472.5600000000004</v>
      </c>
      <c r="C43" s="69"/>
      <c r="D43" s="140"/>
      <c r="E43" s="69"/>
      <c r="F43" s="137">
        <f t="shared" si="0"/>
        <v>0</v>
      </c>
      <c r="I43" s="191">
        <v>44498</v>
      </c>
      <c r="J43" s="195">
        <v>2676</v>
      </c>
      <c r="K43" s="196">
        <v>753</v>
      </c>
      <c r="L43" s="253"/>
      <c r="M43" s="69"/>
      <c r="N43" s="137">
        <f t="shared" si="1"/>
        <v>487233.42</v>
      </c>
    </row>
    <row r="44" spans="1:14" ht="18.75" x14ac:dyDescent="0.25">
      <c r="A44" s="140"/>
      <c r="B44" s="139"/>
      <c r="C44" s="69"/>
      <c r="D44" s="140"/>
      <c r="E44" s="69"/>
      <c r="F44" s="137">
        <f t="shared" si="0"/>
        <v>0</v>
      </c>
      <c r="I44" s="191">
        <v>44498</v>
      </c>
      <c r="J44" s="197" t="s">
        <v>96</v>
      </c>
      <c r="K44" s="198">
        <v>0</v>
      </c>
      <c r="L44" s="253"/>
      <c r="M44" s="69"/>
      <c r="N44" s="137">
        <f t="shared" si="1"/>
        <v>487233.42</v>
      </c>
    </row>
    <row r="45" spans="1:14" ht="15.75" x14ac:dyDescent="0.25">
      <c r="A45" s="140"/>
      <c r="B45" s="139"/>
      <c r="C45" s="69"/>
      <c r="D45" s="140"/>
      <c r="E45" s="69"/>
      <c r="F45" s="137">
        <f t="shared" si="0"/>
        <v>0</v>
      </c>
      <c r="I45" s="191">
        <v>44499</v>
      </c>
      <c r="J45" s="195">
        <v>2684</v>
      </c>
      <c r="K45" s="196">
        <v>5240</v>
      </c>
      <c r="L45" s="253"/>
      <c r="M45" s="69"/>
      <c r="N45" s="137">
        <f t="shared" si="1"/>
        <v>492473.42</v>
      </c>
    </row>
    <row r="46" spans="1:14" ht="15.75" x14ac:dyDescent="0.25">
      <c r="A46" s="140"/>
      <c r="B46" s="139"/>
      <c r="C46" s="69"/>
      <c r="D46" s="140"/>
      <c r="E46" s="69"/>
      <c r="F46" s="137">
        <f t="shared" si="0"/>
        <v>0</v>
      </c>
      <c r="I46" s="191">
        <v>44501</v>
      </c>
      <c r="J46" s="195">
        <v>2691</v>
      </c>
      <c r="K46" s="196">
        <v>15576</v>
      </c>
      <c r="L46" s="253"/>
      <c r="M46" s="69"/>
      <c r="N46" s="137">
        <f t="shared" si="1"/>
        <v>508049.42</v>
      </c>
    </row>
    <row r="47" spans="1:14" ht="15.75" x14ac:dyDescent="0.25">
      <c r="A47" s="140"/>
      <c r="B47" s="139"/>
      <c r="C47" s="69"/>
      <c r="D47" s="140"/>
      <c r="E47" s="69"/>
      <c r="F47" s="137">
        <f t="shared" si="0"/>
        <v>0</v>
      </c>
      <c r="I47" s="191">
        <v>44501</v>
      </c>
      <c r="J47" s="195">
        <v>2692</v>
      </c>
      <c r="K47" s="196">
        <v>739</v>
      </c>
      <c r="L47" s="253"/>
      <c r="M47" s="69"/>
      <c r="N47" s="137">
        <f t="shared" si="1"/>
        <v>508788.42</v>
      </c>
    </row>
    <row r="48" spans="1:14" ht="15.75" x14ac:dyDescent="0.25">
      <c r="A48" s="140"/>
      <c r="B48" s="139"/>
      <c r="C48" s="69"/>
      <c r="D48" s="140"/>
      <c r="E48" s="69"/>
      <c r="F48" s="137">
        <f t="shared" si="0"/>
        <v>0</v>
      </c>
      <c r="I48" s="191">
        <v>44501</v>
      </c>
      <c r="J48" s="195">
        <v>2693</v>
      </c>
      <c r="K48" s="196">
        <v>623</v>
      </c>
      <c r="L48" s="253"/>
      <c r="M48" s="69"/>
      <c r="N48" s="137">
        <f t="shared" si="1"/>
        <v>509411.42</v>
      </c>
    </row>
    <row r="49" spans="1:14" ht="15.75" x14ac:dyDescent="0.25">
      <c r="A49" s="140"/>
      <c r="B49" s="139"/>
      <c r="C49" s="69"/>
      <c r="D49" s="140"/>
      <c r="E49" s="69"/>
      <c r="F49" s="137">
        <f t="shared" si="0"/>
        <v>0</v>
      </c>
      <c r="I49" s="191">
        <v>44502</v>
      </c>
      <c r="J49" s="195">
        <v>2700</v>
      </c>
      <c r="K49" s="196">
        <v>2636</v>
      </c>
      <c r="L49" s="253"/>
      <c r="M49" s="69"/>
      <c r="N49" s="137">
        <f t="shared" si="1"/>
        <v>512047.42</v>
      </c>
    </row>
    <row r="50" spans="1:14" ht="15.75" x14ac:dyDescent="0.25">
      <c r="A50" s="140"/>
      <c r="B50" s="139"/>
      <c r="C50" s="69"/>
      <c r="D50" s="140"/>
      <c r="E50" s="69"/>
      <c r="F50" s="137">
        <f t="shared" si="0"/>
        <v>0</v>
      </c>
      <c r="I50" s="191">
        <v>44502</v>
      </c>
      <c r="J50" s="195">
        <v>2702</v>
      </c>
      <c r="K50" s="196">
        <v>120</v>
      </c>
      <c r="L50" s="253"/>
      <c r="M50" s="69"/>
      <c r="N50" s="137">
        <f t="shared" si="1"/>
        <v>512167.42</v>
      </c>
    </row>
    <row r="51" spans="1:14" ht="15.75" x14ac:dyDescent="0.25">
      <c r="A51" s="140"/>
      <c r="B51" s="139"/>
      <c r="C51" s="69"/>
      <c r="D51" s="140"/>
      <c r="E51" s="69"/>
      <c r="F51" s="137">
        <f t="shared" si="0"/>
        <v>0</v>
      </c>
      <c r="I51" s="191">
        <v>44503</v>
      </c>
      <c r="J51" s="195">
        <v>2711</v>
      </c>
      <c r="K51" s="196">
        <v>14669</v>
      </c>
      <c r="L51" s="253"/>
      <c r="M51" s="69"/>
      <c r="N51" s="137">
        <f t="shared" si="1"/>
        <v>526836.41999999993</v>
      </c>
    </row>
    <row r="52" spans="1:14" ht="15.75" x14ac:dyDescent="0.25">
      <c r="A52" s="140"/>
      <c r="B52" s="139"/>
      <c r="C52" s="69"/>
      <c r="D52" s="140"/>
      <c r="E52" s="69"/>
      <c r="F52" s="137">
        <f t="shared" si="0"/>
        <v>0</v>
      </c>
      <c r="I52" s="191">
        <v>44504</v>
      </c>
      <c r="J52" s="195">
        <v>2712</v>
      </c>
      <c r="K52" s="196">
        <v>2897</v>
      </c>
      <c r="L52" s="253"/>
      <c r="M52" s="69"/>
      <c r="N52" s="137">
        <f t="shared" si="1"/>
        <v>529733.41999999993</v>
      </c>
    </row>
    <row r="53" spans="1:14" ht="15.75" x14ac:dyDescent="0.25">
      <c r="A53" s="140"/>
      <c r="B53" s="139"/>
      <c r="C53" s="69"/>
      <c r="D53" s="140"/>
      <c r="E53" s="69"/>
      <c r="F53" s="137">
        <f t="shared" si="0"/>
        <v>0</v>
      </c>
      <c r="I53" s="191">
        <v>44504</v>
      </c>
      <c r="J53" s="195">
        <v>2717</v>
      </c>
      <c r="K53" s="196">
        <v>360</v>
      </c>
      <c r="L53" s="253"/>
      <c r="M53" s="69"/>
      <c r="N53" s="137">
        <f t="shared" si="1"/>
        <v>530093.41999999993</v>
      </c>
    </row>
    <row r="54" spans="1:14" ht="15.75" x14ac:dyDescent="0.25">
      <c r="A54" s="134"/>
      <c r="B54" s="139"/>
      <c r="C54" s="69"/>
      <c r="D54" s="140"/>
      <c r="E54" s="69"/>
      <c r="F54" s="137">
        <f t="shared" si="0"/>
        <v>0</v>
      </c>
      <c r="I54" s="191">
        <v>44505</v>
      </c>
      <c r="J54" s="195">
        <v>2722</v>
      </c>
      <c r="K54" s="196">
        <v>4820</v>
      </c>
      <c r="L54" s="253"/>
      <c r="M54" s="69"/>
      <c r="N54" s="137">
        <f t="shared" si="1"/>
        <v>534913.41999999993</v>
      </c>
    </row>
    <row r="55" spans="1:14" ht="15.75" x14ac:dyDescent="0.25">
      <c r="A55" s="134"/>
      <c r="B55" s="139"/>
      <c r="C55" s="69"/>
      <c r="D55" s="140"/>
      <c r="E55" s="69"/>
      <c r="F55" s="137">
        <f t="shared" si="0"/>
        <v>0</v>
      </c>
      <c r="I55" s="191">
        <v>44505</v>
      </c>
      <c r="J55" s="195">
        <v>2724</v>
      </c>
      <c r="K55" s="196">
        <v>4925</v>
      </c>
      <c r="L55" s="253"/>
      <c r="M55" s="69"/>
      <c r="N55" s="137">
        <f t="shared" si="1"/>
        <v>539838.41999999993</v>
      </c>
    </row>
    <row r="56" spans="1:14" ht="15.75" x14ac:dyDescent="0.25">
      <c r="A56" s="134"/>
      <c r="B56" s="139"/>
      <c r="C56" s="69"/>
      <c r="D56" s="140"/>
      <c r="E56" s="69"/>
      <c r="F56" s="137">
        <f t="shared" si="0"/>
        <v>0</v>
      </c>
      <c r="I56" s="191">
        <v>44506</v>
      </c>
      <c r="J56" s="195">
        <v>2732</v>
      </c>
      <c r="K56" s="196">
        <v>5</v>
      </c>
      <c r="L56" s="253"/>
      <c r="M56" s="69"/>
      <c r="N56" s="137">
        <f t="shared" si="1"/>
        <v>539843.41999999993</v>
      </c>
    </row>
    <row r="57" spans="1:14" ht="15.75" x14ac:dyDescent="0.25">
      <c r="A57" s="140"/>
      <c r="B57" s="139"/>
      <c r="C57" s="69"/>
      <c r="D57" s="140"/>
      <c r="E57" s="69"/>
      <c r="F57" s="137">
        <f t="shared" si="0"/>
        <v>0</v>
      </c>
      <c r="I57" s="191">
        <v>44506</v>
      </c>
      <c r="J57" s="195">
        <v>2733</v>
      </c>
      <c r="K57" s="196">
        <v>6665</v>
      </c>
      <c r="L57" s="253"/>
      <c r="M57" s="69"/>
      <c r="N57" s="137">
        <f t="shared" si="1"/>
        <v>546508.41999999993</v>
      </c>
    </row>
    <row r="58" spans="1:14" ht="15.75" x14ac:dyDescent="0.25">
      <c r="A58" s="140"/>
      <c r="B58" s="139"/>
      <c r="C58" s="69"/>
      <c r="D58" s="140"/>
      <c r="E58" s="69"/>
      <c r="F58" s="137">
        <f t="shared" si="0"/>
        <v>0</v>
      </c>
      <c r="I58" s="191">
        <v>44507</v>
      </c>
      <c r="J58" s="195">
        <v>2738</v>
      </c>
      <c r="K58" s="196">
        <v>646</v>
      </c>
      <c r="L58" s="253"/>
      <c r="M58" s="69"/>
      <c r="N58" s="137">
        <f t="shared" si="1"/>
        <v>547154.41999999993</v>
      </c>
    </row>
    <row r="59" spans="1:14" ht="18.75" x14ac:dyDescent="0.25">
      <c r="A59" s="140"/>
      <c r="B59" s="139"/>
      <c r="C59" s="69"/>
      <c r="D59" s="140"/>
      <c r="E59" s="69"/>
      <c r="F59" s="137">
        <f t="shared" si="0"/>
        <v>0</v>
      </c>
      <c r="I59" s="191">
        <v>44507</v>
      </c>
      <c r="J59" s="197" t="s">
        <v>96</v>
      </c>
      <c r="K59" s="198">
        <v>0</v>
      </c>
      <c r="L59" s="253"/>
      <c r="M59" s="69"/>
      <c r="N59" s="137">
        <f t="shared" si="1"/>
        <v>547154.41999999993</v>
      </c>
    </row>
    <row r="60" spans="1:14" ht="15.75" x14ac:dyDescent="0.25">
      <c r="A60" s="134"/>
      <c r="B60" s="139"/>
      <c r="C60" s="69"/>
      <c r="D60" s="140"/>
      <c r="E60" s="69"/>
      <c r="F60" s="137">
        <f t="shared" si="0"/>
        <v>0</v>
      </c>
      <c r="I60" s="134"/>
      <c r="J60" s="139">
        <v>34125.46</v>
      </c>
      <c r="K60" s="69"/>
      <c r="L60" s="282">
        <v>44533</v>
      </c>
      <c r="M60" s="281">
        <v>547154.42000000004</v>
      </c>
      <c r="N60" s="280">
        <f t="shared" si="1"/>
        <v>0</v>
      </c>
    </row>
    <row r="61" spans="1:14" ht="15.75" x14ac:dyDescent="0.25">
      <c r="A61" s="134"/>
      <c r="B61" s="139"/>
      <c r="C61" s="69"/>
      <c r="D61" s="140"/>
      <c r="E61" s="69"/>
      <c r="F61" s="137">
        <f t="shared" si="0"/>
        <v>0</v>
      </c>
      <c r="I61" s="134"/>
      <c r="J61" s="139"/>
      <c r="K61" s="69"/>
      <c r="L61" s="253"/>
      <c r="M61" s="69"/>
      <c r="N61" s="137">
        <f t="shared" si="1"/>
        <v>0</v>
      </c>
    </row>
    <row r="62" spans="1:14" ht="16.5" thickBot="1" x14ac:dyDescent="0.3">
      <c r="A62" s="134"/>
      <c r="B62" s="139"/>
      <c r="C62" s="69"/>
      <c r="D62" s="140"/>
      <c r="E62" s="69"/>
      <c r="F62" s="137">
        <f t="shared" si="0"/>
        <v>0</v>
      </c>
      <c r="I62" s="134"/>
      <c r="J62" s="139"/>
      <c r="K62" s="69"/>
      <c r="L62" s="253"/>
      <c r="M62" s="69"/>
      <c r="N62" s="137">
        <f t="shared" si="1"/>
        <v>0</v>
      </c>
    </row>
    <row r="63" spans="1:14" ht="15" hidden="1" customHeight="1" x14ac:dyDescent="0.25">
      <c r="A63" s="141"/>
      <c r="B63" s="142"/>
      <c r="C63" s="143"/>
      <c r="D63" s="140"/>
      <c r="E63" s="69"/>
      <c r="F63" s="137">
        <f t="shared" si="0"/>
        <v>0</v>
      </c>
      <c r="I63" s="141"/>
      <c r="J63" s="142"/>
      <c r="K63" s="143"/>
      <c r="L63" s="253"/>
      <c r="M63" s="69"/>
      <c r="N63" s="137">
        <f t="shared" si="1"/>
        <v>0</v>
      </c>
    </row>
    <row r="64" spans="1:14" ht="15.75" hidden="1" x14ac:dyDescent="0.25">
      <c r="A64" s="141"/>
      <c r="B64" s="142"/>
      <c r="C64" s="143"/>
      <c r="D64" s="140"/>
      <c r="E64" s="69"/>
      <c r="F64" s="137">
        <f t="shared" si="0"/>
        <v>0</v>
      </c>
      <c r="I64" s="141"/>
      <c r="J64" s="142"/>
      <c r="K64" s="143"/>
      <c r="L64" s="253"/>
      <c r="M64" s="69"/>
      <c r="N64" s="137">
        <f t="shared" si="1"/>
        <v>0</v>
      </c>
    </row>
    <row r="65" spans="1:14" ht="15.75" hidden="1" x14ac:dyDescent="0.25">
      <c r="A65" s="141"/>
      <c r="B65" s="142"/>
      <c r="C65" s="143"/>
      <c r="D65" s="140"/>
      <c r="E65" s="69"/>
      <c r="F65" s="137">
        <f t="shared" si="0"/>
        <v>0</v>
      </c>
      <c r="I65" s="141"/>
      <c r="J65" s="142"/>
      <c r="K65" s="143"/>
      <c r="L65" s="253"/>
      <c r="M65" s="69"/>
      <c r="N65" s="137">
        <f t="shared" si="1"/>
        <v>0</v>
      </c>
    </row>
    <row r="66" spans="1:14" ht="15.75" hidden="1" x14ac:dyDescent="0.25">
      <c r="A66" s="141"/>
      <c r="B66" s="142"/>
      <c r="C66" s="143"/>
      <c r="D66" s="140"/>
      <c r="E66" s="69"/>
      <c r="F66" s="137">
        <f t="shared" si="0"/>
        <v>0</v>
      </c>
      <c r="I66" s="141"/>
      <c r="J66" s="142"/>
      <c r="K66" s="143"/>
      <c r="L66" s="253"/>
      <c r="M66" s="69"/>
      <c r="N66" s="137">
        <f t="shared" si="1"/>
        <v>0</v>
      </c>
    </row>
    <row r="67" spans="1:14" ht="15.75" hidden="1" x14ac:dyDescent="0.25">
      <c r="A67" s="141"/>
      <c r="B67" s="142"/>
      <c r="C67" s="143"/>
      <c r="D67" s="140"/>
      <c r="E67" s="69"/>
      <c r="F67" s="137">
        <f t="shared" si="0"/>
        <v>0</v>
      </c>
      <c r="I67" s="141"/>
      <c r="J67" s="142"/>
      <c r="K67" s="143"/>
      <c r="L67" s="253"/>
      <c r="M67" s="69"/>
      <c r="N67" s="137">
        <f t="shared" si="1"/>
        <v>0</v>
      </c>
    </row>
    <row r="68" spans="1:14" ht="15.75" hidden="1" x14ac:dyDescent="0.25">
      <c r="A68" s="141"/>
      <c r="B68" s="142"/>
      <c r="C68" s="143"/>
      <c r="D68" s="140"/>
      <c r="E68" s="69"/>
      <c r="F68" s="137">
        <f t="shared" si="0"/>
        <v>0</v>
      </c>
      <c r="I68" s="141"/>
      <c r="J68" s="142"/>
      <c r="K68" s="143"/>
      <c r="L68" s="253"/>
      <c r="M68" s="69"/>
      <c r="N68" s="137">
        <f t="shared" si="1"/>
        <v>0</v>
      </c>
    </row>
    <row r="69" spans="1:14" ht="15.75" hidden="1" x14ac:dyDescent="0.25">
      <c r="A69" s="141"/>
      <c r="B69" s="142"/>
      <c r="C69" s="143"/>
      <c r="D69" s="140"/>
      <c r="E69" s="69"/>
      <c r="F69" s="137">
        <f t="shared" ref="F69:F97" si="2">F68+C69-E69</f>
        <v>0</v>
      </c>
      <c r="I69" s="141"/>
      <c r="J69" s="142"/>
      <c r="K69" s="143"/>
      <c r="L69" s="253"/>
      <c r="M69" s="69"/>
      <c r="N69" s="137">
        <f t="shared" ref="N69:N97" si="3">N68+K69-M69</f>
        <v>0</v>
      </c>
    </row>
    <row r="70" spans="1:14" ht="15.75" hidden="1" x14ac:dyDescent="0.25">
      <c r="A70" s="141"/>
      <c r="B70" s="142"/>
      <c r="C70" s="143"/>
      <c r="D70" s="140"/>
      <c r="E70" s="69"/>
      <c r="F70" s="137">
        <f t="shared" si="2"/>
        <v>0</v>
      </c>
      <c r="I70" s="141"/>
      <c r="J70" s="142"/>
      <c r="K70" s="143"/>
      <c r="L70" s="253"/>
      <c r="M70" s="69"/>
      <c r="N70" s="137">
        <f t="shared" si="3"/>
        <v>0</v>
      </c>
    </row>
    <row r="71" spans="1:14" ht="15.75" hidden="1" x14ac:dyDescent="0.25">
      <c r="A71" s="141"/>
      <c r="B71" s="142"/>
      <c r="C71" s="143"/>
      <c r="D71" s="140"/>
      <c r="E71" s="69"/>
      <c r="F71" s="137">
        <f t="shared" si="2"/>
        <v>0</v>
      </c>
      <c r="I71" s="141"/>
      <c r="J71" s="142"/>
      <c r="K71" s="143"/>
      <c r="L71" s="253"/>
      <c r="M71" s="69"/>
      <c r="N71" s="137">
        <f t="shared" si="3"/>
        <v>0</v>
      </c>
    </row>
    <row r="72" spans="1:14" ht="15.75" hidden="1" x14ac:dyDescent="0.25">
      <c r="A72" s="141"/>
      <c r="B72" s="142"/>
      <c r="C72" s="143"/>
      <c r="D72" s="140"/>
      <c r="E72" s="69"/>
      <c r="F72" s="137">
        <f t="shared" si="2"/>
        <v>0</v>
      </c>
      <c r="I72" s="141"/>
      <c r="J72" s="142"/>
      <c r="K72" s="143"/>
      <c r="L72" s="253"/>
      <c r="M72" s="69"/>
      <c r="N72" s="137">
        <f t="shared" si="3"/>
        <v>0</v>
      </c>
    </row>
    <row r="73" spans="1:14" ht="15.75" hidden="1" x14ac:dyDescent="0.25">
      <c r="A73" s="141"/>
      <c r="B73" s="142"/>
      <c r="C73" s="143"/>
      <c r="D73" s="140"/>
      <c r="E73" s="69"/>
      <c r="F73" s="137">
        <f t="shared" si="2"/>
        <v>0</v>
      </c>
      <c r="I73" s="141"/>
      <c r="J73" s="142"/>
      <c r="K73" s="143"/>
      <c r="L73" s="253"/>
      <c r="M73" s="69"/>
      <c r="N73" s="137">
        <f t="shared" si="3"/>
        <v>0</v>
      </c>
    </row>
    <row r="74" spans="1:14" ht="15.75" hidden="1" x14ac:dyDescent="0.25">
      <c r="A74" s="141"/>
      <c r="B74" s="142"/>
      <c r="C74" s="143"/>
      <c r="D74" s="140"/>
      <c r="E74" s="69"/>
      <c r="F74" s="137">
        <f t="shared" si="2"/>
        <v>0</v>
      </c>
      <c r="I74" s="141"/>
      <c r="J74" s="142"/>
      <c r="K74" s="143"/>
      <c r="L74" s="253"/>
      <c r="M74" s="69"/>
      <c r="N74" s="137">
        <f t="shared" si="3"/>
        <v>0</v>
      </c>
    </row>
    <row r="75" spans="1:14" ht="15.75" hidden="1" x14ac:dyDescent="0.25">
      <c r="A75" s="141"/>
      <c r="B75" s="142"/>
      <c r="C75" s="143"/>
      <c r="D75" s="140"/>
      <c r="E75" s="69"/>
      <c r="F75" s="137">
        <f t="shared" si="2"/>
        <v>0</v>
      </c>
      <c r="I75" s="141"/>
      <c r="J75" s="142"/>
      <c r="K75" s="143"/>
      <c r="L75" s="253"/>
      <c r="M75" s="69"/>
      <c r="N75" s="137">
        <f t="shared" si="3"/>
        <v>0</v>
      </c>
    </row>
    <row r="76" spans="1:14" ht="15.75" hidden="1" x14ac:dyDescent="0.25">
      <c r="A76" s="141"/>
      <c r="B76" s="142"/>
      <c r="C76" s="143"/>
      <c r="D76" s="140"/>
      <c r="E76" s="69"/>
      <c r="F76" s="137">
        <f t="shared" si="2"/>
        <v>0</v>
      </c>
      <c r="I76" s="141"/>
      <c r="J76" s="142"/>
      <c r="K76" s="143"/>
      <c r="L76" s="253"/>
      <c r="M76" s="69"/>
      <c r="N76" s="137">
        <f t="shared" si="3"/>
        <v>0</v>
      </c>
    </row>
    <row r="77" spans="1:14" ht="15.75" hidden="1" x14ac:dyDescent="0.25">
      <c r="A77" s="141"/>
      <c r="B77" s="142"/>
      <c r="C77" s="143"/>
      <c r="D77" s="140"/>
      <c r="E77" s="69"/>
      <c r="F77" s="137">
        <f t="shared" si="2"/>
        <v>0</v>
      </c>
      <c r="I77" s="141"/>
      <c r="J77" s="142"/>
      <c r="K77" s="143"/>
      <c r="L77" s="253"/>
      <c r="M77" s="69"/>
      <c r="N77" s="137">
        <f t="shared" si="3"/>
        <v>0</v>
      </c>
    </row>
    <row r="78" spans="1:14" ht="15.75" hidden="1" x14ac:dyDescent="0.25">
      <c r="A78" s="141"/>
      <c r="B78" s="142"/>
      <c r="C78" s="143"/>
      <c r="D78" s="140"/>
      <c r="E78" s="69"/>
      <c r="F78" s="137">
        <f t="shared" si="2"/>
        <v>0</v>
      </c>
      <c r="I78" s="141"/>
      <c r="J78" s="142"/>
      <c r="K78" s="143"/>
      <c r="L78" s="253"/>
      <c r="M78" s="69"/>
      <c r="N78" s="137">
        <f t="shared" si="3"/>
        <v>0</v>
      </c>
    </row>
    <row r="79" spans="1:14" ht="15.75" hidden="1" x14ac:dyDescent="0.25">
      <c r="A79" s="141"/>
      <c r="B79" s="142"/>
      <c r="C79" s="143"/>
      <c r="D79" s="140"/>
      <c r="E79" s="69"/>
      <c r="F79" s="137">
        <f t="shared" si="2"/>
        <v>0</v>
      </c>
      <c r="I79" s="141"/>
      <c r="J79" s="142"/>
      <c r="K79" s="143"/>
      <c r="L79" s="253"/>
      <c r="M79" s="69"/>
      <c r="N79" s="137">
        <f t="shared" si="3"/>
        <v>0</v>
      </c>
    </row>
    <row r="80" spans="1:14" ht="15.75" hidden="1" x14ac:dyDescent="0.25">
      <c r="A80" s="141"/>
      <c r="B80" s="142"/>
      <c r="C80" s="143"/>
      <c r="D80" s="140"/>
      <c r="E80" s="69"/>
      <c r="F80" s="137">
        <f t="shared" si="2"/>
        <v>0</v>
      </c>
      <c r="I80" s="141"/>
      <c r="J80" s="142"/>
      <c r="K80" s="143"/>
      <c r="L80" s="253"/>
      <c r="M80" s="69"/>
      <c r="N80" s="137">
        <f t="shared" si="3"/>
        <v>0</v>
      </c>
    </row>
    <row r="81" spans="1:14" ht="15.75" hidden="1" x14ac:dyDescent="0.25">
      <c r="A81" s="144"/>
      <c r="B81" s="145"/>
      <c r="C81" s="146"/>
      <c r="D81" s="147"/>
      <c r="E81" s="34"/>
      <c r="F81" s="137">
        <f t="shared" si="2"/>
        <v>0</v>
      </c>
      <c r="I81" s="144"/>
      <c r="J81" s="145"/>
      <c r="K81" s="146"/>
      <c r="L81" s="118"/>
      <c r="M81" s="34"/>
      <c r="N81" s="137">
        <f t="shared" si="3"/>
        <v>0</v>
      </c>
    </row>
    <row r="82" spans="1:14" ht="15.75" hidden="1" x14ac:dyDescent="0.25">
      <c r="A82" s="144"/>
      <c r="B82" s="145"/>
      <c r="C82" s="146"/>
      <c r="D82" s="147"/>
      <c r="E82" s="34"/>
      <c r="F82" s="137">
        <f t="shared" si="2"/>
        <v>0</v>
      </c>
      <c r="I82" s="144"/>
      <c r="J82" s="145"/>
      <c r="K82" s="146"/>
      <c r="L82" s="118"/>
      <c r="M82" s="34"/>
      <c r="N82" s="137">
        <f t="shared" si="3"/>
        <v>0</v>
      </c>
    </row>
    <row r="83" spans="1:14" ht="15.75" hidden="1" x14ac:dyDescent="0.25">
      <c r="A83" s="144"/>
      <c r="B83" s="145"/>
      <c r="C83" s="146"/>
      <c r="D83" s="147"/>
      <c r="E83" s="34"/>
      <c r="F83" s="137">
        <f t="shared" si="2"/>
        <v>0</v>
      </c>
      <c r="I83" s="144"/>
      <c r="J83" s="145"/>
      <c r="K83" s="146"/>
      <c r="L83" s="118"/>
      <c r="M83" s="34"/>
      <c r="N83" s="137">
        <f t="shared" si="3"/>
        <v>0</v>
      </c>
    </row>
    <row r="84" spans="1:14" ht="15.75" hidden="1" x14ac:dyDescent="0.25">
      <c r="A84" s="144"/>
      <c r="B84" s="145"/>
      <c r="C84" s="146"/>
      <c r="D84" s="147"/>
      <c r="E84" s="34"/>
      <c r="F84" s="137">
        <f t="shared" si="2"/>
        <v>0</v>
      </c>
      <c r="I84" s="144"/>
      <c r="J84" s="145"/>
      <c r="K84" s="146"/>
      <c r="L84" s="118"/>
      <c r="M84" s="34"/>
      <c r="N84" s="137">
        <f t="shared" si="3"/>
        <v>0</v>
      </c>
    </row>
    <row r="85" spans="1:14" ht="15.75" hidden="1" x14ac:dyDescent="0.25">
      <c r="A85" s="144"/>
      <c r="B85" s="145"/>
      <c r="C85" s="146"/>
      <c r="D85" s="147"/>
      <c r="E85" s="34"/>
      <c r="F85" s="137">
        <f t="shared" si="2"/>
        <v>0</v>
      </c>
      <c r="I85" s="144"/>
      <c r="J85" s="145"/>
      <c r="K85" s="146"/>
      <c r="L85" s="118"/>
      <c r="M85" s="34"/>
      <c r="N85" s="137">
        <f t="shared" si="3"/>
        <v>0</v>
      </c>
    </row>
    <row r="86" spans="1:14" ht="15.75" hidden="1" x14ac:dyDescent="0.25">
      <c r="A86" s="144"/>
      <c r="B86" s="145"/>
      <c r="C86" s="146"/>
      <c r="D86" s="147"/>
      <c r="E86" s="34"/>
      <c r="F86" s="137">
        <f t="shared" si="2"/>
        <v>0</v>
      </c>
      <c r="I86" s="144"/>
      <c r="J86" s="145"/>
      <c r="K86" s="146"/>
      <c r="L86" s="118"/>
      <c r="M86" s="34"/>
      <c r="N86" s="137">
        <f t="shared" si="3"/>
        <v>0</v>
      </c>
    </row>
    <row r="87" spans="1:14" ht="15.75" hidden="1" x14ac:dyDescent="0.25">
      <c r="A87" s="141"/>
      <c r="B87" s="142"/>
      <c r="C87" s="143"/>
      <c r="D87" s="148"/>
      <c r="E87" s="69"/>
      <c r="F87" s="137">
        <f t="shared" si="2"/>
        <v>0</v>
      </c>
      <c r="I87" s="141"/>
      <c r="J87" s="142"/>
      <c r="K87" s="143"/>
      <c r="L87" s="254"/>
      <c r="M87" s="69"/>
      <c r="N87" s="137">
        <f t="shared" si="3"/>
        <v>0</v>
      </c>
    </row>
    <row r="88" spans="1:14" ht="15.75" hidden="1" x14ac:dyDescent="0.25">
      <c r="A88" s="141"/>
      <c r="B88" s="142"/>
      <c r="C88" s="143"/>
      <c r="D88" s="148"/>
      <c r="E88" s="69"/>
      <c r="F88" s="137">
        <f t="shared" si="2"/>
        <v>0</v>
      </c>
      <c r="I88" s="141"/>
      <c r="J88" s="142"/>
      <c r="K88" s="143"/>
      <c r="L88" s="254"/>
      <c r="M88" s="69"/>
      <c r="N88" s="137">
        <f t="shared" si="3"/>
        <v>0</v>
      </c>
    </row>
    <row r="89" spans="1:14" ht="15.75" hidden="1" x14ac:dyDescent="0.25">
      <c r="A89" s="141"/>
      <c r="B89" s="142"/>
      <c r="C89" s="143"/>
      <c r="D89" s="148"/>
      <c r="E89" s="69"/>
      <c r="F89" s="137">
        <f t="shared" si="2"/>
        <v>0</v>
      </c>
      <c r="I89" s="141"/>
      <c r="J89" s="142"/>
      <c r="K89" s="143"/>
      <c r="L89" s="254"/>
      <c r="M89" s="69"/>
      <c r="N89" s="137">
        <f t="shared" si="3"/>
        <v>0</v>
      </c>
    </row>
    <row r="90" spans="1:14" ht="15.75" hidden="1" x14ac:dyDescent="0.25">
      <c r="A90" s="141"/>
      <c r="B90" s="142"/>
      <c r="C90" s="143"/>
      <c r="D90" s="148"/>
      <c r="E90" s="69"/>
      <c r="F90" s="137">
        <f t="shared" si="2"/>
        <v>0</v>
      </c>
      <c r="I90" s="141"/>
      <c r="J90" s="142"/>
      <c r="K90" s="143"/>
      <c r="L90" s="254"/>
      <c r="M90" s="69"/>
      <c r="N90" s="137">
        <f t="shared" si="3"/>
        <v>0</v>
      </c>
    </row>
    <row r="91" spans="1:14" ht="15.75" hidden="1" x14ac:dyDescent="0.25">
      <c r="A91" s="141"/>
      <c r="B91" s="142"/>
      <c r="C91" s="143"/>
      <c r="D91" s="148"/>
      <c r="E91" s="69"/>
      <c r="F91" s="137">
        <f t="shared" si="2"/>
        <v>0</v>
      </c>
      <c r="I91" s="141"/>
      <c r="J91" s="142"/>
      <c r="K91" s="143"/>
      <c r="L91" s="254"/>
      <c r="M91" s="69"/>
      <c r="N91" s="137">
        <f t="shared" si="3"/>
        <v>0</v>
      </c>
    </row>
    <row r="92" spans="1:14" ht="15.75" hidden="1" x14ac:dyDescent="0.25">
      <c r="A92" s="141"/>
      <c r="B92" s="142"/>
      <c r="C92" s="143"/>
      <c r="D92" s="148"/>
      <c r="E92" s="69"/>
      <c r="F92" s="137">
        <f t="shared" si="2"/>
        <v>0</v>
      </c>
      <c r="I92" s="141"/>
      <c r="J92" s="142"/>
      <c r="K92" s="143"/>
      <c r="L92" s="254"/>
      <c r="M92" s="69"/>
      <c r="N92" s="137">
        <f t="shared" si="3"/>
        <v>0</v>
      </c>
    </row>
    <row r="93" spans="1:14" ht="15.75" hidden="1" x14ac:dyDescent="0.25">
      <c r="A93" s="141"/>
      <c r="B93" s="142"/>
      <c r="C93" s="143"/>
      <c r="D93" s="148"/>
      <c r="E93" s="69"/>
      <c r="F93" s="137">
        <f t="shared" si="2"/>
        <v>0</v>
      </c>
      <c r="I93" s="141"/>
      <c r="J93" s="142"/>
      <c r="K93" s="143"/>
      <c r="L93" s="254"/>
      <c r="M93" s="69"/>
      <c r="N93" s="137">
        <f t="shared" si="3"/>
        <v>0</v>
      </c>
    </row>
    <row r="94" spans="1:14" ht="15.75" hidden="1" x14ac:dyDescent="0.25">
      <c r="A94" s="141"/>
      <c r="B94" s="142"/>
      <c r="C94" s="143"/>
      <c r="D94" s="148"/>
      <c r="E94" s="69"/>
      <c r="F94" s="137">
        <f t="shared" si="2"/>
        <v>0</v>
      </c>
      <c r="I94" s="141"/>
      <c r="J94" s="142"/>
      <c r="K94" s="143"/>
      <c r="L94" s="254"/>
      <c r="M94" s="69"/>
      <c r="N94" s="137">
        <f t="shared" si="3"/>
        <v>0</v>
      </c>
    </row>
    <row r="95" spans="1:14" ht="15.75" hidden="1" x14ac:dyDescent="0.25">
      <c r="A95" s="141"/>
      <c r="B95" s="142"/>
      <c r="C95" s="143"/>
      <c r="D95" s="148"/>
      <c r="E95" s="69"/>
      <c r="F95" s="137">
        <f t="shared" si="2"/>
        <v>0</v>
      </c>
      <c r="I95" s="141"/>
      <c r="J95" s="142"/>
      <c r="K95" s="143"/>
      <c r="L95" s="254"/>
      <c r="M95" s="69"/>
      <c r="N95" s="137">
        <f t="shared" si="3"/>
        <v>0</v>
      </c>
    </row>
    <row r="96" spans="1:14" ht="15.75" hidden="1" x14ac:dyDescent="0.25">
      <c r="A96" s="141"/>
      <c r="B96" s="142"/>
      <c r="C96" s="143"/>
      <c r="D96" s="148"/>
      <c r="E96" s="69"/>
      <c r="F96" s="137">
        <f t="shared" si="2"/>
        <v>0</v>
      </c>
      <c r="I96" s="141"/>
      <c r="J96" s="142"/>
      <c r="K96" s="143"/>
      <c r="L96" s="254"/>
      <c r="M96" s="69"/>
      <c r="N96" s="137">
        <f t="shared" si="3"/>
        <v>0</v>
      </c>
    </row>
    <row r="97" spans="1:14" ht="16.5" hidden="1" thickBot="1" x14ac:dyDescent="0.3">
      <c r="A97" s="149"/>
      <c r="B97" s="210"/>
      <c r="C97" s="34">
        <v>0</v>
      </c>
      <c r="D97" s="152"/>
      <c r="E97" s="151"/>
      <c r="F97" s="137">
        <f t="shared" si="2"/>
        <v>0</v>
      </c>
      <c r="I97" s="149"/>
      <c r="J97" s="150"/>
      <c r="K97" s="151">
        <v>0</v>
      </c>
      <c r="L97" s="255"/>
      <c r="M97" s="151"/>
      <c r="N97" s="137">
        <f t="shared" si="3"/>
        <v>0</v>
      </c>
    </row>
    <row r="98" spans="1:14" ht="18.75" x14ac:dyDescent="0.3">
      <c r="B98" s="211"/>
      <c r="C98" s="212">
        <f>SUM(C3:C97)</f>
        <v>554448.95999999973</v>
      </c>
      <c r="D98" s="97"/>
      <c r="E98" s="1">
        <f>SUM(E3:E97)</f>
        <v>554448.96</v>
      </c>
      <c r="F98" s="153">
        <f>F97</f>
        <v>0</v>
      </c>
      <c r="K98" s="209">
        <f>SUM(K3:K97)</f>
        <v>598496</v>
      </c>
      <c r="L98" s="256"/>
      <c r="M98" s="1">
        <f>SUM(M3:M97)</f>
        <v>598496</v>
      </c>
      <c r="N98" s="153">
        <f>N97</f>
        <v>0</v>
      </c>
    </row>
    <row r="99" spans="1:14" ht="15.75" thickBot="1" x14ac:dyDescent="0.3">
      <c r="B99" s="213"/>
      <c r="C99" s="214"/>
      <c r="D99" s="97"/>
      <c r="E99" s="3"/>
      <c r="F99" s="1"/>
      <c r="K99" s="1"/>
      <c r="L99" s="256"/>
      <c r="M99" s="3"/>
      <c r="N99" s="1"/>
    </row>
    <row r="100" spans="1:14" x14ac:dyDescent="0.25">
      <c r="B100" s="98"/>
      <c r="C100" s="1"/>
      <c r="D100" s="97"/>
      <c r="E100" s="3"/>
      <c r="F100" s="1"/>
      <c r="K100" s="1"/>
      <c r="L100" s="256"/>
      <c r="M100" s="3"/>
      <c r="N100" s="1"/>
    </row>
    <row r="101" spans="1:14" x14ac:dyDescent="0.25">
      <c r="A101"/>
      <c r="B101" s="23"/>
      <c r="D101" s="23"/>
      <c r="I101"/>
      <c r="J101" s="194"/>
    </row>
    <row r="102" spans="1:14" x14ac:dyDescent="0.25">
      <c r="A102"/>
      <c r="B102" s="23"/>
      <c r="D102" s="23"/>
      <c r="I102"/>
      <c r="J102" s="194"/>
    </row>
    <row r="103" spans="1:14" x14ac:dyDescent="0.25">
      <c r="A103"/>
      <c r="B103" s="23"/>
      <c r="D103" s="23"/>
      <c r="I103"/>
      <c r="J103" s="194"/>
    </row>
    <row r="104" spans="1:14" x14ac:dyDescent="0.25">
      <c r="A104"/>
      <c r="B104" s="23"/>
      <c r="D104" s="23"/>
      <c r="F104"/>
      <c r="I104"/>
      <c r="J104" s="194"/>
      <c r="N104"/>
    </row>
    <row r="105" spans="1:14" x14ac:dyDescent="0.25">
      <c r="A105"/>
      <c r="B105" s="23"/>
      <c r="D105" s="23"/>
      <c r="F105"/>
      <c r="I105"/>
      <c r="J105" s="194"/>
      <c r="N105"/>
    </row>
    <row r="106" spans="1:14" x14ac:dyDescent="0.25">
      <c r="A106"/>
      <c r="B106" s="23"/>
      <c r="D106" s="23"/>
      <c r="F106"/>
      <c r="I106"/>
      <c r="J106" s="194"/>
      <c r="N106"/>
    </row>
    <row r="107" spans="1:14" x14ac:dyDescent="0.25">
      <c r="A107"/>
      <c r="B107" s="23"/>
      <c r="D107" s="23"/>
      <c r="F107"/>
      <c r="I107"/>
      <c r="J107" s="194"/>
      <c r="N107"/>
    </row>
    <row r="108" spans="1:14" x14ac:dyDescent="0.25">
      <c r="A108"/>
      <c r="B108" s="23"/>
      <c r="D108" s="23"/>
      <c r="F108"/>
      <c r="I108"/>
      <c r="J108" s="194"/>
      <c r="N108"/>
    </row>
    <row r="109" spans="1:14" x14ac:dyDescent="0.25">
      <c r="A109"/>
      <c r="B109" s="23"/>
      <c r="D109" s="23"/>
      <c r="F109"/>
      <c r="I109"/>
      <c r="J109" s="194"/>
      <c r="N109"/>
    </row>
    <row r="110" spans="1:14" x14ac:dyDescent="0.25">
      <c r="A110"/>
      <c r="B110" s="23"/>
      <c r="D110" s="23"/>
      <c r="F110"/>
      <c r="I110"/>
      <c r="J110" s="194"/>
      <c r="N110"/>
    </row>
    <row r="111" spans="1:14" x14ac:dyDescent="0.25">
      <c r="A111"/>
      <c r="B111" s="23"/>
      <c r="D111" s="23"/>
      <c r="F111"/>
      <c r="I111"/>
      <c r="J111" s="194"/>
      <c r="N111"/>
    </row>
    <row r="112" spans="1:14" x14ac:dyDescent="0.25">
      <c r="A112"/>
      <c r="B112" s="23"/>
      <c r="D112" s="23"/>
      <c r="F112"/>
      <c r="I112"/>
      <c r="J112" s="194"/>
      <c r="N112"/>
    </row>
    <row r="113" spans="1:14" x14ac:dyDescent="0.25">
      <c r="A113"/>
      <c r="B113" s="23"/>
      <c r="D113" s="23"/>
      <c r="E113"/>
      <c r="F113"/>
      <c r="I113"/>
      <c r="J113" s="194"/>
      <c r="M113"/>
      <c r="N113"/>
    </row>
    <row r="114" spans="1:14" x14ac:dyDescent="0.25">
      <c r="A114"/>
      <c r="B114" s="23"/>
      <c r="D114" s="23"/>
      <c r="E114"/>
      <c r="F114"/>
      <c r="I114"/>
      <c r="J114" s="194"/>
      <c r="M114"/>
      <c r="N114"/>
    </row>
    <row r="115" spans="1:14" x14ac:dyDescent="0.25">
      <c r="A115"/>
      <c r="B115" s="23"/>
      <c r="D115" s="23"/>
      <c r="E115"/>
      <c r="F115"/>
      <c r="I115"/>
      <c r="J115" s="194"/>
      <c r="M115"/>
      <c r="N115"/>
    </row>
    <row r="116" spans="1:14" x14ac:dyDescent="0.25">
      <c r="A116"/>
      <c r="B116" s="23"/>
      <c r="D116" s="23"/>
      <c r="E116"/>
      <c r="F116"/>
      <c r="I116"/>
      <c r="J116" s="194"/>
      <c r="M116"/>
      <c r="N116"/>
    </row>
    <row r="117" spans="1:14" x14ac:dyDescent="0.25">
      <c r="A117"/>
      <c r="B117" s="23"/>
      <c r="D117" s="23"/>
      <c r="E117"/>
      <c r="F117"/>
      <c r="I117"/>
      <c r="J117" s="194"/>
      <c r="M117"/>
      <c r="N117"/>
    </row>
    <row r="118" spans="1:14" x14ac:dyDescent="0.25">
      <c r="A118"/>
      <c r="B118" s="23"/>
      <c r="D118" s="23"/>
      <c r="E118"/>
      <c r="F118"/>
      <c r="I118"/>
      <c r="J118" s="194"/>
      <c r="M118"/>
      <c r="N118"/>
    </row>
    <row r="119" spans="1:14" x14ac:dyDescent="0.25">
      <c r="B119" s="23"/>
      <c r="D119" s="23"/>
      <c r="E119"/>
      <c r="J119" s="194"/>
      <c r="M119"/>
    </row>
    <row r="120" spans="1:14" x14ac:dyDescent="0.25">
      <c r="B120" s="23"/>
      <c r="D120" s="23"/>
      <c r="E120"/>
      <c r="J120" s="194"/>
      <c r="M120"/>
    </row>
    <row r="121" spans="1:14" x14ac:dyDescent="0.25">
      <c r="B121" s="23"/>
      <c r="D121" s="23"/>
      <c r="E121"/>
      <c r="J121" s="194"/>
      <c r="M121"/>
    </row>
    <row r="122" spans="1:14" x14ac:dyDescent="0.25">
      <c r="B122" s="23"/>
      <c r="D122" s="23"/>
      <c r="E122"/>
      <c r="J122" s="194"/>
      <c r="M122"/>
    </row>
    <row r="123" spans="1:14" x14ac:dyDescent="0.25">
      <c r="B123" s="23"/>
      <c r="D123" s="23"/>
      <c r="E123"/>
      <c r="J123" s="194"/>
      <c r="M123"/>
    </row>
    <row r="124" spans="1:14" x14ac:dyDescent="0.25">
      <c r="B124" s="23"/>
      <c r="D124" s="23"/>
      <c r="E124"/>
      <c r="J124" s="194"/>
      <c r="M124"/>
    </row>
    <row r="125" spans="1:14" x14ac:dyDescent="0.25">
      <c r="B125" s="23"/>
      <c r="D125" s="23"/>
      <c r="E125"/>
      <c r="J125" s="194"/>
      <c r="M125"/>
    </row>
    <row r="126" spans="1:14" x14ac:dyDescent="0.25">
      <c r="B126" s="23"/>
      <c r="D126" s="23"/>
      <c r="E126"/>
      <c r="J126" s="194"/>
      <c r="M126"/>
    </row>
    <row r="127" spans="1:14" x14ac:dyDescent="0.25">
      <c r="B127" s="23"/>
      <c r="D127" s="23"/>
      <c r="E127"/>
      <c r="J127" s="194"/>
      <c r="M127"/>
    </row>
    <row r="128" spans="1:14" x14ac:dyDescent="0.25">
      <c r="B128" s="23"/>
      <c r="J128" s="194"/>
    </row>
    <row r="129" spans="2:11" x14ac:dyDescent="0.25">
      <c r="B129" s="23"/>
      <c r="J129" s="194"/>
    </row>
    <row r="130" spans="2:11" x14ac:dyDescent="0.25">
      <c r="B130" s="23"/>
      <c r="D130" s="23"/>
      <c r="J130" s="194"/>
    </row>
    <row r="131" spans="2:11" x14ac:dyDescent="0.25">
      <c r="B131" s="23"/>
      <c r="J131" s="194"/>
    </row>
    <row r="132" spans="2:11" x14ac:dyDescent="0.25">
      <c r="B132" s="23"/>
      <c r="J132" s="194"/>
    </row>
    <row r="133" spans="2:11" x14ac:dyDescent="0.25">
      <c r="B133" s="23"/>
      <c r="J133" s="194"/>
    </row>
    <row r="134" spans="2:11" ht="18.75" x14ac:dyDescent="0.3">
      <c r="C134" s="154"/>
      <c r="K134" s="154"/>
    </row>
  </sheetData>
  <mergeCells count="1">
    <mergeCell ref="B41:B42"/>
  </mergeCells>
  <pageMargins left="0.70866141732283472" right="0.11811023622047245" top="0.31496062992125984" bottom="0.23622047244094491" header="0.31496062992125984" footer="0.31496062992125984"/>
  <pageSetup scale="90"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FF99"/>
  </sheetPr>
  <dimension ref="A1:S97"/>
  <sheetViews>
    <sheetView topLeftCell="A25" workbookViewId="0">
      <selection activeCell="F67" sqref="F67"/>
    </sheetView>
  </sheetViews>
  <sheetFormatPr baseColWidth="10" defaultRowHeight="15.75" x14ac:dyDescent="0.25"/>
  <cols>
    <col min="1" max="1" width="2.85546875" customWidth="1"/>
    <col min="2" max="2" width="12.42578125" style="551" customWidth="1"/>
    <col min="3" max="3" width="15.5703125" style="4" bestFit="1" customWidth="1"/>
    <col min="4" max="4" width="15.28515625" customWidth="1"/>
    <col min="5" max="5" width="11.42578125" style="552"/>
    <col min="6" max="6" width="15.28515625" style="4" customWidth="1"/>
    <col min="7" max="7" width="1.85546875" style="552" customWidth="1"/>
    <col min="8" max="8" width="11.85546875" style="552" customWidth="1"/>
    <col min="9" max="9" width="15.7109375" style="4" customWidth="1"/>
    <col min="10" max="10" width="11.7109375" style="12" customWidth="1"/>
    <col min="11" max="11" width="14.42578125" style="561" customWidth="1"/>
    <col min="12" max="12" width="14.5703125" style="3" customWidth="1"/>
    <col min="13" max="13" width="17.85546875" style="4" customWidth="1"/>
    <col min="14" max="14" width="17.5703125" style="1" bestFit="1" customWidth="1"/>
    <col min="15" max="15" width="8.85546875" style="577" bestFit="1" customWidth="1"/>
    <col min="16" max="16" width="16.85546875" customWidth="1"/>
    <col min="17" max="17" width="21.28515625" style="225" customWidth="1"/>
    <col min="18" max="18" width="15.28515625" style="227" customWidth="1"/>
  </cols>
  <sheetData>
    <row r="1" spans="1:18" ht="23.25" x14ac:dyDescent="0.35">
      <c r="B1" s="826"/>
      <c r="C1" s="892" t="s">
        <v>1025</v>
      </c>
      <c r="D1" s="893"/>
      <c r="E1" s="893"/>
      <c r="F1" s="893"/>
      <c r="G1" s="893"/>
      <c r="H1" s="893"/>
      <c r="I1" s="893"/>
      <c r="J1" s="893"/>
      <c r="K1" s="893"/>
      <c r="L1" s="893"/>
      <c r="M1" s="893"/>
    </row>
    <row r="2" spans="1:18" ht="16.5" thickBot="1" x14ac:dyDescent="0.3">
      <c r="B2" s="827"/>
      <c r="C2" s="3"/>
      <c r="H2" s="5"/>
      <c r="I2" s="6"/>
      <c r="J2" s="7"/>
      <c r="L2" s="8"/>
      <c r="M2" s="6"/>
      <c r="N2" s="9"/>
    </row>
    <row r="3" spans="1:18" ht="21.75" thickBot="1" x14ac:dyDescent="0.35">
      <c r="B3" s="830" t="s">
        <v>0</v>
      </c>
      <c r="C3" s="831"/>
      <c r="D3" s="10"/>
      <c r="E3" s="553"/>
      <c r="F3" s="11"/>
      <c r="H3" s="832" t="s">
        <v>26</v>
      </c>
      <c r="I3" s="832"/>
      <c r="K3" s="165"/>
      <c r="L3" s="13"/>
      <c r="M3" s="14"/>
      <c r="P3" s="869" t="s">
        <v>6</v>
      </c>
      <c r="R3" s="890" t="s">
        <v>216</v>
      </c>
    </row>
    <row r="4" spans="1:18" ht="32.25" thickTop="1" thickBot="1" x14ac:dyDescent="0.35">
      <c r="A4" s="15" t="s">
        <v>1</v>
      </c>
      <c r="B4" s="16"/>
      <c r="C4" s="17">
        <v>2355426.54</v>
      </c>
      <c r="D4" s="18">
        <v>44745</v>
      </c>
      <c r="E4" s="833" t="s">
        <v>2</v>
      </c>
      <c r="F4" s="834"/>
      <c r="H4" s="835" t="s">
        <v>3</v>
      </c>
      <c r="I4" s="836"/>
      <c r="J4" s="556"/>
      <c r="K4" s="562"/>
      <c r="L4" s="563"/>
      <c r="M4" s="21" t="s">
        <v>4</v>
      </c>
      <c r="N4" s="22" t="s">
        <v>5</v>
      </c>
      <c r="P4" s="870"/>
      <c r="Q4" s="322" t="s">
        <v>217</v>
      </c>
      <c r="R4" s="891"/>
    </row>
    <row r="5" spans="1:18" ht="18" thickBot="1" x14ac:dyDescent="0.35">
      <c r="A5" s="23" t="s">
        <v>7</v>
      </c>
      <c r="B5" s="24">
        <v>44746</v>
      </c>
      <c r="C5" s="25">
        <v>13812</v>
      </c>
      <c r="D5" s="26" t="s">
        <v>1026</v>
      </c>
      <c r="E5" s="27">
        <v>44746</v>
      </c>
      <c r="F5" s="28">
        <v>120812</v>
      </c>
      <c r="G5" s="572"/>
      <c r="H5" s="29">
        <v>44746</v>
      </c>
      <c r="I5" s="30">
        <v>4929.5</v>
      </c>
      <c r="J5" s="37"/>
      <c r="K5" s="31"/>
      <c r="L5" s="9"/>
      <c r="M5" s="533">
        <v>62065.5</v>
      </c>
      <c r="N5" s="33">
        <v>40005</v>
      </c>
      <c r="O5" s="682" t="s">
        <v>1035</v>
      </c>
      <c r="P5" s="34">
        <f>N5+M5+L5+I5+C5</f>
        <v>120812</v>
      </c>
      <c r="Q5" s="325">
        <f>P5-F5</f>
        <v>0</v>
      </c>
      <c r="R5" s="379">
        <v>0</v>
      </c>
    </row>
    <row r="6" spans="1:18" ht="18" thickBot="1" x14ac:dyDescent="0.35">
      <c r="A6" s="23"/>
      <c r="B6" s="24">
        <v>44747</v>
      </c>
      <c r="C6" s="25">
        <v>45897</v>
      </c>
      <c r="D6" s="35" t="s">
        <v>1027</v>
      </c>
      <c r="E6" s="27">
        <v>44747</v>
      </c>
      <c r="F6" s="28">
        <v>96271</v>
      </c>
      <c r="G6" s="572"/>
      <c r="H6" s="29">
        <v>44747</v>
      </c>
      <c r="I6" s="30">
        <v>1094</v>
      </c>
      <c r="J6" s="37"/>
      <c r="K6" s="38"/>
      <c r="L6" s="39"/>
      <c r="M6" s="32">
        <v>25042</v>
      </c>
      <c r="N6" s="33">
        <v>24238</v>
      </c>
      <c r="O6" s="660" t="s">
        <v>764</v>
      </c>
      <c r="P6" s="39">
        <f>N6+M6+L6+I6+C6</f>
        <v>96271</v>
      </c>
      <c r="Q6" s="325">
        <f t="shared" ref="Q6:Q40" si="0">P6-F6</f>
        <v>0</v>
      </c>
      <c r="R6" s="319">
        <v>0</v>
      </c>
    </row>
    <row r="7" spans="1:18" ht="18" thickBot="1" x14ac:dyDescent="0.35">
      <c r="A7" s="23"/>
      <c r="B7" s="24">
        <v>44748</v>
      </c>
      <c r="C7" s="25">
        <v>19195</v>
      </c>
      <c r="D7" s="40" t="s">
        <v>1028</v>
      </c>
      <c r="E7" s="27">
        <v>44748</v>
      </c>
      <c r="F7" s="28">
        <v>85317</v>
      </c>
      <c r="G7" s="572"/>
      <c r="H7" s="29">
        <v>44748</v>
      </c>
      <c r="I7" s="30">
        <v>4864</v>
      </c>
      <c r="J7" s="37"/>
      <c r="K7" s="38"/>
      <c r="L7" s="39"/>
      <c r="M7" s="32">
        <v>34750</v>
      </c>
      <c r="N7" s="33">
        <v>28374</v>
      </c>
      <c r="O7" s="660" t="s">
        <v>764</v>
      </c>
      <c r="P7" s="39">
        <f>N7+M7+L7+I7+C7</f>
        <v>87183</v>
      </c>
      <c r="Q7" s="325">
        <v>0</v>
      </c>
      <c r="R7" s="319">
        <v>0</v>
      </c>
    </row>
    <row r="8" spans="1:18" ht="18" thickBot="1" x14ac:dyDescent="0.35">
      <c r="A8" s="23"/>
      <c r="B8" s="24">
        <v>44749</v>
      </c>
      <c r="C8" s="25">
        <v>16605</v>
      </c>
      <c r="D8" s="42" t="s">
        <v>1029</v>
      </c>
      <c r="E8" s="27">
        <v>44749</v>
      </c>
      <c r="F8" s="28">
        <v>117714</v>
      </c>
      <c r="G8" s="572"/>
      <c r="H8" s="29">
        <v>44749</v>
      </c>
      <c r="I8" s="30">
        <v>2712</v>
      </c>
      <c r="J8" s="43"/>
      <c r="K8" s="38"/>
      <c r="L8" s="39"/>
      <c r="M8" s="32">
        <v>47083</v>
      </c>
      <c r="N8" s="33">
        <v>51314</v>
      </c>
      <c r="O8" s="660" t="s">
        <v>764</v>
      </c>
      <c r="P8" s="39">
        <f t="shared" ref="P8:P33" si="1">N8+M8+L8+I8+C8</f>
        <v>117714</v>
      </c>
      <c r="Q8" s="325">
        <v>0</v>
      </c>
      <c r="R8" s="319">
        <v>0</v>
      </c>
    </row>
    <row r="9" spans="1:18" ht="18" thickBot="1" x14ac:dyDescent="0.35">
      <c r="A9" s="23"/>
      <c r="B9" s="24">
        <v>44750</v>
      </c>
      <c r="C9" s="25">
        <v>45512</v>
      </c>
      <c r="D9" s="42" t="s">
        <v>1030</v>
      </c>
      <c r="E9" s="27">
        <v>44750</v>
      </c>
      <c r="F9" s="28">
        <v>100306</v>
      </c>
      <c r="G9" s="572"/>
      <c r="H9" s="29">
        <v>44750</v>
      </c>
      <c r="I9" s="30">
        <v>4017</v>
      </c>
      <c r="J9" s="37"/>
      <c r="K9" s="223"/>
      <c r="L9" s="39"/>
      <c r="M9" s="32">
        <v>87636</v>
      </c>
      <c r="N9" s="33">
        <v>26852</v>
      </c>
      <c r="O9" s="660" t="s">
        <v>764</v>
      </c>
      <c r="P9" s="39">
        <f t="shared" si="1"/>
        <v>164017</v>
      </c>
      <c r="Q9" s="325">
        <v>0</v>
      </c>
      <c r="R9" s="388">
        <v>63711</v>
      </c>
    </row>
    <row r="10" spans="1:18" ht="18" thickBot="1" x14ac:dyDescent="0.35">
      <c r="A10" s="23"/>
      <c r="B10" s="24">
        <v>44751</v>
      </c>
      <c r="C10" s="25">
        <v>6587</v>
      </c>
      <c r="D10" s="40" t="s">
        <v>1031</v>
      </c>
      <c r="E10" s="27">
        <v>44751</v>
      </c>
      <c r="F10" s="28">
        <v>132964</v>
      </c>
      <c r="G10" s="572"/>
      <c r="H10" s="29">
        <v>44751</v>
      </c>
      <c r="I10" s="30">
        <v>12175</v>
      </c>
      <c r="J10" s="37">
        <v>44751</v>
      </c>
      <c r="K10" s="167" t="s">
        <v>1032</v>
      </c>
      <c r="L10" s="45">
        <v>18134</v>
      </c>
      <c r="M10" s="32">
        <f>43500+200</f>
        <v>43700</v>
      </c>
      <c r="N10" s="33">
        <v>52577</v>
      </c>
      <c r="O10" s="660" t="s">
        <v>764</v>
      </c>
      <c r="P10" s="39">
        <f>N10+M10+L10+I10+C10</f>
        <v>133173</v>
      </c>
      <c r="Q10" s="325">
        <f t="shared" si="0"/>
        <v>209</v>
      </c>
      <c r="R10" s="319">
        <v>0</v>
      </c>
    </row>
    <row r="11" spans="1:18" ht="18" thickBot="1" x14ac:dyDescent="0.35">
      <c r="A11" s="23"/>
      <c r="B11" s="24">
        <v>44752</v>
      </c>
      <c r="C11" s="25">
        <v>16855</v>
      </c>
      <c r="D11" s="35" t="s">
        <v>1034</v>
      </c>
      <c r="E11" s="27">
        <v>44752</v>
      </c>
      <c r="F11" s="28">
        <v>83625</v>
      </c>
      <c r="G11" s="572"/>
      <c r="H11" s="29">
        <v>44752</v>
      </c>
      <c r="I11" s="30">
        <v>1073.5</v>
      </c>
      <c r="J11" s="43"/>
      <c r="K11" s="168"/>
      <c r="L11" s="39"/>
      <c r="M11" s="32">
        <v>38583.5</v>
      </c>
      <c r="N11" s="33">
        <v>27113</v>
      </c>
      <c r="O11" s="660" t="s">
        <v>764</v>
      </c>
      <c r="P11" s="39">
        <f t="shared" si="1"/>
        <v>83625</v>
      </c>
      <c r="Q11" s="325">
        <f t="shared" si="0"/>
        <v>0</v>
      </c>
      <c r="R11" s="319">
        <v>0</v>
      </c>
    </row>
    <row r="12" spans="1:18" ht="18" thickBot="1" x14ac:dyDescent="0.35">
      <c r="A12" s="23"/>
      <c r="B12" s="24">
        <v>44753</v>
      </c>
      <c r="C12" s="25">
        <v>18901</v>
      </c>
      <c r="D12" s="35" t="s">
        <v>1036</v>
      </c>
      <c r="E12" s="27">
        <v>44753</v>
      </c>
      <c r="F12" s="28">
        <v>98705</v>
      </c>
      <c r="G12" s="572"/>
      <c r="H12" s="29">
        <v>44753</v>
      </c>
      <c r="I12" s="30">
        <v>1170</v>
      </c>
      <c r="J12" s="37"/>
      <c r="K12" s="169"/>
      <c r="L12" s="39"/>
      <c r="M12" s="32">
        <f>42175</f>
        <v>42175</v>
      </c>
      <c r="N12" s="33">
        <v>36459</v>
      </c>
      <c r="O12" s="660" t="s">
        <v>764</v>
      </c>
      <c r="P12" s="39">
        <f t="shared" si="1"/>
        <v>98705</v>
      </c>
      <c r="Q12" s="325">
        <f t="shared" si="0"/>
        <v>0</v>
      </c>
      <c r="R12" s="319">
        <v>0</v>
      </c>
    </row>
    <row r="13" spans="1:18" ht="18" thickBot="1" x14ac:dyDescent="0.35">
      <c r="A13" s="23"/>
      <c r="B13" s="24">
        <v>44754</v>
      </c>
      <c r="C13" s="25">
        <v>14752</v>
      </c>
      <c r="D13" s="42" t="s">
        <v>1037</v>
      </c>
      <c r="E13" s="27">
        <v>44754</v>
      </c>
      <c r="F13" s="28">
        <v>94269</v>
      </c>
      <c r="G13" s="572"/>
      <c r="H13" s="29">
        <v>44754</v>
      </c>
      <c r="I13" s="30">
        <v>3628</v>
      </c>
      <c r="J13" s="37"/>
      <c r="K13" s="38"/>
      <c r="L13" s="39"/>
      <c r="M13" s="32">
        <f>34935+1550</f>
        <v>36485</v>
      </c>
      <c r="N13" s="33">
        <v>39404</v>
      </c>
      <c r="O13" s="660" t="s">
        <v>764</v>
      </c>
      <c r="P13" s="39">
        <f t="shared" si="1"/>
        <v>94269</v>
      </c>
      <c r="Q13" s="325">
        <f t="shared" si="0"/>
        <v>0</v>
      </c>
      <c r="R13" s="319">
        <v>0</v>
      </c>
    </row>
    <row r="14" spans="1:18" ht="18" thickBot="1" x14ac:dyDescent="0.35">
      <c r="A14" s="23"/>
      <c r="B14" s="24">
        <v>44755</v>
      </c>
      <c r="C14" s="25">
        <v>9603</v>
      </c>
      <c r="D14" s="40" t="s">
        <v>1038</v>
      </c>
      <c r="E14" s="27">
        <v>44755</v>
      </c>
      <c r="F14" s="28">
        <v>95496</v>
      </c>
      <c r="G14" s="572"/>
      <c r="H14" s="29">
        <v>44755</v>
      </c>
      <c r="I14" s="30">
        <v>1390</v>
      </c>
      <c r="J14" s="37"/>
      <c r="K14" s="38"/>
      <c r="L14" s="39"/>
      <c r="M14" s="32">
        <v>40724</v>
      </c>
      <c r="N14" s="33">
        <v>43779</v>
      </c>
      <c r="O14" s="681" t="s">
        <v>764</v>
      </c>
      <c r="P14" s="39">
        <f t="shared" si="1"/>
        <v>95496</v>
      </c>
      <c r="Q14" s="325">
        <f t="shared" si="0"/>
        <v>0</v>
      </c>
      <c r="R14" s="319">
        <v>0</v>
      </c>
    </row>
    <row r="15" spans="1:18" ht="18" thickBot="1" x14ac:dyDescent="0.35">
      <c r="A15" s="23"/>
      <c r="B15" s="24">
        <v>44756</v>
      </c>
      <c r="C15" s="25">
        <v>17228</v>
      </c>
      <c r="D15" s="40" t="s">
        <v>1039</v>
      </c>
      <c r="E15" s="27">
        <v>44756</v>
      </c>
      <c r="F15" s="28">
        <v>91015</v>
      </c>
      <c r="G15" s="572"/>
      <c r="H15" s="29">
        <v>44756</v>
      </c>
      <c r="I15" s="30">
        <v>2244</v>
      </c>
      <c r="J15" s="37"/>
      <c r="K15" s="38"/>
      <c r="L15" s="39"/>
      <c r="M15" s="32">
        <v>49006</v>
      </c>
      <c r="N15" s="33">
        <v>22537</v>
      </c>
      <c r="O15" s="660" t="s">
        <v>764</v>
      </c>
      <c r="P15" s="39">
        <f t="shared" si="1"/>
        <v>91015</v>
      </c>
      <c r="Q15" s="325">
        <f t="shared" si="0"/>
        <v>0</v>
      </c>
      <c r="R15" s="319">
        <v>0</v>
      </c>
    </row>
    <row r="16" spans="1:18" ht="18" thickBot="1" x14ac:dyDescent="0.35">
      <c r="A16" s="23"/>
      <c r="B16" s="24">
        <v>44757</v>
      </c>
      <c r="C16" s="25">
        <v>11698.5</v>
      </c>
      <c r="D16" s="35" t="s">
        <v>1040</v>
      </c>
      <c r="E16" s="27">
        <v>44757</v>
      </c>
      <c r="F16" s="28">
        <v>128377</v>
      </c>
      <c r="G16" s="572"/>
      <c r="H16" s="29">
        <v>44757</v>
      </c>
      <c r="I16" s="30">
        <v>1863</v>
      </c>
      <c r="J16" s="37"/>
      <c r="K16" s="169"/>
      <c r="L16" s="9"/>
      <c r="M16" s="32">
        <f>61056+936.5</f>
        <v>61992.5</v>
      </c>
      <c r="N16" s="33">
        <v>52823</v>
      </c>
      <c r="O16" s="660" t="s">
        <v>764</v>
      </c>
      <c r="P16" s="39">
        <f t="shared" si="1"/>
        <v>128377</v>
      </c>
      <c r="Q16" s="325">
        <f t="shared" si="0"/>
        <v>0</v>
      </c>
      <c r="R16" s="319">
        <v>0</v>
      </c>
    </row>
    <row r="17" spans="1:19" ht="18" thickBot="1" x14ac:dyDescent="0.35">
      <c r="A17" s="23"/>
      <c r="B17" s="24">
        <v>44758</v>
      </c>
      <c r="C17" s="25">
        <v>18820</v>
      </c>
      <c r="D17" s="42" t="s">
        <v>1041</v>
      </c>
      <c r="E17" s="27">
        <v>44758</v>
      </c>
      <c r="F17" s="28">
        <v>130337</v>
      </c>
      <c r="G17" s="572"/>
      <c r="H17" s="29">
        <v>44758</v>
      </c>
      <c r="I17" s="30">
        <v>4008</v>
      </c>
      <c r="J17" s="37">
        <v>44758</v>
      </c>
      <c r="K17" s="38" t="s">
        <v>1042</v>
      </c>
      <c r="L17" s="45">
        <v>19573</v>
      </c>
      <c r="M17" s="32">
        <f>32228.5+1009.5</f>
        <v>33238</v>
      </c>
      <c r="N17" s="33">
        <v>54698</v>
      </c>
      <c r="O17" s="577" t="s">
        <v>1045</v>
      </c>
      <c r="P17" s="39">
        <f t="shared" si="1"/>
        <v>130337</v>
      </c>
      <c r="Q17" s="325">
        <f t="shared" si="0"/>
        <v>0</v>
      </c>
      <c r="R17" s="319">
        <v>0</v>
      </c>
    </row>
    <row r="18" spans="1:19" ht="18" thickBot="1" x14ac:dyDescent="0.35">
      <c r="A18" s="23"/>
      <c r="B18" s="24">
        <v>44759</v>
      </c>
      <c r="C18" s="25">
        <v>13508</v>
      </c>
      <c r="D18" s="35" t="s">
        <v>1044</v>
      </c>
      <c r="E18" s="27">
        <v>44759</v>
      </c>
      <c r="F18" s="28">
        <v>128173</v>
      </c>
      <c r="G18" s="572"/>
      <c r="H18" s="29">
        <v>44759</v>
      </c>
      <c r="I18" s="30">
        <v>1634</v>
      </c>
      <c r="J18" s="37"/>
      <c r="K18" s="564"/>
      <c r="L18" s="39"/>
      <c r="M18" s="32">
        <v>83166</v>
      </c>
      <c r="N18" s="33">
        <v>29065</v>
      </c>
      <c r="O18" s="577" t="s">
        <v>1045</v>
      </c>
      <c r="P18" s="39">
        <f t="shared" si="1"/>
        <v>127373</v>
      </c>
      <c r="Q18" s="386">
        <f t="shared" si="0"/>
        <v>-800</v>
      </c>
      <c r="R18" s="319">
        <v>0</v>
      </c>
    </row>
    <row r="19" spans="1:19" ht="18" customHeight="1" thickBot="1" x14ac:dyDescent="0.35">
      <c r="A19" s="23"/>
      <c r="B19" s="24">
        <v>44760</v>
      </c>
      <c r="C19" s="25">
        <v>15257</v>
      </c>
      <c r="D19" s="35" t="s">
        <v>1046</v>
      </c>
      <c r="E19" s="27">
        <v>44760</v>
      </c>
      <c r="F19" s="28">
        <v>153702</v>
      </c>
      <c r="G19" s="572"/>
      <c r="H19" s="29">
        <v>44760</v>
      </c>
      <c r="I19" s="30">
        <v>1745</v>
      </c>
      <c r="J19" s="37"/>
      <c r="K19" s="46"/>
      <c r="L19" s="47"/>
      <c r="M19" s="32">
        <v>92159</v>
      </c>
      <c r="N19" s="33">
        <v>45141</v>
      </c>
      <c r="O19" s="577" t="s">
        <v>1045</v>
      </c>
      <c r="P19" s="39">
        <f t="shared" si="1"/>
        <v>154302</v>
      </c>
      <c r="Q19" s="325">
        <f t="shared" si="0"/>
        <v>600</v>
      </c>
      <c r="R19" s="319">
        <v>0</v>
      </c>
    </row>
    <row r="20" spans="1:19" ht="18" customHeight="1" thickBot="1" x14ac:dyDescent="0.35">
      <c r="A20" s="23"/>
      <c r="B20" s="24">
        <v>44761</v>
      </c>
      <c r="C20" s="25">
        <v>5532</v>
      </c>
      <c r="D20" s="35" t="s">
        <v>1047</v>
      </c>
      <c r="E20" s="27">
        <v>44761</v>
      </c>
      <c r="F20" s="28">
        <v>100478</v>
      </c>
      <c r="G20" s="572"/>
      <c r="H20" s="29">
        <v>44761</v>
      </c>
      <c r="I20" s="30">
        <v>3379</v>
      </c>
      <c r="J20" s="37"/>
      <c r="K20" s="171"/>
      <c r="L20" s="45"/>
      <c r="M20" s="32">
        <v>100000</v>
      </c>
      <c r="N20" s="33">
        <v>30790</v>
      </c>
      <c r="O20" s="657" t="s">
        <v>1049</v>
      </c>
      <c r="P20" s="39">
        <f t="shared" si="1"/>
        <v>139701</v>
      </c>
      <c r="Q20" s="685">
        <f t="shared" si="0"/>
        <v>39223</v>
      </c>
      <c r="R20" s="319">
        <v>0</v>
      </c>
    </row>
    <row r="21" spans="1:19" ht="18" thickBot="1" x14ac:dyDescent="0.35">
      <c r="A21" s="23"/>
      <c r="B21" s="24">
        <v>44762</v>
      </c>
      <c r="C21" s="25">
        <v>21598</v>
      </c>
      <c r="D21" s="35" t="s">
        <v>1048</v>
      </c>
      <c r="E21" s="27">
        <v>44762</v>
      </c>
      <c r="F21" s="28">
        <v>116923</v>
      </c>
      <c r="G21" s="572"/>
      <c r="H21" s="29">
        <v>44762</v>
      </c>
      <c r="I21" s="30">
        <v>1707</v>
      </c>
      <c r="J21" s="37"/>
      <c r="K21" s="565"/>
      <c r="L21" s="45"/>
      <c r="M21" s="32">
        <f>14700+14714</f>
        <v>29414</v>
      </c>
      <c r="N21" s="33">
        <v>31157</v>
      </c>
      <c r="O21" s="689" t="s">
        <v>1067</v>
      </c>
      <c r="P21" s="39">
        <f t="shared" si="1"/>
        <v>83876</v>
      </c>
      <c r="Q21" s="386">
        <f t="shared" si="0"/>
        <v>-33047</v>
      </c>
      <c r="R21" s="319">
        <v>0</v>
      </c>
    </row>
    <row r="22" spans="1:19" ht="18" thickBot="1" x14ac:dyDescent="0.35">
      <c r="A22" s="23"/>
      <c r="B22" s="24">
        <v>44763</v>
      </c>
      <c r="C22" s="25">
        <v>7375</v>
      </c>
      <c r="D22" s="35" t="s">
        <v>1050</v>
      </c>
      <c r="E22" s="27">
        <v>44763</v>
      </c>
      <c r="F22" s="28">
        <v>131922</v>
      </c>
      <c r="G22" s="572"/>
      <c r="H22" s="29">
        <v>44763</v>
      </c>
      <c r="I22" s="30">
        <v>3065</v>
      </c>
      <c r="J22" s="37"/>
      <c r="K22" s="31"/>
      <c r="L22" s="49"/>
      <c r="M22" s="32">
        <v>80325</v>
      </c>
      <c r="N22" s="33">
        <v>34984</v>
      </c>
      <c r="O22" s="660" t="s">
        <v>764</v>
      </c>
      <c r="P22" s="39">
        <f t="shared" si="1"/>
        <v>125749</v>
      </c>
      <c r="Q22" s="386">
        <f t="shared" si="0"/>
        <v>-6173</v>
      </c>
      <c r="R22" s="319">
        <v>0</v>
      </c>
    </row>
    <row r="23" spans="1:19" ht="18" customHeight="1" thickBot="1" x14ac:dyDescent="0.35">
      <c r="A23" s="23"/>
      <c r="B23" s="24">
        <v>44764</v>
      </c>
      <c r="C23" s="25">
        <v>11382</v>
      </c>
      <c r="D23" s="35" t="s">
        <v>1051</v>
      </c>
      <c r="E23" s="27">
        <v>44764</v>
      </c>
      <c r="F23" s="28">
        <v>80421</v>
      </c>
      <c r="G23" s="572"/>
      <c r="H23" s="29">
        <v>44764</v>
      </c>
      <c r="I23" s="30">
        <v>3798</v>
      </c>
      <c r="J23" s="50" t="s">
        <v>7</v>
      </c>
      <c r="K23" s="172"/>
      <c r="L23" s="45"/>
      <c r="M23" s="32">
        <v>40907</v>
      </c>
      <c r="N23" s="33">
        <v>24334</v>
      </c>
      <c r="O23" s="660" t="s">
        <v>764</v>
      </c>
      <c r="P23" s="39">
        <f t="shared" si="1"/>
        <v>80421</v>
      </c>
      <c r="Q23" s="325">
        <f t="shared" si="0"/>
        <v>0</v>
      </c>
      <c r="R23" s="319">
        <v>0</v>
      </c>
    </row>
    <row r="24" spans="1:19" ht="18" customHeight="1" thickBot="1" x14ac:dyDescent="0.35">
      <c r="A24" s="23"/>
      <c r="B24" s="24">
        <v>44765</v>
      </c>
      <c r="C24" s="25">
        <v>11080.5</v>
      </c>
      <c r="D24" s="42" t="s">
        <v>1052</v>
      </c>
      <c r="E24" s="27">
        <v>44765</v>
      </c>
      <c r="F24" s="28">
        <v>158449</v>
      </c>
      <c r="G24" s="572"/>
      <c r="H24" s="29">
        <v>44765</v>
      </c>
      <c r="I24" s="30">
        <v>6764</v>
      </c>
      <c r="J24" s="51">
        <v>44765</v>
      </c>
      <c r="K24" s="173" t="s">
        <v>1053</v>
      </c>
      <c r="L24" s="52">
        <v>20533</v>
      </c>
      <c r="M24" s="32">
        <v>72303.5</v>
      </c>
      <c r="N24" s="33">
        <v>47768</v>
      </c>
      <c r="O24" s="660" t="s">
        <v>764</v>
      </c>
      <c r="P24" s="39">
        <f>N24+M24+L24+I24+C24</f>
        <v>158449</v>
      </c>
      <c r="Q24" s="325">
        <f t="shared" si="0"/>
        <v>0</v>
      </c>
      <c r="R24" s="319">
        <v>0</v>
      </c>
    </row>
    <row r="25" spans="1:19" ht="18" thickBot="1" x14ac:dyDescent="0.35">
      <c r="A25" s="23"/>
      <c r="B25" s="24">
        <v>44766</v>
      </c>
      <c r="C25" s="25">
        <v>15427</v>
      </c>
      <c r="D25" s="35" t="s">
        <v>1055</v>
      </c>
      <c r="E25" s="27">
        <v>44766</v>
      </c>
      <c r="F25" s="28">
        <v>82806</v>
      </c>
      <c r="G25" s="572"/>
      <c r="H25" s="29">
        <v>44766</v>
      </c>
      <c r="I25" s="30">
        <v>2454</v>
      </c>
      <c r="J25" s="50"/>
      <c r="K25" s="38"/>
      <c r="L25" s="54"/>
      <c r="M25" s="32">
        <v>36105</v>
      </c>
      <c r="N25" s="33">
        <v>28820</v>
      </c>
      <c r="O25" s="660" t="s">
        <v>764</v>
      </c>
      <c r="P25" s="283">
        <f t="shared" si="1"/>
        <v>82806</v>
      </c>
      <c r="Q25" s="325">
        <f t="shared" si="0"/>
        <v>0</v>
      </c>
      <c r="R25" s="319" t="s">
        <v>7</v>
      </c>
    </row>
    <row r="26" spans="1:19" ht="18" thickBot="1" x14ac:dyDescent="0.35">
      <c r="A26" s="23"/>
      <c r="B26" s="24">
        <v>44767</v>
      </c>
      <c r="C26" s="25">
        <v>49226</v>
      </c>
      <c r="D26" s="35" t="s">
        <v>1056</v>
      </c>
      <c r="E26" s="27">
        <v>44767</v>
      </c>
      <c r="F26" s="28">
        <v>902338</v>
      </c>
      <c r="G26" s="572"/>
      <c r="H26" s="29">
        <v>44767</v>
      </c>
      <c r="I26" s="30">
        <v>1301</v>
      </c>
      <c r="J26" s="37">
        <v>44767</v>
      </c>
      <c r="K26" s="686" t="s">
        <v>1057</v>
      </c>
      <c r="L26" s="687">
        <v>869292.83</v>
      </c>
      <c r="M26" s="32">
        <f>789401+3510</f>
        <v>792911</v>
      </c>
      <c r="N26" s="33">
        <v>58900</v>
      </c>
      <c r="O26" s="660" t="s">
        <v>764</v>
      </c>
      <c r="P26" s="283">
        <f t="shared" si="1"/>
        <v>1771630.83</v>
      </c>
      <c r="Q26" s="325">
        <v>0</v>
      </c>
      <c r="R26" s="389">
        <v>869292.83</v>
      </c>
    </row>
    <row r="27" spans="1:19" ht="18" customHeight="1" thickBot="1" x14ac:dyDescent="0.35">
      <c r="A27" s="23"/>
      <c r="B27" s="24">
        <v>44768</v>
      </c>
      <c r="C27" s="25">
        <v>3967</v>
      </c>
      <c r="D27" s="42" t="s">
        <v>1058</v>
      </c>
      <c r="E27" s="27">
        <v>44768</v>
      </c>
      <c r="F27" s="28">
        <v>116279</v>
      </c>
      <c r="G27" s="572"/>
      <c r="H27" s="29">
        <v>44768</v>
      </c>
      <c r="I27" s="30">
        <v>1764</v>
      </c>
      <c r="J27" s="55">
        <v>44768</v>
      </c>
      <c r="K27" s="733" t="s">
        <v>1146</v>
      </c>
      <c r="L27" s="54">
        <v>50000</v>
      </c>
      <c r="M27" s="32">
        <v>17556</v>
      </c>
      <c r="N27" s="33">
        <v>42992</v>
      </c>
      <c r="O27" s="660" t="s">
        <v>764</v>
      </c>
      <c r="P27" s="283">
        <f t="shared" si="1"/>
        <v>116279</v>
      </c>
      <c r="Q27" s="325">
        <f t="shared" si="0"/>
        <v>0</v>
      </c>
      <c r="R27" s="319">
        <v>0</v>
      </c>
    </row>
    <row r="28" spans="1:19" ht="18" customHeight="1" thickBot="1" x14ac:dyDescent="0.35">
      <c r="A28" s="23"/>
      <c r="B28" s="24">
        <v>44769</v>
      </c>
      <c r="C28" s="25">
        <v>15785</v>
      </c>
      <c r="D28" s="42" t="s">
        <v>1059</v>
      </c>
      <c r="E28" s="27">
        <v>44769</v>
      </c>
      <c r="F28" s="28">
        <v>91203</v>
      </c>
      <c r="G28" s="572"/>
      <c r="H28" s="29">
        <v>44769</v>
      </c>
      <c r="I28" s="30">
        <v>1610</v>
      </c>
      <c r="J28" s="56"/>
      <c r="K28" s="57"/>
      <c r="L28" s="54"/>
      <c r="M28" s="32">
        <v>41640</v>
      </c>
      <c r="N28" s="33">
        <v>32168</v>
      </c>
      <c r="O28" s="660" t="s">
        <v>764</v>
      </c>
      <c r="P28" s="283">
        <f t="shared" si="1"/>
        <v>91203</v>
      </c>
      <c r="Q28" s="325">
        <f t="shared" si="0"/>
        <v>0</v>
      </c>
      <c r="R28" s="319">
        <v>0</v>
      </c>
    </row>
    <row r="29" spans="1:19" ht="18" thickBot="1" x14ac:dyDescent="0.35">
      <c r="A29" s="23"/>
      <c r="B29" s="24">
        <v>44770</v>
      </c>
      <c r="C29" s="25">
        <v>22377</v>
      </c>
      <c r="D29" s="58" t="s">
        <v>1060</v>
      </c>
      <c r="E29" s="27">
        <v>44770</v>
      </c>
      <c r="F29" s="28">
        <v>109445</v>
      </c>
      <c r="G29" s="572"/>
      <c r="H29" s="29">
        <v>44770</v>
      </c>
      <c r="I29" s="30">
        <v>1705.5</v>
      </c>
      <c r="J29" s="59"/>
      <c r="K29" s="175"/>
      <c r="L29" s="54"/>
      <c r="M29" s="32">
        <v>37988.5</v>
      </c>
      <c r="N29" s="33">
        <v>47374</v>
      </c>
      <c r="O29" s="660" t="s">
        <v>764</v>
      </c>
      <c r="P29" s="283">
        <f t="shared" si="1"/>
        <v>109445</v>
      </c>
      <c r="Q29" s="325">
        <f t="shared" si="0"/>
        <v>0</v>
      </c>
      <c r="R29" s="319">
        <v>0</v>
      </c>
    </row>
    <row r="30" spans="1:19" ht="18" thickBot="1" x14ac:dyDescent="0.35">
      <c r="A30" s="23"/>
      <c r="B30" s="24">
        <v>44771</v>
      </c>
      <c r="C30" s="25">
        <v>7542</v>
      </c>
      <c r="D30" s="58" t="s">
        <v>1061</v>
      </c>
      <c r="E30" s="27">
        <v>44771</v>
      </c>
      <c r="F30" s="28">
        <v>110277</v>
      </c>
      <c r="G30" s="572"/>
      <c r="H30" s="29">
        <v>44771</v>
      </c>
      <c r="I30" s="30">
        <v>1936</v>
      </c>
      <c r="J30" s="56"/>
      <c r="K30" s="38"/>
      <c r="L30" s="39"/>
      <c r="M30" s="32">
        <v>56000</v>
      </c>
      <c r="N30" s="33">
        <v>44801</v>
      </c>
      <c r="O30" s="660" t="s">
        <v>764</v>
      </c>
      <c r="P30" s="283">
        <f t="shared" si="1"/>
        <v>110279</v>
      </c>
      <c r="Q30" s="325" t="s">
        <v>1062</v>
      </c>
      <c r="R30" s="319">
        <v>0</v>
      </c>
    </row>
    <row r="31" spans="1:19" ht="26.25" thickBot="1" x14ac:dyDescent="0.35">
      <c r="A31" s="23"/>
      <c r="B31" s="24">
        <v>44772</v>
      </c>
      <c r="C31" s="25">
        <v>8919</v>
      </c>
      <c r="D31" s="67" t="s">
        <v>1063</v>
      </c>
      <c r="E31" s="27">
        <v>44772</v>
      </c>
      <c r="F31" s="28">
        <v>128622</v>
      </c>
      <c r="G31" s="572"/>
      <c r="H31" s="29">
        <v>44772</v>
      </c>
      <c r="I31" s="30">
        <v>2688</v>
      </c>
      <c r="J31" s="56">
        <v>44772</v>
      </c>
      <c r="K31" s="566" t="s">
        <v>1064</v>
      </c>
      <c r="L31" s="54">
        <v>22490</v>
      </c>
      <c r="M31" s="32">
        <v>50983</v>
      </c>
      <c r="N31" s="33">
        <v>43542</v>
      </c>
      <c r="O31" s="660" t="s">
        <v>764</v>
      </c>
      <c r="P31" s="34">
        <f t="shared" si="1"/>
        <v>128622</v>
      </c>
      <c r="Q31" s="325">
        <f t="shared" si="0"/>
        <v>0</v>
      </c>
      <c r="R31" s="319">
        <v>0</v>
      </c>
    </row>
    <row r="32" spans="1:19" ht="18" thickBot="1" x14ac:dyDescent="0.35">
      <c r="A32" s="23"/>
      <c r="B32" s="24">
        <v>44773</v>
      </c>
      <c r="C32" s="25">
        <v>8964</v>
      </c>
      <c r="D32" s="64" t="s">
        <v>1066</v>
      </c>
      <c r="E32" s="27">
        <v>44773</v>
      </c>
      <c r="F32" s="28">
        <v>86594</v>
      </c>
      <c r="G32" s="572"/>
      <c r="H32" s="29">
        <v>44773</v>
      </c>
      <c r="I32" s="30">
        <v>0</v>
      </c>
      <c r="J32" s="56">
        <v>44773</v>
      </c>
      <c r="K32" s="38" t="s">
        <v>1064</v>
      </c>
      <c r="L32" s="39">
        <v>200</v>
      </c>
      <c r="M32" s="32">
        <v>46721</v>
      </c>
      <c r="N32" s="33">
        <v>30709</v>
      </c>
      <c r="O32" s="660" t="s">
        <v>764</v>
      </c>
      <c r="P32" s="34">
        <f t="shared" si="1"/>
        <v>86594</v>
      </c>
      <c r="Q32" s="325">
        <f t="shared" si="0"/>
        <v>0</v>
      </c>
      <c r="R32" s="319">
        <v>0</v>
      </c>
      <c r="S32" t="s">
        <v>7</v>
      </c>
    </row>
    <row r="33" spans="1:18" ht="18" thickBot="1" x14ac:dyDescent="0.35">
      <c r="A33" s="23"/>
      <c r="B33" s="24"/>
      <c r="C33" s="25"/>
      <c r="D33" s="65"/>
      <c r="E33" s="27"/>
      <c r="F33" s="28"/>
      <c r="G33" s="572"/>
      <c r="H33" s="29"/>
      <c r="I33" s="30"/>
      <c r="J33" s="56"/>
      <c r="K33" s="223"/>
      <c r="L33" s="69"/>
      <c r="M33" s="32">
        <v>0</v>
      </c>
      <c r="N33" s="33">
        <v>0</v>
      </c>
      <c r="P33" s="34">
        <f t="shared" si="1"/>
        <v>0</v>
      </c>
      <c r="Q33" s="325">
        <f t="shared" si="0"/>
        <v>0</v>
      </c>
      <c r="R33" s="319">
        <v>0</v>
      </c>
    </row>
    <row r="34" spans="1:18" ht="18" thickBot="1" x14ac:dyDescent="0.35">
      <c r="A34" s="23"/>
      <c r="B34" s="24"/>
      <c r="C34" s="25"/>
      <c r="D34" s="64"/>
      <c r="E34" s="27"/>
      <c r="F34" s="28"/>
      <c r="G34" s="572"/>
      <c r="H34" s="29"/>
      <c r="I34" s="30"/>
      <c r="J34" s="557">
        <v>44751</v>
      </c>
      <c r="K34" s="567" t="s">
        <v>1033</v>
      </c>
      <c r="L34" s="9">
        <v>19463.41</v>
      </c>
      <c r="M34" s="32">
        <v>0</v>
      </c>
      <c r="N34" s="33">
        <v>0</v>
      </c>
      <c r="P34" s="34">
        <v>0</v>
      </c>
      <c r="Q34" s="325">
        <f t="shared" si="0"/>
        <v>0</v>
      </c>
      <c r="R34" s="319">
        <v>0</v>
      </c>
    </row>
    <row r="35" spans="1:18" ht="18" thickBot="1" x14ac:dyDescent="0.35">
      <c r="A35" s="23"/>
      <c r="B35" s="24">
        <v>44743</v>
      </c>
      <c r="C35" s="690">
        <v>200000</v>
      </c>
      <c r="D35" s="67" t="s">
        <v>1024</v>
      </c>
      <c r="E35" s="27"/>
      <c r="F35" s="28"/>
      <c r="G35" s="572"/>
      <c r="H35" s="29"/>
      <c r="I35" s="30"/>
      <c r="J35" s="557">
        <v>44758</v>
      </c>
      <c r="K35" s="568" t="s">
        <v>1043</v>
      </c>
      <c r="L35" s="69">
        <v>19849.560000000001</v>
      </c>
      <c r="M35" s="32">
        <v>0</v>
      </c>
      <c r="N35" s="33">
        <v>0</v>
      </c>
      <c r="P35" s="34">
        <v>0</v>
      </c>
      <c r="Q35" s="325">
        <f t="shared" si="0"/>
        <v>0</v>
      </c>
      <c r="R35" s="319">
        <v>0</v>
      </c>
    </row>
    <row r="36" spans="1:18" ht="18" customHeight="1" thickTop="1" thickBot="1" x14ac:dyDescent="0.35">
      <c r="A36" s="23"/>
      <c r="B36" s="24">
        <v>44746</v>
      </c>
      <c r="C36" s="693">
        <v>5681.25</v>
      </c>
      <c r="D36" s="696" t="s">
        <v>1114</v>
      </c>
      <c r="E36" s="27"/>
      <c r="F36" s="28"/>
      <c r="G36" s="662"/>
      <c r="H36" s="29"/>
      <c r="I36" s="30"/>
      <c r="J36" s="557">
        <v>44765</v>
      </c>
      <c r="K36" s="688" t="s">
        <v>1054</v>
      </c>
      <c r="L36" s="9">
        <v>18868</v>
      </c>
      <c r="M36" s="32">
        <v>0</v>
      </c>
      <c r="N36" s="33">
        <v>0</v>
      </c>
      <c r="P36" s="34">
        <v>0</v>
      </c>
      <c r="Q36" s="325">
        <f t="shared" si="0"/>
        <v>0</v>
      </c>
      <c r="R36" s="319">
        <v>0</v>
      </c>
    </row>
    <row r="37" spans="1:18" ht="18" customHeight="1" thickBot="1" x14ac:dyDescent="0.35">
      <c r="A37" s="23"/>
      <c r="B37" s="24">
        <v>44747</v>
      </c>
      <c r="C37" s="692">
        <v>96768</v>
      </c>
      <c r="D37" s="695" t="s">
        <v>49</v>
      </c>
      <c r="E37" s="27"/>
      <c r="F37" s="28"/>
      <c r="G37" s="662"/>
      <c r="H37" s="29"/>
      <c r="I37" s="30"/>
      <c r="J37" s="56">
        <v>44772</v>
      </c>
      <c r="K37" s="57" t="s">
        <v>1065</v>
      </c>
      <c r="L37" s="39">
        <v>19092.5</v>
      </c>
      <c r="M37" s="32">
        <v>0</v>
      </c>
      <c r="N37" s="33">
        <v>0</v>
      </c>
      <c r="P37" s="34">
        <v>0</v>
      </c>
      <c r="Q37" s="325">
        <v>0</v>
      </c>
      <c r="R37" s="319">
        <v>0</v>
      </c>
    </row>
    <row r="38" spans="1:18" ht="18" thickBot="1" x14ac:dyDescent="0.35">
      <c r="A38" s="23"/>
      <c r="B38" s="24">
        <v>44747</v>
      </c>
      <c r="C38" s="692">
        <v>187187.20000000001</v>
      </c>
      <c r="D38" s="695" t="s">
        <v>49</v>
      </c>
      <c r="E38" s="27"/>
      <c r="F38" s="28"/>
      <c r="G38" s="662"/>
      <c r="H38" s="29"/>
      <c r="I38" s="30"/>
      <c r="J38" s="56"/>
      <c r="K38" s="663"/>
      <c r="L38" s="39"/>
      <c r="M38" s="32">
        <v>0</v>
      </c>
      <c r="N38" s="33">
        <v>0</v>
      </c>
      <c r="P38" s="34">
        <v>0</v>
      </c>
      <c r="Q38" s="325">
        <f t="shared" si="0"/>
        <v>0</v>
      </c>
      <c r="R38" s="319">
        <v>0</v>
      </c>
    </row>
    <row r="39" spans="1:18" ht="18" thickBot="1" x14ac:dyDescent="0.35">
      <c r="A39" s="23"/>
      <c r="B39" s="24">
        <v>44748</v>
      </c>
      <c r="C39" s="692">
        <v>26640</v>
      </c>
      <c r="D39" s="695" t="s">
        <v>1115</v>
      </c>
      <c r="E39" s="27"/>
      <c r="F39" s="508"/>
      <c r="G39" s="662"/>
      <c r="H39" s="29"/>
      <c r="I39" s="71"/>
      <c r="J39" s="56">
        <v>44746</v>
      </c>
      <c r="K39" s="663" t="s">
        <v>1098</v>
      </c>
      <c r="L39" s="39">
        <v>5738.11</v>
      </c>
      <c r="M39" s="32">
        <v>0</v>
      </c>
      <c r="N39" s="33">
        <v>0</v>
      </c>
      <c r="P39" s="34">
        <v>0</v>
      </c>
      <c r="Q39" s="111">
        <f t="shared" si="0"/>
        <v>0</v>
      </c>
      <c r="R39" s="319">
        <v>0</v>
      </c>
    </row>
    <row r="40" spans="1:18" ht="18" thickBot="1" x14ac:dyDescent="0.35">
      <c r="A40" s="23"/>
      <c r="B40" s="24">
        <v>44753</v>
      </c>
      <c r="C40" s="692">
        <v>5337.5</v>
      </c>
      <c r="D40" s="696" t="s">
        <v>1103</v>
      </c>
      <c r="E40" s="27"/>
      <c r="F40" s="70"/>
      <c r="G40" s="572"/>
      <c r="H40" s="36"/>
      <c r="I40" s="71"/>
      <c r="J40" s="56">
        <v>44747</v>
      </c>
      <c r="K40" s="38" t="s">
        <v>1099</v>
      </c>
      <c r="L40" s="39">
        <v>5714.55</v>
      </c>
      <c r="M40" s="267">
        <v>0</v>
      </c>
      <c r="N40" s="268">
        <v>0</v>
      </c>
      <c r="P40" s="34">
        <v>0</v>
      </c>
      <c r="Q40" s="111">
        <f t="shared" si="0"/>
        <v>0</v>
      </c>
      <c r="R40" s="319">
        <v>0</v>
      </c>
    </row>
    <row r="41" spans="1:18" ht="18" thickBot="1" x14ac:dyDescent="0.35">
      <c r="A41" s="23"/>
      <c r="B41" s="24">
        <v>44757</v>
      </c>
      <c r="C41" s="692">
        <v>200000</v>
      </c>
      <c r="D41" s="697" t="s">
        <v>49</v>
      </c>
      <c r="E41" s="74"/>
      <c r="F41" s="75"/>
      <c r="G41" s="572"/>
      <c r="H41" s="76"/>
      <c r="I41" s="77"/>
      <c r="J41" s="56">
        <v>44749</v>
      </c>
      <c r="K41" s="661" t="s">
        <v>1101</v>
      </c>
      <c r="L41" s="39">
        <v>3442.5</v>
      </c>
      <c r="M41" s="871">
        <f>SUM(M5:M40)</f>
        <v>2180659.5</v>
      </c>
      <c r="N41" s="871">
        <f>SUM(N5:N40)</f>
        <v>1072718</v>
      </c>
      <c r="P41" s="505">
        <f>SUM(P5:P40)</f>
        <v>4807723.83</v>
      </c>
      <c r="Q41" s="936">
        <f>SUM(Q5:Q40)</f>
        <v>12</v>
      </c>
    </row>
    <row r="42" spans="1:18" ht="18" thickBot="1" x14ac:dyDescent="0.35">
      <c r="A42" s="23"/>
      <c r="B42" s="24">
        <v>44761</v>
      </c>
      <c r="C42" s="692">
        <v>189760</v>
      </c>
      <c r="D42" s="697" t="s">
        <v>49</v>
      </c>
      <c r="E42" s="74"/>
      <c r="F42" s="75"/>
      <c r="G42" s="572"/>
      <c r="H42" s="76"/>
      <c r="I42" s="77"/>
      <c r="J42" s="698">
        <v>44750</v>
      </c>
      <c r="K42" s="701" t="s">
        <v>1102</v>
      </c>
      <c r="L42" s="702">
        <v>28000</v>
      </c>
      <c r="M42" s="872"/>
      <c r="N42" s="872"/>
      <c r="P42" s="34"/>
      <c r="Q42" s="937"/>
    </row>
    <row r="43" spans="1:18" ht="18" thickBot="1" x14ac:dyDescent="0.35">
      <c r="A43" s="23"/>
      <c r="B43" s="24">
        <v>44762</v>
      </c>
      <c r="C43" s="692">
        <v>379843.2</v>
      </c>
      <c r="D43" s="697" t="s">
        <v>1109</v>
      </c>
      <c r="E43" s="74"/>
      <c r="F43" s="75"/>
      <c r="G43" s="572"/>
      <c r="H43" s="76"/>
      <c r="I43" s="77"/>
      <c r="J43" s="56">
        <v>44750</v>
      </c>
      <c r="K43" s="38" t="s">
        <v>1100</v>
      </c>
      <c r="L43" s="39">
        <v>1856</v>
      </c>
      <c r="M43" s="680"/>
      <c r="N43" s="680"/>
      <c r="P43" s="34"/>
      <c r="Q43" s="13"/>
    </row>
    <row r="44" spans="1:18" ht="18" thickBot="1" x14ac:dyDescent="0.35">
      <c r="A44" s="23"/>
      <c r="B44" s="24">
        <v>44768</v>
      </c>
      <c r="C44" s="692">
        <v>18528.64</v>
      </c>
      <c r="D44" s="697" t="s">
        <v>1112</v>
      </c>
      <c r="E44" s="74"/>
      <c r="F44" s="75"/>
      <c r="G44" s="572"/>
      <c r="H44" s="76"/>
      <c r="I44" s="77"/>
      <c r="J44" s="56">
        <v>44753</v>
      </c>
      <c r="K44" s="38" t="s">
        <v>1104</v>
      </c>
      <c r="L44" s="39">
        <v>2521.11</v>
      </c>
      <c r="M44" s="680"/>
      <c r="N44" s="680"/>
      <c r="P44" s="34"/>
      <c r="Q44" s="13"/>
    </row>
    <row r="45" spans="1:18" ht="18" thickBot="1" x14ac:dyDescent="0.35">
      <c r="A45" s="23"/>
      <c r="B45" s="24"/>
      <c r="C45" s="692"/>
      <c r="D45" s="73"/>
      <c r="E45" s="74"/>
      <c r="F45" s="75"/>
      <c r="G45" s="572"/>
      <c r="H45" s="76"/>
      <c r="I45" s="77"/>
      <c r="J45" s="56">
        <v>44754</v>
      </c>
      <c r="K45" s="38" t="s">
        <v>1105</v>
      </c>
      <c r="L45" s="39">
        <v>1061.9100000000001</v>
      </c>
      <c r="M45" s="938">
        <f>M41+N41</f>
        <v>3253377.5</v>
      </c>
      <c r="N45" s="939"/>
      <c r="P45" s="34"/>
      <c r="Q45" s="13"/>
    </row>
    <row r="46" spans="1:18" ht="18" thickBot="1" x14ac:dyDescent="0.35">
      <c r="A46" s="23"/>
      <c r="B46" s="24"/>
      <c r="C46" s="692"/>
      <c r="D46" s="73"/>
      <c r="E46" s="74"/>
      <c r="F46" s="75"/>
      <c r="G46" s="572"/>
      <c r="H46" s="76"/>
      <c r="I46" s="77"/>
      <c r="J46" s="56">
        <v>44755</v>
      </c>
      <c r="K46" s="38" t="s">
        <v>1098</v>
      </c>
      <c r="L46" s="39">
        <v>5071.04</v>
      </c>
      <c r="M46" s="680"/>
      <c r="N46" s="680"/>
      <c r="P46" s="34"/>
      <c r="Q46" s="13"/>
    </row>
    <row r="47" spans="1:18" ht="18" thickBot="1" x14ac:dyDescent="0.35">
      <c r="A47" s="23"/>
      <c r="B47" s="24"/>
      <c r="C47" s="692"/>
      <c r="D47" s="73"/>
      <c r="E47" s="74"/>
      <c r="F47" s="75"/>
      <c r="G47" s="572"/>
      <c r="H47" s="76"/>
      <c r="I47" s="77"/>
      <c r="J47" s="56">
        <v>44755</v>
      </c>
      <c r="K47" s="38" t="s">
        <v>1106</v>
      </c>
      <c r="L47" s="39">
        <v>10440</v>
      </c>
      <c r="M47" s="680"/>
      <c r="N47" s="680"/>
      <c r="P47" s="34"/>
      <c r="Q47" s="13"/>
    </row>
    <row r="48" spans="1:18" ht="18" thickBot="1" x14ac:dyDescent="0.35">
      <c r="A48" s="23"/>
      <c r="B48" s="24"/>
      <c r="C48" s="692"/>
      <c r="D48" s="73"/>
      <c r="E48" s="74"/>
      <c r="F48" s="75"/>
      <c r="G48" s="572"/>
      <c r="H48" s="76"/>
      <c r="I48" s="77"/>
      <c r="J48" s="56">
        <v>44757</v>
      </c>
      <c r="K48" s="38" t="s">
        <v>1107</v>
      </c>
      <c r="L48" s="39">
        <v>549</v>
      </c>
      <c r="M48" s="680"/>
      <c r="N48" s="680"/>
      <c r="P48" s="34"/>
      <c r="Q48" s="13"/>
    </row>
    <row r="49" spans="1:17" ht="18" thickBot="1" x14ac:dyDescent="0.35">
      <c r="A49" s="23"/>
      <c r="B49" s="24"/>
      <c r="C49" s="692"/>
      <c r="D49" s="73"/>
      <c r="E49" s="74"/>
      <c r="F49" s="75"/>
      <c r="G49" s="572"/>
      <c r="H49" s="76"/>
      <c r="I49" s="77"/>
      <c r="J49" s="601">
        <v>44760</v>
      </c>
      <c r="K49" s="38" t="s">
        <v>1108</v>
      </c>
      <c r="L49" s="69">
        <v>42467.6</v>
      </c>
      <c r="M49" s="680"/>
      <c r="N49" s="680"/>
      <c r="P49" s="34"/>
      <c r="Q49" s="13"/>
    </row>
    <row r="50" spans="1:17" ht="18" thickBot="1" x14ac:dyDescent="0.35">
      <c r="A50" s="23"/>
      <c r="B50" s="24"/>
      <c r="C50" s="692"/>
      <c r="D50" s="73"/>
      <c r="E50" s="74"/>
      <c r="F50" s="75"/>
      <c r="G50" s="572"/>
      <c r="H50" s="76"/>
      <c r="I50" s="77"/>
      <c r="J50" s="601">
        <v>44760</v>
      </c>
      <c r="K50" s="38" t="s">
        <v>1098</v>
      </c>
      <c r="L50" s="69">
        <v>8328.08</v>
      </c>
      <c r="M50" s="680"/>
      <c r="N50" s="680"/>
      <c r="P50" s="34"/>
      <c r="Q50" s="13"/>
    </row>
    <row r="51" spans="1:17" ht="18" thickBot="1" x14ac:dyDescent="0.35">
      <c r="A51" s="23"/>
      <c r="B51" s="24"/>
      <c r="C51" s="692"/>
      <c r="D51" s="73"/>
      <c r="E51" s="74"/>
      <c r="F51" s="75"/>
      <c r="G51" s="572"/>
      <c r="H51" s="76"/>
      <c r="I51" s="77"/>
      <c r="J51" s="601">
        <v>44762</v>
      </c>
      <c r="K51" s="38" t="s">
        <v>1110</v>
      </c>
      <c r="L51" s="69">
        <v>4006.5</v>
      </c>
      <c r="M51" s="680"/>
      <c r="N51" s="680"/>
      <c r="P51" s="34"/>
      <c r="Q51" s="13"/>
    </row>
    <row r="52" spans="1:17" ht="18" thickBot="1" x14ac:dyDescent="0.35">
      <c r="A52" s="23"/>
      <c r="B52" s="24"/>
      <c r="C52" s="692"/>
      <c r="D52" s="73"/>
      <c r="E52" s="74"/>
      <c r="F52" s="75"/>
      <c r="G52" s="572"/>
      <c r="H52" s="76"/>
      <c r="I52" s="77"/>
      <c r="J52" s="601">
        <v>44762</v>
      </c>
      <c r="K52" s="38" t="s">
        <v>1111</v>
      </c>
      <c r="L52" s="69">
        <v>2320</v>
      </c>
      <c r="M52" s="680"/>
      <c r="N52" s="680"/>
      <c r="P52" s="34"/>
      <c r="Q52" s="13"/>
    </row>
    <row r="53" spans="1:17" ht="18" thickBot="1" x14ac:dyDescent="0.35">
      <c r="A53" s="23"/>
      <c r="B53" s="24"/>
      <c r="C53" s="692">
        <v>0</v>
      </c>
      <c r="D53" s="73"/>
      <c r="E53" s="74"/>
      <c r="F53" s="75"/>
      <c r="G53" s="572"/>
      <c r="H53" s="76"/>
      <c r="I53" s="77"/>
      <c r="J53" s="601">
        <v>44764</v>
      </c>
      <c r="K53" s="38" t="s">
        <v>1102</v>
      </c>
      <c r="L53" s="69">
        <v>28000</v>
      </c>
      <c r="M53" s="680"/>
      <c r="N53" s="680"/>
      <c r="P53" s="34"/>
      <c r="Q53" s="13"/>
    </row>
    <row r="54" spans="1:17" ht="18" thickBot="1" x14ac:dyDescent="0.35">
      <c r="A54" s="23"/>
      <c r="B54" s="24"/>
      <c r="C54" s="694">
        <v>0</v>
      </c>
      <c r="D54" s="73"/>
      <c r="E54" s="74"/>
      <c r="F54" s="75"/>
      <c r="G54" s="572"/>
      <c r="H54" s="76"/>
      <c r="I54" s="77"/>
      <c r="J54" s="601">
        <v>44767</v>
      </c>
      <c r="K54" s="38" t="s">
        <v>1098</v>
      </c>
      <c r="L54" s="69">
        <v>6204.65</v>
      </c>
      <c r="M54" s="680"/>
      <c r="N54" s="680"/>
      <c r="P54" s="34"/>
      <c r="Q54" s="13"/>
    </row>
    <row r="55" spans="1:17" ht="18.75" thickTop="1" thickBot="1" x14ac:dyDescent="0.35">
      <c r="A55" s="23"/>
      <c r="B55" s="24"/>
      <c r="C55" s="691">
        <v>0</v>
      </c>
      <c r="D55" s="73"/>
      <c r="E55" s="74"/>
      <c r="F55" s="75"/>
      <c r="G55" s="572"/>
      <c r="H55" s="76"/>
      <c r="I55" s="77"/>
      <c r="J55" s="601">
        <v>44767</v>
      </c>
      <c r="K55" s="38" t="s">
        <v>973</v>
      </c>
      <c r="L55" s="69">
        <v>40412.400000000001</v>
      </c>
      <c r="M55" s="680"/>
      <c r="N55" s="680"/>
      <c r="P55" s="34"/>
      <c r="Q55" s="13"/>
    </row>
    <row r="56" spans="1:17" ht="18" thickBot="1" x14ac:dyDescent="0.35">
      <c r="A56" s="23"/>
      <c r="B56" s="24"/>
      <c r="C56" s="25">
        <v>0</v>
      </c>
      <c r="D56" s="73"/>
      <c r="E56" s="74"/>
      <c r="F56" s="75"/>
      <c r="G56" s="572"/>
      <c r="H56" s="76"/>
      <c r="I56" s="77"/>
      <c r="J56" s="601">
        <v>44771</v>
      </c>
      <c r="K56" s="38" t="s">
        <v>840</v>
      </c>
      <c r="L56" s="69">
        <v>1126.45</v>
      </c>
      <c r="M56" s="680"/>
      <c r="N56" s="680"/>
      <c r="P56" s="34"/>
      <c r="Q56" s="13"/>
    </row>
    <row r="57" spans="1:17" ht="18" thickBot="1" x14ac:dyDescent="0.35">
      <c r="A57" s="23"/>
      <c r="B57" s="24"/>
      <c r="C57" s="25">
        <v>0</v>
      </c>
      <c r="D57" s="73"/>
      <c r="E57" s="74"/>
      <c r="F57" s="75"/>
      <c r="G57" s="572"/>
      <c r="H57" s="76"/>
      <c r="I57" s="77"/>
      <c r="J57" s="601">
        <v>44771</v>
      </c>
      <c r="K57" s="38" t="s">
        <v>1113</v>
      </c>
      <c r="L57" s="69">
        <v>4640</v>
      </c>
      <c r="M57" s="680"/>
      <c r="N57" s="680"/>
      <c r="P57" s="34"/>
      <c r="Q57" s="13"/>
    </row>
    <row r="58" spans="1:17" ht="18" thickBot="1" x14ac:dyDescent="0.35">
      <c r="A58" s="23"/>
      <c r="B58" s="24"/>
      <c r="C58" s="25">
        <v>0</v>
      </c>
      <c r="D58" s="73"/>
      <c r="E58" s="74"/>
      <c r="F58" s="75"/>
      <c r="G58" s="572"/>
      <c r="H58" s="76"/>
      <c r="I58" s="77"/>
      <c r="J58" s="699">
        <v>44771</v>
      </c>
      <c r="K58" s="623" t="s">
        <v>1116</v>
      </c>
      <c r="L58" s="703">
        <v>24956.78</v>
      </c>
      <c r="M58" s="680"/>
      <c r="N58" s="680"/>
      <c r="P58" s="34"/>
      <c r="Q58" s="13"/>
    </row>
    <row r="59" spans="1:17" ht="18" thickBot="1" x14ac:dyDescent="0.35">
      <c r="A59" s="23"/>
      <c r="B59" s="24"/>
      <c r="C59" s="25">
        <v>0</v>
      </c>
      <c r="D59" s="73"/>
      <c r="E59" s="74"/>
      <c r="F59" s="75"/>
      <c r="G59" s="572"/>
      <c r="H59" s="76"/>
      <c r="I59" s="77"/>
      <c r="J59" s="466"/>
      <c r="K59" s="700"/>
      <c r="L59" s="54"/>
      <c r="M59" s="680"/>
      <c r="N59" s="680"/>
      <c r="P59" s="34"/>
      <c r="Q59" s="13"/>
    </row>
    <row r="60" spans="1:17" ht="16.5" thickBot="1" x14ac:dyDescent="0.3">
      <c r="A60" s="23"/>
      <c r="B60" s="80"/>
      <c r="C60" s="25">
        <v>0</v>
      </c>
      <c r="D60" s="81"/>
      <c r="E60" s="82"/>
      <c r="F60" s="72"/>
      <c r="H60" s="83"/>
      <c r="I60" s="77"/>
      <c r="J60" s="557"/>
      <c r="K60" s="174"/>
      <c r="L60" s="69"/>
      <c r="M60" s="34"/>
      <c r="N60" s="34"/>
      <c r="P60" s="34"/>
      <c r="Q60" s="13"/>
    </row>
    <row r="61" spans="1:17" ht="16.5" thickBot="1" x14ac:dyDescent="0.3">
      <c r="A61" s="23"/>
      <c r="B61" s="595"/>
      <c r="C61" s="596"/>
      <c r="D61" s="81"/>
      <c r="E61" s="597"/>
      <c r="F61" s="34"/>
      <c r="H61" s="598"/>
      <c r="I61" s="34"/>
      <c r="J61" s="557"/>
      <c r="K61" s="671"/>
      <c r="L61" s="69"/>
      <c r="M61" s="34"/>
      <c r="N61" s="34"/>
      <c r="P61" s="34"/>
      <c r="Q61" s="13"/>
    </row>
    <row r="62" spans="1:17" ht="16.5" thickBot="1" x14ac:dyDescent="0.3">
      <c r="A62" s="23"/>
      <c r="B62" s="595"/>
      <c r="C62" s="596"/>
      <c r="D62" s="81"/>
      <c r="E62" s="597"/>
      <c r="F62" s="34"/>
      <c r="H62" s="598"/>
      <c r="I62" s="34"/>
      <c r="J62" s="557"/>
      <c r="K62" s="671"/>
      <c r="L62" s="69"/>
      <c r="M62" s="34"/>
      <c r="N62" s="34"/>
      <c r="P62" s="34"/>
      <c r="Q62" s="13"/>
    </row>
    <row r="63" spans="1:17" ht="16.5" thickBot="1" x14ac:dyDescent="0.3">
      <c r="A63" s="23"/>
      <c r="B63" s="595"/>
      <c r="C63" s="596"/>
      <c r="D63" s="81"/>
      <c r="E63" s="597"/>
      <c r="F63" s="34"/>
      <c r="H63" s="598"/>
      <c r="I63" s="34"/>
      <c r="J63" s="557"/>
      <c r="K63" s="671"/>
      <c r="L63" s="69"/>
      <c r="M63" s="34"/>
      <c r="N63" s="34"/>
      <c r="P63" s="34"/>
      <c r="Q63" s="13"/>
    </row>
    <row r="64" spans="1:17" ht="16.5" thickBot="1" x14ac:dyDescent="0.3">
      <c r="A64" s="23"/>
      <c r="B64" s="595"/>
      <c r="C64" s="596"/>
      <c r="D64" s="81"/>
      <c r="E64" s="597"/>
      <c r="F64" s="34"/>
      <c r="H64" s="598"/>
      <c r="I64" s="34"/>
      <c r="J64" s="557"/>
      <c r="K64" s="671"/>
      <c r="L64" s="69"/>
      <c r="M64" s="34"/>
      <c r="N64" s="34"/>
      <c r="P64" s="34"/>
      <c r="Q64" s="13"/>
    </row>
    <row r="65" spans="1:17" ht="16.5" thickBot="1" x14ac:dyDescent="0.3">
      <c r="A65" s="23"/>
      <c r="B65" s="595"/>
      <c r="C65" s="596"/>
      <c r="D65" s="81"/>
      <c r="E65" s="597"/>
      <c r="F65" s="34"/>
      <c r="H65" s="598"/>
      <c r="I65" s="34"/>
      <c r="J65" s="557"/>
      <c r="K65" s="671"/>
      <c r="L65" s="69"/>
      <c r="M65" s="34"/>
      <c r="N65" s="34"/>
      <c r="P65" s="34"/>
      <c r="Q65" s="13"/>
    </row>
    <row r="66" spans="1:17" ht="16.5" thickBot="1" x14ac:dyDescent="0.3">
      <c r="A66" s="23"/>
      <c r="B66" s="595"/>
      <c r="C66" s="596"/>
      <c r="D66" s="81"/>
      <c r="E66" s="597"/>
      <c r="F66" s="34"/>
      <c r="H66" s="598"/>
      <c r="I66" s="34"/>
      <c r="J66" s="670"/>
      <c r="K66" s="164"/>
      <c r="L66" s="9"/>
      <c r="M66" s="34"/>
      <c r="N66" s="34"/>
      <c r="P66" s="34"/>
      <c r="Q66" s="13"/>
    </row>
    <row r="67" spans="1:17" ht="16.5" thickBot="1" x14ac:dyDescent="0.3">
      <c r="B67" s="550" t="s">
        <v>8</v>
      </c>
      <c r="C67" s="87">
        <f>SUM(C5:C60)</f>
        <v>1783150.7899999998</v>
      </c>
      <c r="D67" s="88"/>
      <c r="E67" s="91" t="s">
        <v>8</v>
      </c>
      <c r="F67" s="90">
        <f>SUM(F5:F60)</f>
        <v>3872840</v>
      </c>
      <c r="G67" s="573"/>
      <c r="H67" s="91" t="s">
        <v>9</v>
      </c>
      <c r="I67" s="92">
        <f>SUM(I5:I60)</f>
        <v>80718.5</v>
      </c>
      <c r="J67" s="93"/>
      <c r="K67" s="94" t="s">
        <v>10</v>
      </c>
      <c r="L67" s="95">
        <f>SUM(L5:L65)-L26</f>
        <v>435060.15000000026</v>
      </c>
      <c r="M67" s="96"/>
      <c r="N67" s="96"/>
      <c r="P67" s="34"/>
      <c r="Q67" s="13"/>
    </row>
    <row r="68" spans="1:17" ht="16.5" thickTop="1" x14ac:dyDescent="0.25">
      <c r="C68" s="3" t="s">
        <v>7</v>
      </c>
      <c r="P68" s="34"/>
      <c r="Q68" s="13"/>
    </row>
    <row r="69" spans="1:17" ht="18.75" x14ac:dyDescent="0.25">
      <c r="A69" s="98"/>
      <c r="B69" s="99"/>
      <c r="C69" s="1"/>
      <c r="H69" s="848" t="s">
        <v>11</v>
      </c>
      <c r="I69" s="849"/>
      <c r="J69" s="559"/>
      <c r="K69" s="973">
        <f>I67+L67</f>
        <v>515778.65000000026</v>
      </c>
      <c r="L69" s="974"/>
      <c r="M69" s="272"/>
      <c r="N69" s="272"/>
      <c r="P69" s="34"/>
      <c r="Q69" s="13"/>
    </row>
    <row r="70" spans="1:17" x14ac:dyDescent="0.25">
      <c r="D70" s="854" t="s">
        <v>12</v>
      </c>
      <c r="E70" s="854"/>
      <c r="F70" s="312">
        <f>F67-K69-C67</f>
        <v>1573910.5599999998</v>
      </c>
      <c r="I70" s="102"/>
      <c r="J70" s="560"/>
    </row>
    <row r="71" spans="1:17" ht="18.75" x14ac:dyDescent="0.3">
      <c r="D71" s="878" t="s">
        <v>95</v>
      </c>
      <c r="E71" s="878"/>
      <c r="F71" s="111">
        <v>-1727771.26</v>
      </c>
      <c r="I71" s="855" t="s">
        <v>13</v>
      </c>
      <c r="J71" s="856"/>
      <c r="K71" s="857">
        <f>F73+F74+F75</f>
        <v>2141254.8899999997</v>
      </c>
      <c r="L71" s="857"/>
      <c r="M71" s="404"/>
      <c r="N71" s="404"/>
      <c r="O71" s="654"/>
      <c r="P71" s="404"/>
      <c r="Q71" s="404"/>
    </row>
    <row r="72" spans="1:17" ht="19.5" thickBot="1" x14ac:dyDescent="0.35">
      <c r="D72" s="313" t="s">
        <v>94</v>
      </c>
      <c r="E72" s="314"/>
      <c r="F72" s="315">
        <v>-128507.5</v>
      </c>
      <c r="I72" s="105"/>
      <c r="J72" s="106"/>
      <c r="K72" s="571"/>
      <c r="L72" s="154"/>
      <c r="M72" s="404"/>
      <c r="N72" s="404"/>
      <c r="O72" s="654"/>
      <c r="P72" s="404"/>
      <c r="Q72" s="404"/>
    </row>
    <row r="73" spans="1:17" ht="19.5" thickTop="1" x14ac:dyDescent="0.3">
      <c r="C73" s="4" t="s">
        <v>7</v>
      </c>
      <c r="E73" s="98" t="s">
        <v>14</v>
      </c>
      <c r="F73" s="96">
        <f>SUM(F70:F72)</f>
        <v>-282368.20000000019</v>
      </c>
      <c r="H73" s="555"/>
      <c r="I73" s="108" t="s">
        <v>15</v>
      </c>
      <c r="J73" s="109"/>
      <c r="K73" s="969">
        <f>-C4</f>
        <v>-2355426.54</v>
      </c>
      <c r="L73" s="857"/>
    </row>
    <row r="74" spans="1:17" ht="16.5" thickBot="1" x14ac:dyDescent="0.3">
      <c r="D74" s="110" t="s">
        <v>16</v>
      </c>
      <c r="E74" s="98" t="s">
        <v>17</v>
      </c>
      <c r="F74" s="111">
        <v>148970</v>
      </c>
    </row>
    <row r="75" spans="1:17" ht="20.25" thickTop="1" thickBot="1" x14ac:dyDescent="0.35">
      <c r="C75" s="112">
        <v>44773</v>
      </c>
      <c r="D75" s="837" t="s">
        <v>18</v>
      </c>
      <c r="E75" s="838"/>
      <c r="F75" s="113">
        <v>2274653.09</v>
      </c>
      <c r="I75" s="970" t="s">
        <v>97</v>
      </c>
      <c r="J75" s="971"/>
      <c r="K75" s="972">
        <f>K71+K73</f>
        <v>-214171.65000000037</v>
      </c>
      <c r="L75" s="972"/>
    </row>
    <row r="76" spans="1:17" ht="17.25" x14ac:dyDescent="0.3">
      <c r="C76" s="114"/>
      <c r="D76" s="115"/>
      <c r="E76" s="98"/>
      <c r="F76" s="117"/>
      <c r="J76" s="118"/>
    </row>
    <row r="77" spans="1:17" ht="20.25" customHeight="1" x14ac:dyDescent="0.25">
      <c r="I77" s="119"/>
      <c r="J77" s="119"/>
      <c r="K77" s="179"/>
      <c r="L77" s="120"/>
    </row>
    <row r="78" spans="1:17" ht="16.5" customHeight="1" x14ac:dyDescent="0.25">
      <c r="B78" s="121"/>
      <c r="C78" s="122"/>
      <c r="D78" s="123"/>
      <c r="E78" s="34"/>
      <c r="I78" s="119"/>
      <c r="J78" s="119"/>
      <c r="K78" s="179"/>
      <c r="L78" s="120"/>
      <c r="M78" s="124"/>
      <c r="N78" s="98"/>
    </row>
    <row r="79" spans="1:17" x14ac:dyDescent="0.25">
      <c r="B79" s="121"/>
      <c r="C79" s="125"/>
      <c r="E79" s="34"/>
      <c r="M79" s="124"/>
      <c r="N79" s="98"/>
    </row>
    <row r="80" spans="1:17" x14ac:dyDescent="0.25">
      <c r="B80" s="121"/>
      <c r="C80" s="125"/>
      <c r="E80" s="34"/>
      <c r="F80" s="126"/>
      <c r="L80" s="127"/>
      <c r="M80" s="1"/>
    </row>
    <row r="81" spans="2:13" x14ac:dyDescent="0.25">
      <c r="B81" s="121"/>
      <c r="C81" s="125"/>
      <c r="E81" s="34"/>
      <c r="M81" s="1"/>
    </row>
    <row r="82" spans="2:13" x14ac:dyDescent="0.25">
      <c r="B82" s="121"/>
      <c r="C82" s="125"/>
      <c r="D82" s="128"/>
      <c r="E82" s="34"/>
      <c r="F82" s="129"/>
      <c r="M82" s="1"/>
    </row>
    <row r="83" spans="2:13" x14ac:dyDescent="0.25">
      <c r="D83" s="128"/>
      <c r="E83" s="130"/>
      <c r="F83" s="34"/>
      <c r="M83" s="1"/>
    </row>
    <row r="84" spans="2:13" x14ac:dyDescent="0.25">
      <c r="D84" s="128"/>
      <c r="E84" s="130"/>
      <c r="F84" s="34"/>
      <c r="M84" s="1"/>
    </row>
    <row r="85" spans="2:13" x14ac:dyDescent="0.25">
      <c r="D85" s="128"/>
      <c r="E85" s="130"/>
      <c r="F85" s="34"/>
      <c r="M85" s="1"/>
    </row>
    <row r="86" spans="2:13" x14ac:dyDescent="0.25">
      <c r="D86" s="128"/>
      <c r="E86" s="130"/>
      <c r="F86" s="34"/>
      <c r="M86" s="1"/>
    </row>
    <row r="87" spans="2:13" x14ac:dyDescent="0.25">
      <c r="D87" s="128"/>
      <c r="E87" s="130"/>
      <c r="F87" s="34"/>
      <c r="M87" s="1"/>
    </row>
    <row r="88" spans="2:13" x14ac:dyDescent="0.25">
      <c r="D88" s="128"/>
      <c r="E88" s="130"/>
      <c r="F88" s="34"/>
      <c r="M88" s="1"/>
    </row>
    <row r="89" spans="2:13" x14ac:dyDescent="0.25">
      <c r="D89" s="128"/>
      <c r="E89" s="130"/>
      <c r="F89" s="34"/>
      <c r="M89" s="1"/>
    </row>
    <row r="90" spans="2:13" x14ac:dyDescent="0.25">
      <c r="D90" s="128"/>
      <c r="E90" s="130"/>
      <c r="F90" s="34"/>
      <c r="M90" s="1"/>
    </row>
    <row r="91" spans="2:13" x14ac:dyDescent="0.25">
      <c r="D91" s="128"/>
      <c r="E91" s="130"/>
      <c r="F91" s="34"/>
      <c r="M91" s="1"/>
    </row>
    <row r="92" spans="2:13" x14ac:dyDescent="0.25">
      <c r="D92" s="128"/>
      <c r="E92" s="130"/>
      <c r="F92" s="34"/>
      <c r="M92" s="1"/>
    </row>
    <row r="93" spans="2:13" x14ac:dyDescent="0.25">
      <c r="D93" s="128"/>
      <c r="E93" s="130"/>
      <c r="F93" s="34"/>
      <c r="M93" s="1"/>
    </row>
    <row r="94" spans="2:13" x14ac:dyDescent="0.25">
      <c r="D94" s="128"/>
      <c r="E94" s="130"/>
      <c r="F94" s="34"/>
    </row>
    <row r="95" spans="2:13" x14ac:dyDescent="0.25">
      <c r="D95" s="128"/>
      <c r="E95" s="554"/>
      <c r="F95" s="129"/>
    </row>
    <row r="96" spans="2:13" x14ac:dyDescent="0.25">
      <c r="D96" s="128"/>
      <c r="E96" s="554"/>
      <c r="F96" s="129"/>
    </row>
    <row r="97" spans="4:6" x14ac:dyDescent="0.25">
      <c r="D97" s="128"/>
      <c r="E97" s="554"/>
      <c r="F97" s="129"/>
    </row>
  </sheetData>
  <sortState ref="B35:D44">
    <sortCondition ref="B35:B44"/>
  </sortState>
  <mergeCells count="22">
    <mergeCell ref="M45:N45"/>
    <mergeCell ref="P3:P4"/>
    <mergeCell ref="B1:B2"/>
    <mergeCell ref="C1:M1"/>
    <mergeCell ref="B3:C3"/>
    <mergeCell ref="H3:I3"/>
    <mergeCell ref="R3:R4"/>
    <mergeCell ref="E4:F4"/>
    <mergeCell ref="H4:I4"/>
    <mergeCell ref="D75:E75"/>
    <mergeCell ref="I75:J75"/>
    <mergeCell ref="K75:L75"/>
    <mergeCell ref="M41:M42"/>
    <mergeCell ref="N41:N42"/>
    <mergeCell ref="D70:E70"/>
    <mergeCell ref="D71:E71"/>
    <mergeCell ref="I71:J71"/>
    <mergeCell ref="K71:L71"/>
    <mergeCell ref="K73:L73"/>
    <mergeCell ref="H69:I69"/>
    <mergeCell ref="K69:L69"/>
    <mergeCell ref="Q41:Q42"/>
  </mergeCells>
  <pageMargins left="0.23622047244094491" right="0.19685039370078741" top="0.31496062992125984" bottom="0.19685039370078741" header="0.31496062992125984" footer="0.31496062992125984"/>
  <pageSetup paperSize="5" scale="70" orientation="landscape" horizontalDpi="0" verticalDpi="0" r:id="rId1"/>
  <drawing r:id="rId2"/>
  <legacy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99"/>
  </sheetPr>
  <dimension ref="A1:M123"/>
  <sheetViews>
    <sheetView topLeftCell="A16" workbookViewId="0">
      <selection activeCell="H33" sqref="H33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8.42578125" customWidth="1"/>
    <col min="8" max="8" width="14.5703125" style="98" customWidth="1"/>
    <col min="9" max="9" width="13.28515625" style="116" customWidth="1"/>
    <col min="10" max="10" width="18.85546875" style="4" bestFit="1" customWidth="1"/>
    <col min="11" max="11" width="12.42578125" style="257" bestFit="1" customWidth="1"/>
    <col min="12" max="12" width="15.140625" style="4" bestFit="1" customWidth="1"/>
    <col min="13" max="13" width="19.5703125" style="3" bestFit="1" customWidth="1"/>
  </cols>
  <sheetData>
    <row r="1" spans="1:13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H1" s="301" t="s">
        <v>318</v>
      </c>
      <c r="I1" s="302"/>
      <c r="J1" s="303"/>
      <c r="K1" s="367"/>
      <c r="L1" s="303"/>
      <c r="M1" s="377" t="s">
        <v>314</v>
      </c>
    </row>
    <row r="2" spans="1:13" ht="21.75" customHeight="1" thickTop="1" thickBot="1" x14ac:dyDescent="0.35">
      <c r="A2" s="545" t="s">
        <v>19</v>
      </c>
      <c r="B2" s="546" t="s">
        <v>20</v>
      </c>
      <c r="C2" s="547" t="s">
        <v>21</v>
      </c>
      <c r="D2" s="548" t="s">
        <v>22</v>
      </c>
      <c r="E2" s="549" t="s">
        <v>23</v>
      </c>
      <c r="F2" s="289" t="s">
        <v>210</v>
      </c>
      <c r="H2" s="297" t="s">
        <v>19</v>
      </c>
      <c r="I2" s="308" t="s">
        <v>265</v>
      </c>
      <c r="J2" s="299" t="s">
        <v>21</v>
      </c>
      <c r="K2" s="368" t="s">
        <v>22</v>
      </c>
      <c r="L2" s="299" t="s">
        <v>23</v>
      </c>
      <c r="M2" s="309" t="s">
        <v>210</v>
      </c>
    </row>
    <row r="3" spans="1:13" ht="24" customHeight="1" x14ac:dyDescent="0.3">
      <c r="A3" s="454">
        <v>44746</v>
      </c>
      <c r="B3" s="246" t="s">
        <v>1068</v>
      </c>
      <c r="C3" s="111">
        <v>67911.399999999994</v>
      </c>
      <c r="D3" s="737">
        <v>44799</v>
      </c>
      <c r="E3" s="738">
        <v>67911.399999999994</v>
      </c>
      <c r="F3" s="410">
        <f>C3-E3</f>
        <v>0</v>
      </c>
      <c r="H3" s="704" t="s">
        <v>1117</v>
      </c>
      <c r="I3" s="705">
        <v>9701</v>
      </c>
      <c r="J3" s="706">
        <v>18214.599999999999</v>
      </c>
      <c r="K3" s="721">
        <v>44766</v>
      </c>
      <c r="L3" s="723">
        <v>18214.599999999999</v>
      </c>
      <c r="M3" s="183">
        <f>J3-L3</f>
        <v>0</v>
      </c>
    </row>
    <row r="4" spans="1:13" ht="18.75" x14ac:dyDescent="0.3">
      <c r="A4" s="454">
        <v>44746</v>
      </c>
      <c r="B4" s="246" t="s">
        <v>1069</v>
      </c>
      <c r="C4" s="111">
        <v>73363.8</v>
      </c>
      <c r="D4" s="737">
        <v>44799</v>
      </c>
      <c r="E4" s="738">
        <v>73363.8</v>
      </c>
      <c r="F4" s="544">
        <f t="shared" ref="F4:F65" si="0">C4-E4</f>
        <v>0</v>
      </c>
      <c r="G4" s="138"/>
      <c r="H4" s="704" t="s">
        <v>1118</v>
      </c>
      <c r="I4" s="705">
        <v>9713</v>
      </c>
      <c r="J4" s="706">
        <v>2634.6</v>
      </c>
      <c r="K4" s="721">
        <v>44766</v>
      </c>
      <c r="L4" s="723">
        <v>2634.6</v>
      </c>
      <c r="M4" s="137">
        <f>M3+J4-L4</f>
        <v>0</v>
      </c>
    </row>
    <row r="5" spans="1:13" ht="17.25" x14ac:dyDescent="0.3">
      <c r="A5" s="454">
        <v>44747</v>
      </c>
      <c r="B5" s="246" t="s">
        <v>1070</v>
      </c>
      <c r="C5" s="111">
        <v>31164.35</v>
      </c>
      <c r="D5" s="737">
        <v>44799</v>
      </c>
      <c r="E5" s="738">
        <v>31164.35</v>
      </c>
      <c r="F5" s="544">
        <f t="shared" si="0"/>
        <v>0</v>
      </c>
      <c r="H5" s="704" t="s">
        <v>1119</v>
      </c>
      <c r="I5" s="705">
        <v>9719</v>
      </c>
      <c r="J5" s="706">
        <v>370</v>
      </c>
      <c r="K5" s="721">
        <v>44766</v>
      </c>
      <c r="L5" s="723">
        <v>370</v>
      </c>
      <c r="M5" s="137">
        <f t="shared" ref="M5:M65" si="1">M4+J5-L5</f>
        <v>0</v>
      </c>
    </row>
    <row r="6" spans="1:13" ht="17.25" x14ac:dyDescent="0.3">
      <c r="A6" s="454">
        <v>44748</v>
      </c>
      <c r="B6" s="246" t="s">
        <v>1071</v>
      </c>
      <c r="C6" s="111">
        <v>58616</v>
      </c>
      <c r="D6" s="737">
        <v>44799</v>
      </c>
      <c r="E6" s="738">
        <v>58616</v>
      </c>
      <c r="F6" s="544">
        <f t="shared" si="0"/>
        <v>0</v>
      </c>
      <c r="H6" s="704" t="s">
        <v>1120</v>
      </c>
      <c r="I6" s="705">
        <v>9736</v>
      </c>
      <c r="J6" s="706">
        <v>10040</v>
      </c>
      <c r="K6" s="721">
        <v>44766</v>
      </c>
      <c r="L6" s="723">
        <v>10040</v>
      </c>
      <c r="M6" s="137">
        <f t="shared" si="1"/>
        <v>0</v>
      </c>
    </row>
    <row r="7" spans="1:13" ht="17.25" x14ac:dyDescent="0.3">
      <c r="A7" s="454">
        <v>44749</v>
      </c>
      <c r="B7" s="246" t="s">
        <v>1072</v>
      </c>
      <c r="C7" s="111">
        <v>106705.96</v>
      </c>
      <c r="D7" s="737">
        <v>44799</v>
      </c>
      <c r="E7" s="738">
        <v>106705.96</v>
      </c>
      <c r="F7" s="544">
        <f t="shared" si="0"/>
        <v>0</v>
      </c>
      <c r="H7" s="704" t="s">
        <v>1121</v>
      </c>
      <c r="I7" s="705">
        <v>9745</v>
      </c>
      <c r="J7" s="706">
        <v>4921.2</v>
      </c>
      <c r="K7" s="721">
        <v>44766</v>
      </c>
      <c r="L7" s="723">
        <v>4921.2</v>
      </c>
      <c r="M7" s="137">
        <f t="shared" si="1"/>
        <v>0</v>
      </c>
    </row>
    <row r="8" spans="1:13" ht="17.25" x14ac:dyDescent="0.3">
      <c r="A8" s="454">
        <v>44750</v>
      </c>
      <c r="B8" s="246" t="s">
        <v>1073</v>
      </c>
      <c r="C8" s="111">
        <v>68357.89</v>
      </c>
      <c r="D8" s="737">
        <v>44799</v>
      </c>
      <c r="E8" s="738">
        <v>68357.89</v>
      </c>
      <c r="F8" s="544">
        <f t="shared" si="0"/>
        <v>0</v>
      </c>
      <c r="H8" s="704" t="s">
        <v>1122</v>
      </c>
      <c r="I8" s="705">
        <v>9756</v>
      </c>
      <c r="J8" s="706">
        <v>6859</v>
      </c>
      <c r="K8" s="721">
        <v>44766</v>
      </c>
      <c r="L8" s="723">
        <v>6859</v>
      </c>
      <c r="M8" s="137">
        <f t="shared" si="1"/>
        <v>0</v>
      </c>
    </row>
    <row r="9" spans="1:13" ht="17.25" x14ac:dyDescent="0.3">
      <c r="A9" s="454">
        <v>44751</v>
      </c>
      <c r="B9" s="246" t="s">
        <v>1074</v>
      </c>
      <c r="C9" s="111">
        <v>39927.050000000003</v>
      </c>
      <c r="D9" s="737">
        <v>44799</v>
      </c>
      <c r="E9" s="738">
        <v>39927.050000000003</v>
      </c>
      <c r="F9" s="544">
        <f t="shared" si="0"/>
        <v>0</v>
      </c>
      <c r="H9" s="704" t="s">
        <v>1122</v>
      </c>
      <c r="I9" s="705">
        <v>9764</v>
      </c>
      <c r="J9" s="706">
        <v>9300</v>
      </c>
      <c r="K9" s="721">
        <v>44766</v>
      </c>
      <c r="L9" s="723">
        <v>9300</v>
      </c>
      <c r="M9" s="137">
        <f t="shared" si="1"/>
        <v>0</v>
      </c>
    </row>
    <row r="10" spans="1:13" ht="18.75" x14ac:dyDescent="0.3">
      <c r="A10" s="454">
        <v>44753</v>
      </c>
      <c r="B10" s="246" t="s">
        <v>1075</v>
      </c>
      <c r="C10" s="111">
        <v>121513</v>
      </c>
      <c r="D10" s="737">
        <v>44799</v>
      </c>
      <c r="E10" s="738">
        <v>121513</v>
      </c>
      <c r="F10" s="544">
        <f t="shared" si="0"/>
        <v>0</v>
      </c>
      <c r="G10" s="138"/>
      <c r="H10" s="704" t="s">
        <v>1123</v>
      </c>
      <c r="I10" s="705">
        <v>9765</v>
      </c>
      <c r="J10" s="706">
        <v>0</v>
      </c>
      <c r="K10" s="721">
        <v>44766</v>
      </c>
      <c r="L10" s="723">
        <v>0</v>
      </c>
      <c r="M10" s="137">
        <f t="shared" si="1"/>
        <v>0</v>
      </c>
    </row>
    <row r="11" spans="1:13" ht="17.25" x14ac:dyDescent="0.3">
      <c r="A11" s="454">
        <v>44754</v>
      </c>
      <c r="B11" s="246" t="s">
        <v>1076</v>
      </c>
      <c r="C11" s="111">
        <v>60297.8</v>
      </c>
      <c r="D11" s="737">
        <v>44799</v>
      </c>
      <c r="E11" s="738">
        <v>60297.8</v>
      </c>
      <c r="F11" s="544">
        <f t="shared" si="0"/>
        <v>0</v>
      </c>
      <c r="H11" s="704" t="s">
        <v>1123</v>
      </c>
      <c r="I11" s="705">
        <v>9767</v>
      </c>
      <c r="J11" s="706">
        <v>20290</v>
      </c>
      <c r="K11" s="721">
        <v>44766</v>
      </c>
      <c r="L11" s="723">
        <v>20290</v>
      </c>
      <c r="M11" s="137">
        <f t="shared" si="1"/>
        <v>0</v>
      </c>
    </row>
    <row r="12" spans="1:13" ht="17.25" x14ac:dyDescent="0.3">
      <c r="A12" s="454">
        <v>44755</v>
      </c>
      <c r="B12" s="246" t="s">
        <v>1077</v>
      </c>
      <c r="C12" s="111">
        <v>105453.7</v>
      </c>
      <c r="D12" s="737">
        <v>44799</v>
      </c>
      <c r="E12" s="738">
        <v>105453.7</v>
      </c>
      <c r="F12" s="544">
        <f t="shared" si="0"/>
        <v>0</v>
      </c>
      <c r="H12" s="704" t="s">
        <v>1124</v>
      </c>
      <c r="I12" s="705">
        <v>9771</v>
      </c>
      <c r="J12" s="706">
        <v>300</v>
      </c>
      <c r="K12" s="721">
        <v>44766</v>
      </c>
      <c r="L12" s="723">
        <v>300</v>
      </c>
      <c r="M12" s="137">
        <f t="shared" si="1"/>
        <v>0</v>
      </c>
    </row>
    <row r="13" spans="1:13" ht="17.25" x14ac:dyDescent="0.3">
      <c r="A13" s="454">
        <v>44756</v>
      </c>
      <c r="B13" s="246" t="s">
        <v>1078</v>
      </c>
      <c r="C13" s="111">
        <v>65012.85</v>
      </c>
      <c r="D13" s="737">
        <v>44799</v>
      </c>
      <c r="E13" s="738">
        <v>65012.85</v>
      </c>
      <c r="F13" s="544">
        <f t="shared" si="0"/>
        <v>0</v>
      </c>
      <c r="H13" s="704" t="s">
        <v>1125</v>
      </c>
      <c r="I13" s="705">
        <v>9780</v>
      </c>
      <c r="J13" s="706">
        <v>12180</v>
      </c>
      <c r="K13" s="721">
        <v>44766</v>
      </c>
      <c r="L13" s="723">
        <v>12180</v>
      </c>
      <c r="M13" s="137">
        <f t="shared" si="1"/>
        <v>0</v>
      </c>
    </row>
    <row r="14" spans="1:13" ht="17.25" x14ac:dyDescent="0.3">
      <c r="A14" s="454">
        <v>44757</v>
      </c>
      <c r="B14" s="246" t="s">
        <v>1079</v>
      </c>
      <c r="C14" s="111">
        <v>83843.7</v>
      </c>
      <c r="D14" s="737">
        <v>44799</v>
      </c>
      <c r="E14" s="738">
        <v>83843.7</v>
      </c>
      <c r="F14" s="544">
        <f t="shared" si="0"/>
        <v>0</v>
      </c>
      <c r="H14" s="704" t="s">
        <v>1126</v>
      </c>
      <c r="I14" s="705">
        <v>9807</v>
      </c>
      <c r="J14" s="706">
        <v>5600.2</v>
      </c>
      <c r="K14" s="721">
        <v>44766</v>
      </c>
      <c r="L14" s="723">
        <v>5600.2</v>
      </c>
      <c r="M14" s="137">
        <f t="shared" si="1"/>
        <v>0</v>
      </c>
    </row>
    <row r="15" spans="1:13" ht="17.25" x14ac:dyDescent="0.3">
      <c r="A15" s="454">
        <v>44757</v>
      </c>
      <c r="B15" s="246" t="s">
        <v>1080</v>
      </c>
      <c r="C15" s="111">
        <v>11248</v>
      </c>
      <c r="D15" s="737">
        <v>44799</v>
      </c>
      <c r="E15" s="738">
        <v>11248</v>
      </c>
      <c r="F15" s="544">
        <f t="shared" si="0"/>
        <v>0</v>
      </c>
      <c r="H15" s="704" t="s">
        <v>1126</v>
      </c>
      <c r="I15" s="705">
        <v>9811</v>
      </c>
      <c r="J15" s="706">
        <v>1830</v>
      </c>
      <c r="K15" s="721">
        <v>44766</v>
      </c>
      <c r="L15" s="723">
        <v>1830</v>
      </c>
      <c r="M15" s="137">
        <f t="shared" si="1"/>
        <v>0</v>
      </c>
    </row>
    <row r="16" spans="1:13" ht="17.25" x14ac:dyDescent="0.3">
      <c r="A16" s="454">
        <v>44758</v>
      </c>
      <c r="B16" s="246" t="s">
        <v>1081</v>
      </c>
      <c r="C16" s="111">
        <v>30498.9</v>
      </c>
      <c r="D16" s="737">
        <v>44799</v>
      </c>
      <c r="E16" s="738">
        <v>30498.9</v>
      </c>
      <c r="F16" s="544">
        <f t="shared" si="0"/>
        <v>0</v>
      </c>
      <c r="H16" s="704" t="s">
        <v>1127</v>
      </c>
      <c r="I16" s="705">
        <v>9816</v>
      </c>
      <c r="J16" s="706">
        <v>500</v>
      </c>
      <c r="K16" s="721">
        <v>44766</v>
      </c>
      <c r="L16" s="723">
        <v>500</v>
      </c>
      <c r="M16" s="137">
        <f t="shared" si="1"/>
        <v>0</v>
      </c>
    </row>
    <row r="17" spans="1:13" ht="17.25" x14ac:dyDescent="0.3">
      <c r="A17" s="454">
        <v>44758</v>
      </c>
      <c r="B17" s="246" t="s">
        <v>1082</v>
      </c>
      <c r="C17" s="111">
        <v>4920</v>
      </c>
      <c r="D17" s="737">
        <v>44799</v>
      </c>
      <c r="E17" s="738">
        <v>4920</v>
      </c>
      <c r="F17" s="544">
        <f t="shared" si="0"/>
        <v>0</v>
      </c>
      <c r="H17" s="704" t="s">
        <v>1128</v>
      </c>
      <c r="I17" s="705">
        <v>9819</v>
      </c>
      <c r="J17" s="706">
        <v>300</v>
      </c>
      <c r="K17" s="721">
        <v>44766</v>
      </c>
      <c r="L17" s="723">
        <v>300</v>
      </c>
      <c r="M17" s="137">
        <f t="shared" si="1"/>
        <v>0</v>
      </c>
    </row>
    <row r="18" spans="1:13" ht="17.25" x14ac:dyDescent="0.3">
      <c r="A18" s="454">
        <v>44760</v>
      </c>
      <c r="B18" s="246" t="s">
        <v>1083</v>
      </c>
      <c r="C18" s="111">
        <v>97808.75</v>
      </c>
      <c r="D18" s="737">
        <v>44799</v>
      </c>
      <c r="E18" s="738">
        <v>97808.75</v>
      </c>
      <c r="F18" s="544">
        <f t="shared" si="0"/>
        <v>0</v>
      </c>
      <c r="H18" s="704" t="s">
        <v>1129</v>
      </c>
      <c r="I18" s="705">
        <v>9827</v>
      </c>
      <c r="J18" s="706">
        <v>10437.4</v>
      </c>
      <c r="K18" s="721">
        <v>44766</v>
      </c>
      <c r="L18" s="723">
        <v>10437.4</v>
      </c>
      <c r="M18" s="137">
        <f t="shared" si="1"/>
        <v>0</v>
      </c>
    </row>
    <row r="19" spans="1:13" ht="17.25" x14ac:dyDescent="0.3">
      <c r="A19" s="454">
        <v>44761</v>
      </c>
      <c r="B19" s="246" t="s">
        <v>1084</v>
      </c>
      <c r="C19" s="111">
        <v>70509.3</v>
      </c>
      <c r="D19" s="737">
        <v>44799</v>
      </c>
      <c r="E19" s="738">
        <v>70509.3</v>
      </c>
      <c r="F19" s="544">
        <f t="shared" si="0"/>
        <v>0</v>
      </c>
      <c r="H19" s="704" t="s">
        <v>1130</v>
      </c>
      <c r="I19" s="705">
        <v>9831</v>
      </c>
      <c r="J19" s="706">
        <v>4367.8999999999996</v>
      </c>
      <c r="K19" s="721">
        <v>44766</v>
      </c>
      <c r="L19" s="723">
        <v>4367.8999999999996</v>
      </c>
      <c r="M19" s="137">
        <f t="shared" si="1"/>
        <v>0</v>
      </c>
    </row>
    <row r="20" spans="1:13" ht="17.25" x14ac:dyDescent="0.3">
      <c r="A20" s="454">
        <v>44762</v>
      </c>
      <c r="B20" s="246" t="s">
        <v>1085</v>
      </c>
      <c r="C20" s="111">
        <v>72783.5</v>
      </c>
      <c r="D20" s="737">
        <v>44799</v>
      </c>
      <c r="E20" s="738">
        <v>72783.5</v>
      </c>
      <c r="F20" s="544">
        <f t="shared" si="0"/>
        <v>0</v>
      </c>
      <c r="H20" s="704" t="s">
        <v>1131</v>
      </c>
      <c r="I20" s="705">
        <v>9840</v>
      </c>
      <c r="J20" s="706">
        <v>300</v>
      </c>
      <c r="K20" s="721">
        <v>44766</v>
      </c>
      <c r="L20" s="723">
        <v>300</v>
      </c>
      <c r="M20" s="137">
        <f t="shared" si="1"/>
        <v>0</v>
      </c>
    </row>
    <row r="21" spans="1:13" ht="17.25" x14ac:dyDescent="0.3">
      <c r="A21" s="454">
        <v>44763</v>
      </c>
      <c r="B21" s="246" t="s">
        <v>1086</v>
      </c>
      <c r="C21" s="111">
        <v>40894.36</v>
      </c>
      <c r="D21" s="737">
        <v>44799</v>
      </c>
      <c r="E21" s="738">
        <v>40894.36</v>
      </c>
      <c r="F21" s="544">
        <f t="shared" si="0"/>
        <v>0</v>
      </c>
      <c r="H21" s="704" t="s">
        <v>1132</v>
      </c>
      <c r="I21" s="705">
        <v>9857</v>
      </c>
      <c r="J21" s="706">
        <v>8199.4</v>
      </c>
      <c r="K21" s="721">
        <v>44766</v>
      </c>
      <c r="L21" s="723">
        <v>8199.4</v>
      </c>
      <c r="M21" s="137">
        <f t="shared" si="1"/>
        <v>0</v>
      </c>
    </row>
    <row r="22" spans="1:13" ht="18.75" x14ac:dyDescent="0.3">
      <c r="A22" s="454">
        <v>44764</v>
      </c>
      <c r="B22" s="246" t="s">
        <v>1087</v>
      </c>
      <c r="C22" s="111">
        <v>69612.42</v>
      </c>
      <c r="D22" s="737">
        <v>44799</v>
      </c>
      <c r="E22" s="738">
        <v>69612.42</v>
      </c>
      <c r="F22" s="544">
        <f t="shared" si="0"/>
        <v>0</v>
      </c>
      <c r="G22" s="644"/>
      <c r="H22" s="704" t="s">
        <v>1133</v>
      </c>
      <c r="I22" s="705">
        <v>9867</v>
      </c>
      <c r="J22" s="706">
        <v>1520.4</v>
      </c>
      <c r="K22" s="721">
        <v>44766</v>
      </c>
      <c r="L22" s="723">
        <v>1520.4</v>
      </c>
      <c r="M22" s="137">
        <f t="shared" si="1"/>
        <v>0</v>
      </c>
    </row>
    <row r="23" spans="1:13" ht="17.25" x14ac:dyDescent="0.3">
      <c r="A23" s="454">
        <v>44765</v>
      </c>
      <c r="B23" s="246" t="s">
        <v>1088</v>
      </c>
      <c r="C23" s="111">
        <v>111046</v>
      </c>
      <c r="D23" s="737">
        <v>44799</v>
      </c>
      <c r="E23" s="738">
        <v>111046</v>
      </c>
      <c r="F23" s="544">
        <f t="shared" si="0"/>
        <v>0</v>
      </c>
      <c r="G23" s="2"/>
      <c r="H23" s="704" t="s">
        <v>1134</v>
      </c>
      <c r="I23" s="705">
        <v>9874</v>
      </c>
      <c r="J23" s="706">
        <v>300</v>
      </c>
      <c r="K23" s="412"/>
      <c r="L23" s="111"/>
      <c r="M23" s="137">
        <f t="shared" si="1"/>
        <v>300</v>
      </c>
    </row>
    <row r="24" spans="1:13" ht="21" customHeight="1" x14ac:dyDescent="0.3">
      <c r="A24" s="725">
        <v>44765</v>
      </c>
      <c r="B24" s="726" t="s">
        <v>1089</v>
      </c>
      <c r="C24" s="583">
        <v>3984</v>
      </c>
      <c r="D24" s="737">
        <v>44799</v>
      </c>
      <c r="E24" s="738">
        <v>3984</v>
      </c>
      <c r="F24" s="205">
        <f t="shared" si="0"/>
        <v>0</v>
      </c>
      <c r="G24" s="2"/>
      <c r="H24" s="704" t="s">
        <v>1135</v>
      </c>
      <c r="I24" s="705">
        <v>9881</v>
      </c>
      <c r="J24" s="706">
        <v>4003.3</v>
      </c>
      <c r="K24" s="412"/>
      <c r="L24" s="111"/>
      <c r="M24" s="137">
        <f t="shared" si="1"/>
        <v>4303.3</v>
      </c>
    </row>
    <row r="25" spans="1:13" ht="17.25" x14ac:dyDescent="0.3">
      <c r="A25" s="454">
        <v>44767</v>
      </c>
      <c r="B25" s="246" t="s">
        <v>1090</v>
      </c>
      <c r="C25" s="111">
        <v>26094.639999999999</v>
      </c>
      <c r="D25" s="652">
        <v>44837</v>
      </c>
      <c r="E25" s="653">
        <v>26094.639999999999</v>
      </c>
      <c r="F25" s="544">
        <f t="shared" si="0"/>
        <v>0</v>
      </c>
      <c r="G25" s="645"/>
      <c r="H25" s="704" t="s">
        <v>1136</v>
      </c>
      <c r="I25" s="705">
        <v>9891</v>
      </c>
      <c r="J25" s="706">
        <v>300</v>
      </c>
      <c r="K25" s="412"/>
      <c r="L25" s="111"/>
      <c r="M25" s="137">
        <f t="shared" si="1"/>
        <v>4603.3</v>
      </c>
    </row>
    <row r="26" spans="1:13" ht="17.25" x14ac:dyDescent="0.3">
      <c r="A26" s="454">
        <v>44767</v>
      </c>
      <c r="B26" s="580" t="s">
        <v>1091</v>
      </c>
      <c r="C26" s="111">
        <v>6990.16</v>
      </c>
      <c r="D26" s="652">
        <v>44837</v>
      </c>
      <c r="E26" s="653">
        <v>6990.16</v>
      </c>
      <c r="F26" s="544">
        <f t="shared" si="0"/>
        <v>0</v>
      </c>
      <c r="G26" s="645"/>
      <c r="H26" s="704" t="s">
        <v>1137</v>
      </c>
      <c r="I26" s="705">
        <v>9897</v>
      </c>
      <c r="J26" s="706">
        <v>880</v>
      </c>
      <c r="K26" s="412"/>
      <c r="L26" s="111"/>
      <c r="M26" s="137">
        <f t="shared" si="1"/>
        <v>5483.3</v>
      </c>
    </row>
    <row r="27" spans="1:13" ht="17.25" x14ac:dyDescent="0.3">
      <c r="A27" s="454">
        <v>44768</v>
      </c>
      <c r="B27" s="246" t="s">
        <v>1092</v>
      </c>
      <c r="C27" s="111">
        <v>97965.58</v>
      </c>
      <c r="D27" s="652">
        <v>44837</v>
      </c>
      <c r="E27" s="653">
        <v>97965.58</v>
      </c>
      <c r="F27" s="544">
        <f t="shared" si="0"/>
        <v>0</v>
      </c>
      <c r="G27" s="645"/>
      <c r="H27" s="704" t="s">
        <v>1137</v>
      </c>
      <c r="I27" s="705">
        <v>9898</v>
      </c>
      <c r="J27" s="706">
        <v>2989.5</v>
      </c>
      <c r="K27" s="412"/>
      <c r="L27" s="111"/>
      <c r="M27" s="137">
        <f t="shared" si="1"/>
        <v>8472.7999999999993</v>
      </c>
    </row>
    <row r="28" spans="1:13" ht="17.25" x14ac:dyDescent="0.3">
      <c r="A28" s="454">
        <v>44769</v>
      </c>
      <c r="B28" s="246" t="s">
        <v>1093</v>
      </c>
      <c r="C28" s="111">
        <v>10947.2</v>
      </c>
      <c r="D28" s="652">
        <v>44837</v>
      </c>
      <c r="E28" s="653">
        <v>10947.2</v>
      </c>
      <c r="F28" s="544">
        <f t="shared" si="0"/>
        <v>0</v>
      </c>
      <c r="G28" s="645"/>
      <c r="H28" s="704" t="s">
        <v>1137</v>
      </c>
      <c r="I28" s="705">
        <v>9902</v>
      </c>
      <c r="J28" s="706">
        <v>300</v>
      </c>
      <c r="K28" s="412"/>
      <c r="L28" s="111"/>
      <c r="M28" s="137">
        <f t="shared" si="1"/>
        <v>8772.7999999999993</v>
      </c>
    </row>
    <row r="29" spans="1:13" ht="17.25" x14ac:dyDescent="0.3">
      <c r="A29" s="454">
        <v>44770</v>
      </c>
      <c r="B29" s="246" t="s">
        <v>1094</v>
      </c>
      <c r="C29" s="111">
        <v>29495.85</v>
      </c>
      <c r="D29" s="652">
        <v>44837</v>
      </c>
      <c r="E29" s="653">
        <v>29495.85</v>
      </c>
      <c r="F29" s="544">
        <f t="shared" si="0"/>
        <v>0</v>
      </c>
      <c r="G29" s="645"/>
      <c r="H29" s="704" t="s">
        <v>1138</v>
      </c>
      <c r="I29" s="705">
        <v>9905</v>
      </c>
      <c r="J29" s="706">
        <v>300</v>
      </c>
      <c r="K29" s="412"/>
      <c r="L29" s="111"/>
      <c r="M29" s="137">
        <f t="shared" si="1"/>
        <v>9072.7999999999993</v>
      </c>
    </row>
    <row r="30" spans="1:13" ht="17.25" x14ac:dyDescent="0.3">
      <c r="A30" s="454">
        <v>44771</v>
      </c>
      <c r="B30" s="246" t="s">
        <v>1095</v>
      </c>
      <c r="C30" s="111">
        <v>9222</v>
      </c>
      <c r="D30" s="652">
        <v>44837</v>
      </c>
      <c r="E30" s="653">
        <v>9222</v>
      </c>
      <c r="F30" s="544">
        <f t="shared" si="0"/>
        <v>0</v>
      </c>
      <c r="G30" s="645"/>
      <c r="H30" s="704" t="s">
        <v>1139</v>
      </c>
      <c r="I30" s="705">
        <v>9919</v>
      </c>
      <c r="J30" s="706">
        <v>440</v>
      </c>
      <c r="K30" s="412"/>
      <c r="L30" s="111"/>
      <c r="M30" s="137">
        <f t="shared" si="1"/>
        <v>9512.7999999999993</v>
      </c>
    </row>
    <row r="31" spans="1:13" ht="17.25" x14ac:dyDescent="0.3">
      <c r="A31" s="454">
        <v>44771</v>
      </c>
      <c r="B31" s="246" t="s">
        <v>1096</v>
      </c>
      <c r="C31" s="111">
        <v>73071.5</v>
      </c>
      <c r="D31" s="652">
        <v>44837</v>
      </c>
      <c r="E31" s="653">
        <v>73071.5</v>
      </c>
      <c r="F31" s="544">
        <f t="shared" si="0"/>
        <v>0</v>
      </c>
      <c r="G31" s="2"/>
      <c r="H31" s="704" t="s">
        <v>1140</v>
      </c>
      <c r="I31" s="705">
        <v>9929</v>
      </c>
      <c r="J31" s="706">
        <v>500</v>
      </c>
      <c r="K31" s="412"/>
      <c r="L31" s="111"/>
      <c r="M31" s="137">
        <f t="shared" si="1"/>
        <v>10012.799999999999</v>
      </c>
    </row>
    <row r="32" spans="1:13" ht="17.25" x14ac:dyDescent="0.3">
      <c r="A32" s="454">
        <v>44772</v>
      </c>
      <c r="B32" s="246" t="s">
        <v>1097</v>
      </c>
      <c r="C32" s="111">
        <v>78511.600000000006</v>
      </c>
      <c r="D32" s="652">
        <v>44837</v>
      </c>
      <c r="E32" s="653">
        <v>78511.600000000006</v>
      </c>
      <c r="F32" s="544">
        <f t="shared" si="0"/>
        <v>0</v>
      </c>
      <c r="G32" s="2"/>
      <c r="H32" s="704"/>
      <c r="I32" s="705"/>
      <c r="J32" s="706"/>
      <c r="K32" s="412"/>
      <c r="L32" s="111"/>
      <c r="M32" s="137">
        <f t="shared" si="1"/>
        <v>10012.799999999999</v>
      </c>
    </row>
    <row r="33" spans="1:13" ht="17.25" x14ac:dyDescent="0.3">
      <c r="A33" s="454"/>
      <c r="B33" s="246"/>
      <c r="C33" s="111"/>
      <c r="D33" s="412"/>
      <c r="E33" s="111"/>
      <c r="F33" s="544">
        <f t="shared" si="0"/>
        <v>0</v>
      </c>
      <c r="H33" s="704"/>
      <c r="I33" s="705"/>
      <c r="J33" s="706"/>
      <c r="K33" s="412"/>
      <c r="L33" s="111"/>
      <c r="M33" s="137">
        <f t="shared" si="1"/>
        <v>10012.799999999999</v>
      </c>
    </row>
    <row r="34" spans="1:13" ht="17.25" x14ac:dyDescent="0.3">
      <c r="A34" s="454"/>
      <c r="B34" s="246"/>
      <c r="C34" s="111"/>
      <c r="D34" s="412"/>
      <c r="E34" s="111"/>
      <c r="F34" s="544">
        <f t="shared" si="0"/>
        <v>0</v>
      </c>
      <c r="H34" s="704"/>
      <c r="I34" s="705"/>
      <c r="J34" s="706"/>
      <c r="K34" s="412"/>
      <c r="L34" s="111"/>
      <c r="M34" s="137">
        <f t="shared" si="1"/>
        <v>10012.799999999999</v>
      </c>
    </row>
    <row r="35" spans="1:13" ht="17.25" x14ac:dyDescent="0.3">
      <c r="A35" s="454"/>
      <c r="B35" s="246"/>
      <c r="C35" s="111"/>
      <c r="D35" s="412"/>
      <c r="E35" s="111"/>
      <c r="F35" s="544">
        <f t="shared" si="0"/>
        <v>0</v>
      </c>
      <c r="H35" s="704"/>
      <c r="I35" s="705"/>
      <c r="J35" s="706"/>
      <c r="K35" s="412"/>
      <c r="L35" s="111"/>
      <c r="M35" s="137">
        <f t="shared" si="1"/>
        <v>10012.799999999999</v>
      </c>
    </row>
    <row r="36" spans="1:13" ht="17.25" x14ac:dyDescent="0.3">
      <c r="A36" s="454"/>
      <c r="B36" s="246"/>
      <c r="C36" s="111"/>
      <c r="D36" s="412"/>
      <c r="E36" s="111"/>
      <c r="F36" s="544">
        <f t="shared" si="0"/>
        <v>0</v>
      </c>
      <c r="H36" s="704"/>
      <c r="I36" s="705"/>
      <c r="J36" s="706"/>
      <c r="K36" s="412"/>
      <c r="L36" s="111"/>
      <c r="M36" s="137">
        <f t="shared" si="1"/>
        <v>10012.799999999999</v>
      </c>
    </row>
    <row r="37" spans="1:13" ht="17.25" x14ac:dyDescent="0.3">
      <c r="A37" s="454"/>
      <c r="B37" s="246"/>
      <c r="C37" s="111"/>
      <c r="D37" s="412"/>
      <c r="E37" s="111"/>
      <c r="F37" s="544">
        <f t="shared" si="0"/>
        <v>0</v>
      </c>
      <c r="H37" s="704"/>
      <c r="I37" s="705"/>
      <c r="J37" s="706"/>
      <c r="K37" s="412"/>
      <c r="L37" s="111"/>
      <c r="M37" s="137">
        <f t="shared" si="1"/>
        <v>10012.799999999999</v>
      </c>
    </row>
    <row r="38" spans="1:13" ht="17.25" x14ac:dyDescent="0.3">
      <c r="A38" s="454"/>
      <c r="B38" s="246"/>
      <c r="C38" s="111"/>
      <c r="D38" s="412"/>
      <c r="E38" s="111"/>
      <c r="F38" s="544">
        <f t="shared" si="0"/>
        <v>0</v>
      </c>
      <c r="H38" s="704"/>
      <c r="I38" s="705"/>
      <c r="J38" s="706"/>
      <c r="K38" s="412"/>
      <c r="L38" s="111"/>
      <c r="M38" s="137">
        <f t="shared" si="1"/>
        <v>10012.799999999999</v>
      </c>
    </row>
    <row r="39" spans="1:13" ht="15.75" x14ac:dyDescent="0.25">
      <c r="A39" s="667"/>
      <c r="B39" s="668"/>
      <c r="C39" s="111"/>
      <c r="D39" s="253"/>
      <c r="E39" s="69"/>
      <c r="F39" s="111">
        <f t="shared" si="0"/>
        <v>0</v>
      </c>
      <c r="H39" s="134"/>
      <c r="I39" s="139"/>
      <c r="J39" s="69"/>
      <c r="K39" s="253"/>
      <c r="L39" s="69"/>
      <c r="M39" s="137">
        <f t="shared" si="1"/>
        <v>10012.799999999999</v>
      </c>
    </row>
    <row r="40" spans="1:13" ht="15.75" x14ac:dyDescent="0.25">
      <c r="A40" s="667"/>
      <c r="B40" s="668"/>
      <c r="C40" s="111"/>
      <c r="D40" s="253"/>
      <c r="E40" s="69"/>
      <c r="F40" s="111">
        <f t="shared" si="0"/>
        <v>0</v>
      </c>
      <c r="H40" s="930" t="s">
        <v>594</v>
      </c>
      <c r="I40" s="931"/>
      <c r="J40" s="69"/>
      <c r="K40" s="253"/>
      <c r="L40" s="69"/>
      <c r="M40" s="137">
        <f t="shared" si="1"/>
        <v>10012.799999999999</v>
      </c>
    </row>
    <row r="41" spans="1:13" ht="15.75" x14ac:dyDescent="0.25">
      <c r="A41" s="667"/>
      <c r="B41" s="668"/>
      <c r="C41" s="111"/>
      <c r="D41" s="253"/>
      <c r="E41" s="69"/>
      <c r="F41" s="111">
        <f t="shared" si="0"/>
        <v>0</v>
      </c>
      <c r="H41" s="932"/>
      <c r="I41" s="933"/>
      <c r="J41" s="69"/>
      <c r="K41" s="253"/>
      <c r="L41" s="69"/>
      <c r="M41" s="137">
        <f t="shared" si="1"/>
        <v>10012.799999999999</v>
      </c>
    </row>
    <row r="42" spans="1:13" ht="15.75" x14ac:dyDescent="0.25">
      <c r="A42" s="667"/>
      <c r="B42" s="668"/>
      <c r="C42" s="111"/>
      <c r="D42" s="253"/>
      <c r="E42" s="69"/>
      <c r="F42" s="111">
        <f t="shared" si="0"/>
        <v>0</v>
      </c>
      <c r="H42" s="934"/>
      <c r="I42" s="935"/>
      <c r="J42" s="69"/>
      <c r="K42" s="253"/>
      <c r="L42" s="69"/>
      <c r="M42" s="137">
        <f t="shared" si="1"/>
        <v>10012.799999999999</v>
      </c>
    </row>
    <row r="43" spans="1:13" ht="15.75" x14ac:dyDescent="0.25">
      <c r="A43" s="667"/>
      <c r="B43" s="668"/>
      <c r="C43" s="111"/>
      <c r="D43" s="253"/>
      <c r="E43" s="69"/>
      <c r="F43" s="111">
        <f t="shared" si="0"/>
        <v>0</v>
      </c>
      <c r="H43" s="134"/>
      <c r="I43" s="139"/>
      <c r="J43" s="69"/>
      <c r="K43" s="253"/>
      <c r="L43" s="69"/>
      <c r="M43" s="137">
        <f t="shared" si="1"/>
        <v>10012.799999999999</v>
      </c>
    </row>
    <row r="44" spans="1:13" ht="15.75" x14ac:dyDescent="0.25">
      <c r="A44" s="669"/>
      <c r="B44" s="668"/>
      <c r="C44" s="111"/>
      <c r="D44" s="253"/>
      <c r="E44" s="69"/>
      <c r="F44" s="111">
        <f t="shared" si="0"/>
        <v>0</v>
      </c>
      <c r="H44" s="134"/>
      <c r="I44" s="139"/>
      <c r="J44" s="69"/>
      <c r="K44" s="253"/>
      <c r="L44" s="69"/>
      <c r="M44" s="137">
        <f t="shared" si="1"/>
        <v>10012.799999999999</v>
      </c>
    </row>
    <row r="45" spans="1:13" ht="15.75" x14ac:dyDescent="0.25">
      <c r="A45" s="669"/>
      <c r="B45" s="668"/>
      <c r="C45" s="111"/>
      <c r="D45" s="253"/>
      <c r="E45" s="69"/>
      <c r="F45" s="111">
        <f t="shared" si="0"/>
        <v>0</v>
      </c>
      <c r="H45" s="134"/>
      <c r="I45" s="139"/>
      <c r="J45" s="69"/>
      <c r="K45" s="253"/>
      <c r="L45" s="69"/>
      <c r="M45" s="137">
        <f t="shared" si="1"/>
        <v>10012.799999999999</v>
      </c>
    </row>
    <row r="46" spans="1:13" ht="15.75" x14ac:dyDescent="0.25">
      <c r="A46" s="666"/>
      <c r="B46" s="664"/>
      <c r="C46" s="69"/>
      <c r="D46" s="253"/>
      <c r="E46" s="69"/>
      <c r="F46" s="111">
        <f t="shared" si="0"/>
        <v>0</v>
      </c>
      <c r="H46" s="134"/>
      <c r="I46" s="139"/>
      <c r="J46" s="69"/>
      <c r="K46" s="253"/>
      <c r="L46" s="69"/>
      <c r="M46" s="137">
        <f t="shared" si="1"/>
        <v>10012.799999999999</v>
      </c>
    </row>
    <row r="47" spans="1:13" ht="15.75" x14ac:dyDescent="0.25">
      <c r="A47" s="134"/>
      <c r="B47" s="664"/>
      <c r="C47" s="69"/>
      <c r="D47" s="253"/>
      <c r="E47" s="69"/>
      <c r="F47" s="111">
        <f t="shared" si="0"/>
        <v>0</v>
      </c>
      <c r="H47" s="134"/>
      <c r="I47" s="139"/>
      <c r="J47" s="69"/>
      <c r="K47" s="253"/>
      <c r="L47" s="69"/>
      <c r="M47" s="137">
        <f t="shared" si="1"/>
        <v>10012.799999999999</v>
      </c>
    </row>
    <row r="48" spans="1:13" ht="15.75" x14ac:dyDescent="0.25">
      <c r="A48" s="134"/>
      <c r="B48" s="664"/>
      <c r="C48" s="69"/>
      <c r="D48" s="253"/>
      <c r="E48" s="69"/>
      <c r="F48" s="111">
        <f t="shared" si="0"/>
        <v>0</v>
      </c>
      <c r="H48" s="134"/>
      <c r="I48" s="139"/>
      <c r="J48" s="69"/>
      <c r="K48" s="253"/>
      <c r="L48" s="69"/>
      <c r="M48" s="137">
        <f t="shared" si="1"/>
        <v>10012.799999999999</v>
      </c>
    </row>
    <row r="49" spans="1:13" ht="15.75" hidden="1" x14ac:dyDescent="0.25">
      <c r="A49" s="134"/>
      <c r="B49" s="665"/>
      <c r="C49" s="69"/>
      <c r="D49" s="253"/>
      <c r="E49" s="69"/>
      <c r="F49" s="111">
        <f t="shared" si="0"/>
        <v>0</v>
      </c>
      <c r="H49" s="134"/>
      <c r="I49" s="139"/>
      <c r="J49" s="69"/>
      <c r="K49" s="253"/>
      <c r="L49" s="69"/>
      <c r="M49" s="137">
        <f t="shared" si="1"/>
        <v>10012.799999999999</v>
      </c>
    </row>
    <row r="50" spans="1:13" ht="15.75" hidden="1" x14ac:dyDescent="0.25">
      <c r="A50" s="134"/>
      <c r="B50" s="139"/>
      <c r="C50" s="69"/>
      <c r="D50" s="254"/>
      <c r="E50" s="69"/>
      <c r="F50" s="111">
        <f t="shared" si="0"/>
        <v>0</v>
      </c>
      <c r="H50" s="356"/>
      <c r="I50" s="357"/>
      <c r="J50" s="34"/>
      <c r="K50" s="118"/>
      <c r="L50" s="34"/>
      <c r="M50" s="137">
        <f t="shared" si="1"/>
        <v>10012.799999999999</v>
      </c>
    </row>
    <row r="51" spans="1:13" ht="15.75" hidden="1" x14ac:dyDescent="0.25">
      <c r="A51" s="134"/>
      <c r="B51" s="139"/>
      <c r="C51" s="69"/>
      <c r="D51" s="254"/>
      <c r="E51" s="69"/>
      <c r="F51" s="111">
        <f t="shared" si="0"/>
        <v>0</v>
      </c>
      <c r="H51" s="356"/>
      <c r="I51" s="357"/>
      <c r="J51" s="34"/>
      <c r="K51" s="118"/>
      <c r="L51" s="34"/>
      <c r="M51" s="137">
        <f t="shared" si="1"/>
        <v>10012.799999999999</v>
      </c>
    </row>
    <row r="52" spans="1:13" ht="15.75" hidden="1" x14ac:dyDescent="0.25">
      <c r="A52" s="134"/>
      <c r="B52" s="139"/>
      <c r="C52" s="69"/>
      <c r="D52" s="254"/>
      <c r="E52" s="69"/>
      <c r="F52" s="111">
        <f t="shared" si="0"/>
        <v>0</v>
      </c>
      <c r="H52" s="356"/>
      <c r="I52" s="357"/>
      <c r="J52" s="34"/>
      <c r="K52" s="118"/>
      <c r="L52" s="34"/>
      <c r="M52" s="137">
        <f t="shared" si="1"/>
        <v>10012.799999999999</v>
      </c>
    </row>
    <row r="53" spans="1:13" ht="15.75" hidden="1" x14ac:dyDescent="0.25">
      <c r="A53" s="134"/>
      <c r="B53" s="139"/>
      <c r="C53" s="69"/>
      <c r="D53" s="254"/>
      <c r="E53" s="69"/>
      <c r="F53" s="111">
        <f t="shared" si="0"/>
        <v>0</v>
      </c>
      <c r="H53" s="356"/>
      <c r="I53" s="357"/>
      <c r="J53" s="34"/>
      <c r="K53" s="118"/>
      <c r="L53" s="34"/>
      <c r="M53" s="137">
        <f t="shared" si="1"/>
        <v>10012.799999999999</v>
      </c>
    </row>
    <row r="54" spans="1:13" ht="15.75" hidden="1" x14ac:dyDescent="0.25">
      <c r="A54" s="134"/>
      <c r="B54" s="139"/>
      <c r="C54" s="69"/>
      <c r="D54" s="254"/>
      <c r="E54" s="69"/>
      <c r="F54" s="111">
        <f t="shared" si="0"/>
        <v>0</v>
      </c>
      <c r="H54" s="356"/>
      <c r="I54" s="357"/>
      <c r="J54" s="34"/>
      <c r="K54" s="118"/>
      <c r="L54" s="34"/>
      <c r="M54" s="137">
        <f t="shared" si="1"/>
        <v>10012.799999999999</v>
      </c>
    </row>
    <row r="55" spans="1:13" ht="15.75" hidden="1" x14ac:dyDescent="0.25">
      <c r="A55" s="356"/>
      <c r="B55" s="357"/>
      <c r="C55" s="34"/>
      <c r="D55" s="118"/>
      <c r="E55" s="34"/>
      <c r="F55" s="111">
        <f t="shared" si="0"/>
        <v>0</v>
      </c>
      <c r="H55" s="356"/>
      <c r="I55" s="357"/>
      <c r="J55" s="34"/>
      <c r="K55" s="118"/>
      <c r="L55" s="34"/>
      <c r="M55" s="137">
        <f t="shared" si="1"/>
        <v>10012.799999999999</v>
      </c>
    </row>
    <row r="56" spans="1:13" ht="15.75" hidden="1" x14ac:dyDescent="0.25">
      <c r="A56" s="134"/>
      <c r="B56" s="139"/>
      <c r="C56" s="69"/>
      <c r="D56" s="254"/>
      <c r="E56" s="69"/>
      <c r="F56" s="111">
        <f t="shared" si="0"/>
        <v>0</v>
      </c>
      <c r="H56" s="134"/>
      <c r="I56" s="139"/>
      <c r="J56" s="69"/>
      <c r="K56" s="254"/>
      <c r="L56" s="69"/>
      <c r="M56" s="137">
        <f t="shared" si="1"/>
        <v>10012.799999999999</v>
      </c>
    </row>
    <row r="57" spans="1:13" ht="15.75" hidden="1" x14ac:dyDescent="0.25">
      <c r="A57" s="134"/>
      <c r="B57" s="139"/>
      <c r="C57" s="69"/>
      <c r="D57" s="254"/>
      <c r="E57" s="69"/>
      <c r="F57" s="111">
        <f t="shared" si="0"/>
        <v>0</v>
      </c>
      <c r="H57" s="134"/>
      <c r="I57" s="139"/>
      <c r="J57" s="69"/>
      <c r="K57" s="254"/>
      <c r="L57" s="69"/>
      <c r="M57" s="137">
        <f t="shared" si="1"/>
        <v>10012.799999999999</v>
      </c>
    </row>
    <row r="58" spans="1:13" ht="15.75" hidden="1" x14ac:dyDescent="0.25">
      <c r="A58" s="134"/>
      <c r="B58" s="139"/>
      <c r="C58" s="69"/>
      <c r="D58" s="254"/>
      <c r="E58" s="69"/>
      <c r="F58" s="111">
        <f t="shared" si="0"/>
        <v>0</v>
      </c>
      <c r="H58" s="134"/>
      <c r="I58" s="139"/>
      <c r="J58" s="69"/>
      <c r="K58" s="254"/>
      <c r="L58" s="69"/>
      <c r="M58" s="137">
        <f t="shared" si="1"/>
        <v>10012.799999999999</v>
      </c>
    </row>
    <row r="59" spans="1:13" ht="15.75" hidden="1" x14ac:dyDescent="0.25">
      <c r="A59" s="134"/>
      <c r="B59" s="139"/>
      <c r="C59" s="69"/>
      <c r="D59" s="254"/>
      <c r="E59" s="69"/>
      <c r="F59" s="111">
        <f t="shared" si="0"/>
        <v>0</v>
      </c>
      <c r="H59" s="134"/>
      <c r="I59" s="139"/>
      <c r="J59" s="69"/>
      <c r="K59" s="254"/>
      <c r="L59" s="69"/>
      <c r="M59" s="137">
        <f t="shared" si="1"/>
        <v>10012.799999999999</v>
      </c>
    </row>
    <row r="60" spans="1:13" ht="15.75" hidden="1" x14ac:dyDescent="0.25">
      <c r="A60" s="134"/>
      <c r="B60" s="139"/>
      <c r="C60" s="69"/>
      <c r="D60" s="254"/>
      <c r="E60" s="69"/>
      <c r="F60" s="111">
        <f t="shared" si="0"/>
        <v>0</v>
      </c>
      <c r="H60" s="134"/>
      <c r="I60" s="139"/>
      <c r="J60" s="69"/>
      <c r="K60" s="254"/>
      <c r="L60" s="69"/>
      <c r="M60" s="137">
        <f t="shared" si="1"/>
        <v>10012.799999999999</v>
      </c>
    </row>
    <row r="61" spans="1:13" ht="15.75" hidden="1" x14ac:dyDescent="0.25">
      <c r="A61" s="134"/>
      <c r="B61" s="139"/>
      <c r="C61" s="69"/>
      <c r="D61" s="254"/>
      <c r="E61" s="69"/>
      <c r="F61" s="111">
        <f t="shared" si="0"/>
        <v>0</v>
      </c>
      <c r="H61" s="134"/>
      <c r="I61" s="139"/>
      <c r="J61" s="69"/>
      <c r="K61" s="254"/>
      <c r="L61" s="69"/>
      <c r="M61" s="137">
        <f t="shared" si="1"/>
        <v>10012.799999999999</v>
      </c>
    </row>
    <row r="62" spans="1:13" ht="15.75" hidden="1" x14ac:dyDescent="0.25">
      <c r="A62" s="134"/>
      <c r="B62" s="139"/>
      <c r="C62" s="69"/>
      <c r="D62" s="254"/>
      <c r="E62" s="69"/>
      <c r="F62" s="111">
        <f t="shared" si="0"/>
        <v>0</v>
      </c>
      <c r="H62" s="134"/>
      <c r="I62" s="139"/>
      <c r="J62" s="69"/>
      <c r="K62" s="254"/>
      <c r="L62" s="69"/>
      <c r="M62" s="137">
        <f t="shared" si="1"/>
        <v>10012.799999999999</v>
      </c>
    </row>
    <row r="63" spans="1:13" ht="15.75" hidden="1" x14ac:dyDescent="0.25">
      <c r="A63" s="134"/>
      <c r="B63" s="139"/>
      <c r="C63" s="69"/>
      <c r="D63" s="254"/>
      <c r="E63" s="69"/>
      <c r="F63" s="111">
        <f t="shared" si="0"/>
        <v>0</v>
      </c>
      <c r="H63" s="134"/>
      <c r="I63" s="139"/>
      <c r="J63" s="69"/>
      <c r="K63" s="254"/>
      <c r="L63" s="69"/>
      <c r="M63" s="137">
        <f t="shared" si="1"/>
        <v>10012.799999999999</v>
      </c>
    </row>
    <row r="64" spans="1:13" ht="15.75" hidden="1" x14ac:dyDescent="0.25">
      <c r="A64" s="134"/>
      <c r="B64" s="139"/>
      <c r="C64" s="69"/>
      <c r="D64" s="254"/>
      <c r="E64" s="69"/>
      <c r="F64" s="111">
        <f t="shared" si="0"/>
        <v>0</v>
      </c>
      <c r="H64" s="134"/>
      <c r="I64" s="139"/>
      <c r="J64" s="69"/>
      <c r="K64" s="254"/>
      <c r="L64" s="69"/>
      <c r="M64" s="137">
        <f t="shared" si="1"/>
        <v>10012.799999999999</v>
      </c>
    </row>
    <row r="65" spans="1:13" ht="15.75" hidden="1" x14ac:dyDescent="0.25">
      <c r="A65" s="134"/>
      <c r="B65" s="139"/>
      <c r="C65" s="69"/>
      <c r="D65" s="254"/>
      <c r="E65" s="69"/>
      <c r="F65" s="111">
        <f t="shared" si="0"/>
        <v>0</v>
      </c>
      <c r="H65" s="134"/>
      <c r="I65" s="139"/>
      <c r="J65" s="69"/>
      <c r="K65" s="254"/>
      <c r="L65" s="69"/>
      <c r="M65" s="137">
        <f t="shared" si="1"/>
        <v>10012.799999999999</v>
      </c>
    </row>
    <row r="66" spans="1:13" ht="16.5" thickBot="1" x14ac:dyDescent="0.3">
      <c r="A66" s="149"/>
      <c r="B66" s="210"/>
      <c r="C66" s="34">
        <v>0</v>
      </c>
      <c r="D66" s="255"/>
      <c r="E66" s="151"/>
      <c r="F66" s="137">
        <v>0</v>
      </c>
      <c r="H66" s="149"/>
      <c r="I66" s="150"/>
      <c r="J66" s="151">
        <v>0</v>
      </c>
      <c r="K66" s="255"/>
      <c r="L66" s="151"/>
      <c r="M66" s="137"/>
    </row>
    <row r="67" spans="1:13" ht="21.75" thickTop="1" x14ac:dyDescent="0.35">
      <c r="B67" s="440"/>
      <c r="C67" s="212">
        <f>SUM(C3:C66)</f>
        <v>1727771.26</v>
      </c>
      <c r="D67" s="407"/>
      <c r="E67" s="395">
        <f>SUM(E3:E66)</f>
        <v>1727771.26</v>
      </c>
      <c r="F67" s="153">
        <f>SUM(F3:F66)</f>
        <v>0</v>
      </c>
      <c r="H67" s="926" t="s">
        <v>594</v>
      </c>
      <c r="I67" s="927"/>
      <c r="J67" s="642">
        <f>SUM(J3:J66)</f>
        <v>128177.49999999997</v>
      </c>
      <c r="K67" s="713"/>
      <c r="L67" s="209">
        <f>SUM(L3:L66)</f>
        <v>118164.69999999997</v>
      </c>
      <c r="M67" s="153">
        <f>M66</f>
        <v>0</v>
      </c>
    </row>
    <row r="68" spans="1:13" ht="15.75" thickBot="1" x14ac:dyDescent="0.3">
      <c r="B68" s="441"/>
      <c r="C68" s="214"/>
      <c r="D68" s="256"/>
      <c r="E68" s="3"/>
      <c r="F68" s="888" t="s">
        <v>207</v>
      </c>
      <c r="H68" s="928"/>
      <c r="I68" s="929"/>
      <c r="J68" s="1"/>
      <c r="K68" s="256"/>
      <c r="L68" s="3"/>
      <c r="M68" s="1"/>
    </row>
    <row r="69" spans="1:13" x14ac:dyDescent="0.25">
      <c r="B69" s="163"/>
      <c r="C69" s="1"/>
      <c r="D69" s="256"/>
      <c r="E69" s="3"/>
      <c r="F69" s="889"/>
      <c r="J69" s="1"/>
      <c r="K69" s="256"/>
      <c r="L69" s="3"/>
      <c r="M69" s="1"/>
    </row>
    <row r="70" spans="1:13" ht="15.75" x14ac:dyDescent="0.25">
      <c r="A70" s="511"/>
      <c r="B70" s="512"/>
      <c r="C70" s="233"/>
      <c r="E70"/>
      <c r="I70" s="194"/>
      <c r="L70"/>
    </row>
    <row r="71" spans="1:13" ht="15.75" x14ac:dyDescent="0.25">
      <c r="A71" s="511"/>
      <c r="B71" s="512"/>
      <c r="C71" s="233"/>
      <c r="E71"/>
      <c r="I71" s="194"/>
      <c r="L71"/>
    </row>
    <row r="72" spans="1:13" ht="15" customHeight="1" x14ac:dyDescent="0.25">
      <c r="A72" s="98"/>
      <c r="B72" s="194"/>
      <c r="D72" s="456"/>
      <c r="E72"/>
      <c r="H72"/>
      <c r="I72"/>
      <c r="J72"/>
      <c r="L72"/>
      <c r="M72"/>
    </row>
    <row r="73" spans="1:13" ht="15.75" customHeight="1" x14ac:dyDescent="0.25">
      <c r="A73" s="98"/>
      <c r="B73" s="194"/>
      <c r="D73" s="456"/>
      <c r="E73"/>
      <c r="H73"/>
      <c r="I73"/>
      <c r="J73"/>
      <c r="L73"/>
      <c r="M73"/>
    </row>
    <row r="74" spans="1:13" x14ac:dyDescent="0.25">
      <c r="A74" s="98"/>
      <c r="B74" s="194"/>
      <c r="C74" s="129"/>
      <c r="D74" s="456"/>
      <c r="E74"/>
      <c r="H74"/>
      <c r="I74"/>
      <c r="J74"/>
      <c r="L74"/>
      <c r="M74"/>
    </row>
    <row r="75" spans="1:13" ht="15.75" x14ac:dyDescent="0.25">
      <c r="A75" s="98"/>
      <c r="B75" s="194"/>
      <c r="C75" s="233"/>
      <c r="D75" s="456"/>
      <c r="H75"/>
      <c r="I75"/>
      <c r="J75"/>
      <c r="L75"/>
      <c r="M75"/>
    </row>
    <row r="76" spans="1:13" ht="15.75" x14ac:dyDescent="0.25">
      <c r="A76" s="98"/>
      <c r="B76" s="194"/>
      <c r="C76" s="233"/>
      <c r="D76" s="456"/>
      <c r="H76"/>
      <c r="I76"/>
      <c r="J76"/>
      <c r="L76"/>
      <c r="M76"/>
    </row>
    <row r="77" spans="1:13" ht="15.75" x14ac:dyDescent="0.25">
      <c r="A77" s="98"/>
      <c r="B77" s="194"/>
      <c r="C77" s="233"/>
      <c r="D77" s="456"/>
      <c r="H77"/>
      <c r="I77"/>
      <c r="J77"/>
      <c r="L77"/>
      <c r="M77"/>
    </row>
    <row r="78" spans="1:13" ht="15.75" x14ac:dyDescent="0.25">
      <c r="A78" s="98"/>
      <c r="B78" s="194"/>
      <c r="C78" s="233"/>
      <c r="D78" s="456"/>
      <c r="H78"/>
      <c r="I78"/>
      <c r="J78"/>
      <c r="L78"/>
      <c r="M78"/>
    </row>
    <row r="79" spans="1:13" ht="15.75" x14ac:dyDescent="0.25">
      <c r="A79" s="98"/>
      <c r="B79" s="194"/>
      <c r="C79" s="233"/>
      <c r="D79" s="456"/>
      <c r="H79"/>
      <c r="I79"/>
      <c r="J79"/>
      <c r="L79"/>
      <c r="M79"/>
    </row>
    <row r="80" spans="1:13" ht="15.75" x14ac:dyDescent="0.25">
      <c r="A80" s="98"/>
      <c r="B80" s="194"/>
      <c r="C80" s="233"/>
      <c r="D80" s="456"/>
      <c r="H80"/>
      <c r="I80"/>
      <c r="J80"/>
      <c r="L80"/>
      <c r="M80"/>
    </row>
    <row r="81" spans="1:13" ht="15.75" x14ac:dyDescent="0.25">
      <c r="A81" s="98"/>
      <c r="B81" s="116"/>
      <c r="C81" s="233"/>
      <c r="D81" s="456"/>
      <c r="H81"/>
      <c r="I81"/>
      <c r="J81"/>
      <c r="L81"/>
      <c r="M81"/>
    </row>
    <row r="82" spans="1:13" ht="15.75" x14ac:dyDescent="0.25">
      <c r="A82" s="98"/>
      <c r="B82" s="116"/>
      <c r="C82" s="233"/>
      <c r="D82" s="456"/>
      <c r="H82"/>
      <c r="I82"/>
      <c r="J82"/>
      <c r="L82"/>
      <c r="M82"/>
    </row>
    <row r="83" spans="1:13" ht="15.75" x14ac:dyDescent="0.25">
      <c r="A83" s="98"/>
      <c r="B83" s="116"/>
      <c r="C83" s="233"/>
      <c r="D83" s="456"/>
      <c r="H83"/>
      <c r="I83"/>
      <c r="J83"/>
      <c r="L83"/>
      <c r="M83"/>
    </row>
    <row r="84" spans="1:13" ht="15.75" x14ac:dyDescent="0.25">
      <c r="A84" s="98"/>
      <c r="B84" s="116"/>
      <c r="C84" s="233"/>
      <c r="D84" s="456"/>
      <c r="H84"/>
      <c r="I84"/>
      <c r="J84"/>
      <c r="L84"/>
      <c r="M84"/>
    </row>
    <row r="85" spans="1:13" ht="15.75" x14ac:dyDescent="0.25">
      <c r="A85" s="98"/>
      <c r="B85" s="116"/>
      <c r="C85" s="233"/>
      <c r="D85" s="456"/>
      <c r="H85"/>
      <c r="I85"/>
      <c r="J85"/>
      <c r="L85"/>
      <c r="M85"/>
    </row>
    <row r="86" spans="1:13" ht="15.75" x14ac:dyDescent="0.25">
      <c r="A86" s="98"/>
      <c r="B86" s="116"/>
      <c r="C86" s="233"/>
      <c r="D86" s="456"/>
      <c r="H86"/>
      <c r="I86"/>
      <c r="J86"/>
      <c r="L86"/>
      <c r="M86"/>
    </row>
    <row r="87" spans="1:13" ht="15.75" x14ac:dyDescent="0.25">
      <c r="A87" s="98"/>
      <c r="B87" s="116"/>
      <c r="C87" s="233"/>
      <c r="D87" s="456"/>
      <c r="H87"/>
      <c r="I87"/>
      <c r="J87"/>
      <c r="L87"/>
      <c r="M87"/>
    </row>
    <row r="88" spans="1:13" ht="15.75" x14ac:dyDescent="0.25">
      <c r="A88" s="98"/>
      <c r="B88" s="116"/>
      <c r="C88" s="233"/>
      <c r="D88" s="456"/>
      <c r="H88"/>
      <c r="I88"/>
      <c r="J88"/>
      <c r="L88"/>
      <c r="M88"/>
    </row>
    <row r="89" spans="1:13" ht="15.75" x14ac:dyDescent="0.25">
      <c r="A89" s="98"/>
      <c r="B89" s="116"/>
      <c r="C89" s="233"/>
      <c r="D89" s="456"/>
      <c r="H89"/>
      <c r="I89"/>
      <c r="J89"/>
      <c r="L89"/>
      <c r="M89"/>
    </row>
    <row r="90" spans="1:13" ht="15.75" x14ac:dyDescent="0.25">
      <c r="A90" s="98"/>
      <c r="B90" s="116"/>
      <c r="C90" s="233"/>
      <c r="D90" s="456"/>
      <c r="H90"/>
      <c r="I90"/>
      <c r="J90"/>
      <c r="L90"/>
      <c r="M90"/>
    </row>
    <row r="91" spans="1:13" ht="15.75" x14ac:dyDescent="0.25">
      <c r="A91" s="98"/>
      <c r="B91" s="116"/>
      <c r="C91" s="233"/>
      <c r="D91" s="456"/>
      <c r="H91"/>
      <c r="I91"/>
      <c r="J91"/>
      <c r="L91"/>
      <c r="M91"/>
    </row>
    <row r="92" spans="1:13" ht="15.75" x14ac:dyDescent="0.25">
      <c r="A92" s="98"/>
      <c r="B92" s="116"/>
      <c r="C92" s="233"/>
      <c r="D92" s="456"/>
      <c r="H92"/>
      <c r="I92"/>
      <c r="J92"/>
      <c r="L92"/>
      <c r="M92"/>
    </row>
    <row r="93" spans="1:13" ht="15.75" x14ac:dyDescent="0.25">
      <c r="A93" s="98"/>
      <c r="B93" s="116"/>
      <c r="C93" s="233"/>
      <c r="D93" s="456"/>
      <c r="H93"/>
      <c r="I93"/>
      <c r="J93"/>
      <c r="L93"/>
      <c r="M93"/>
    </row>
    <row r="94" spans="1:13" ht="15.75" x14ac:dyDescent="0.25">
      <c r="A94" s="98"/>
      <c r="B94" s="116"/>
      <c r="C94" s="233"/>
      <c r="D94" s="456"/>
      <c r="H94"/>
      <c r="I94"/>
      <c r="J94"/>
      <c r="L94"/>
      <c r="M94"/>
    </row>
    <row r="95" spans="1:13" ht="15.75" x14ac:dyDescent="0.25">
      <c r="A95" s="98"/>
      <c r="B95" s="116"/>
      <c r="C95" s="233"/>
      <c r="D95" s="456"/>
      <c r="H95"/>
      <c r="I95"/>
      <c r="J95"/>
      <c r="L95"/>
      <c r="M95"/>
    </row>
    <row r="96" spans="1:13" ht="15.75" x14ac:dyDescent="0.25">
      <c r="A96" s="98"/>
      <c r="B96" s="116"/>
      <c r="C96" s="233"/>
      <c r="D96" s="456"/>
      <c r="H96"/>
      <c r="I96"/>
      <c r="J96"/>
      <c r="L96"/>
      <c r="M96"/>
    </row>
    <row r="97" spans="1:13" x14ac:dyDescent="0.25">
      <c r="A97" s="98"/>
      <c r="B97" s="116"/>
      <c r="C97" s="129"/>
      <c r="D97" s="456"/>
      <c r="H97"/>
      <c r="I97"/>
      <c r="J97"/>
      <c r="L97"/>
      <c r="M97"/>
    </row>
    <row r="98" spans="1:13" x14ac:dyDescent="0.25">
      <c r="A98" s="98"/>
      <c r="B98" s="116"/>
      <c r="C98" s="129"/>
      <c r="D98" s="456"/>
      <c r="H98"/>
      <c r="I98"/>
      <c r="J98"/>
      <c r="L98"/>
      <c r="M98"/>
    </row>
    <row r="99" spans="1:13" x14ac:dyDescent="0.25">
      <c r="A99" s="98"/>
      <c r="B99" s="116"/>
      <c r="C99" s="129"/>
      <c r="D99" s="456"/>
      <c r="H99"/>
      <c r="I99"/>
      <c r="J99"/>
      <c r="L99"/>
      <c r="M99"/>
    </row>
    <row r="100" spans="1:13" x14ac:dyDescent="0.25">
      <c r="A100" s="98"/>
      <c r="B100" s="116"/>
      <c r="C100" s="129"/>
      <c r="D100" s="456"/>
      <c r="H100"/>
      <c r="I100"/>
      <c r="J100"/>
      <c r="L100"/>
      <c r="M100"/>
    </row>
    <row r="101" spans="1:13" x14ac:dyDescent="0.25">
      <c r="A101" s="98"/>
      <c r="B101" s="116"/>
      <c r="C101" s="129"/>
      <c r="D101" s="456"/>
      <c r="H101"/>
      <c r="I101"/>
      <c r="J101"/>
      <c r="L101"/>
      <c r="M101"/>
    </row>
    <row r="102" spans="1:13" x14ac:dyDescent="0.25">
      <c r="A102" s="98"/>
      <c r="B102" s="116"/>
      <c r="D102" s="456"/>
      <c r="H102"/>
      <c r="I102"/>
      <c r="J102"/>
      <c r="L102"/>
      <c r="M102"/>
    </row>
    <row r="103" spans="1:13" x14ac:dyDescent="0.25">
      <c r="A103" s="98"/>
      <c r="B103" s="116"/>
      <c r="D103" s="456"/>
      <c r="H103"/>
      <c r="I103"/>
      <c r="J103"/>
      <c r="L103"/>
      <c r="M103"/>
    </row>
    <row r="104" spans="1:13" x14ac:dyDescent="0.25">
      <c r="A104" s="98"/>
      <c r="B104" s="116"/>
      <c r="D104" s="456"/>
      <c r="H104"/>
      <c r="I104"/>
      <c r="J104"/>
      <c r="L104"/>
      <c r="M104"/>
    </row>
    <row r="105" spans="1:13" x14ac:dyDescent="0.25">
      <c r="A105" s="98"/>
      <c r="B105" s="116"/>
      <c r="D105" s="456"/>
      <c r="H105"/>
      <c r="I105"/>
      <c r="J105"/>
      <c r="L105"/>
      <c r="M105"/>
    </row>
    <row r="106" spans="1:13" x14ac:dyDescent="0.25">
      <c r="A106" s="98"/>
      <c r="B106" s="116"/>
      <c r="D106" s="456"/>
      <c r="H106"/>
      <c r="I106"/>
      <c r="J106"/>
      <c r="L106"/>
      <c r="M106"/>
    </row>
    <row r="107" spans="1:13" x14ac:dyDescent="0.25">
      <c r="A107" s="98"/>
      <c r="B107" s="116"/>
      <c r="D107" s="456"/>
      <c r="H107"/>
      <c r="I107"/>
      <c r="J107"/>
      <c r="L107"/>
      <c r="M107"/>
    </row>
    <row r="108" spans="1:13" x14ac:dyDescent="0.25">
      <c r="A108" s="98"/>
      <c r="B108" s="116"/>
      <c r="D108" s="456"/>
      <c r="H108"/>
      <c r="I108"/>
      <c r="J108"/>
      <c r="L108"/>
      <c r="M108"/>
    </row>
    <row r="109" spans="1:13" x14ac:dyDescent="0.25">
      <c r="A109" s="98"/>
      <c r="B109" s="116"/>
      <c r="D109" s="456"/>
      <c r="H109"/>
      <c r="I109"/>
      <c r="J109"/>
      <c r="L109"/>
      <c r="M109"/>
    </row>
    <row r="110" spans="1:13" x14ac:dyDescent="0.25">
      <c r="A110" s="98"/>
      <c r="B110" s="116"/>
      <c r="D110" s="456"/>
      <c r="H110"/>
      <c r="I110"/>
      <c r="J110"/>
      <c r="L110"/>
      <c r="M110"/>
    </row>
    <row r="111" spans="1:13" x14ac:dyDescent="0.25">
      <c r="A111" s="98"/>
      <c r="B111" s="116"/>
      <c r="D111" s="456"/>
      <c r="H111"/>
      <c r="I111"/>
      <c r="J111"/>
      <c r="L111"/>
      <c r="M111"/>
    </row>
    <row r="112" spans="1:13" x14ac:dyDescent="0.25">
      <c r="A112" s="98"/>
      <c r="B112" s="116"/>
      <c r="D112" s="456"/>
      <c r="H112"/>
      <c r="I112"/>
      <c r="J112"/>
      <c r="L112"/>
      <c r="M112"/>
    </row>
    <row r="113" spans="1:13" x14ac:dyDescent="0.25">
      <c r="A113" s="98"/>
      <c r="B113" s="116"/>
      <c r="D113" s="456"/>
      <c r="H113"/>
      <c r="I113"/>
      <c r="J113"/>
      <c r="L113"/>
      <c r="M113"/>
    </row>
    <row r="114" spans="1:13" x14ac:dyDescent="0.25">
      <c r="A114" s="98"/>
      <c r="B114" s="116"/>
      <c r="D114" s="456"/>
      <c r="H114"/>
      <c r="I114"/>
      <c r="J114"/>
      <c r="L114"/>
      <c r="M114"/>
    </row>
    <row r="115" spans="1:13" x14ac:dyDescent="0.25">
      <c r="A115" s="98"/>
      <c r="B115" s="116"/>
      <c r="D115" s="456"/>
      <c r="H115"/>
      <c r="I115"/>
      <c r="J115"/>
      <c r="L115"/>
      <c r="M115"/>
    </row>
    <row r="116" spans="1:13" x14ac:dyDescent="0.25">
      <c r="A116" s="98"/>
      <c r="B116" s="116"/>
      <c r="D116" s="456"/>
      <c r="H116"/>
      <c r="I116"/>
      <c r="J116"/>
      <c r="L116"/>
      <c r="M116"/>
    </row>
    <row r="117" spans="1:13" x14ac:dyDescent="0.25">
      <c r="A117" s="98"/>
      <c r="B117" s="116"/>
      <c r="D117" s="456"/>
      <c r="H117"/>
      <c r="I117"/>
      <c r="J117"/>
      <c r="L117"/>
      <c r="M117"/>
    </row>
    <row r="118" spans="1:13" x14ac:dyDescent="0.25">
      <c r="A118" s="98"/>
      <c r="B118" s="116"/>
      <c r="D118" s="456"/>
      <c r="H118"/>
      <c r="I118"/>
      <c r="J118"/>
      <c r="L118"/>
      <c r="M118"/>
    </row>
    <row r="119" spans="1:13" x14ac:dyDescent="0.25">
      <c r="A119" s="98"/>
      <c r="B119" s="116"/>
      <c r="D119" s="456"/>
      <c r="H119"/>
      <c r="I119"/>
      <c r="J119"/>
      <c r="L119"/>
      <c r="M119"/>
    </row>
    <row r="120" spans="1:13" x14ac:dyDescent="0.25">
      <c r="A120" s="98"/>
      <c r="B120" s="116"/>
      <c r="D120" s="456"/>
      <c r="H120"/>
      <c r="I120"/>
      <c r="J120"/>
      <c r="L120"/>
      <c r="M120"/>
    </row>
    <row r="121" spans="1:13" x14ac:dyDescent="0.25">
      <c r="A121" s="98"/>
      <c r="B121" s="116"/>
      <c r="D121" s="456"/>
      <c r="H121"/>
      <c r="I121"/>
      <c r="J121"/>
      <c r="L121"/>
      <c r="M121"/>
    </row>
    <row r="122" spans="1:13" x14ac:dyDescent="0.25">
      <c r="A122" s="98"/>
      <c r="B122" s="116"/>
      <c r="D122" s="456"/>
      <c r="H122"/>
      <c r="I122"/>
      <c r="J122"/>
      <c r="L122"/>
      <c r="M122"/>
    </row>
    <row r="123" spans="1:13" x14ac:dyDescent="0.25">
      <c r="A123" s="98"/>
      <c r="B123" s="116"/>
      <c r="D123" s="456"/>
      <c r="H123"/>
      <c r="I123"/>
      <c r="J123"/>
      <c r="L123"/>
      <c r="M123"/>
    </row>
  </sheetData>
  <mergeCells count="3">
    <mergeCell ref="H67:I68"/>
    <mergeCell ref="F68:F69"/>
    <mergeCell ref="H40:I42"/>
  </mergeCells>
  <pageMargins left="0.7" right="0.7" top="0.75" bottom="0.75" header="0.3" footer="0.3"/>
  <pageSetup orientation="portrait" horizontalDpi="0" verticalDpi="0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FF"/>
  </sheetPr>
  <dimension ref="A1:S97"/>
  <sheetViews>
    <sheetView zoomScaleNormal="100" workbookViewId="0">
      <pane xSplit="3" ySplit="4" topLeftCell="D50" activePane="bottomRight" state="frozen"/>
      <selection pane="topRight" activeCell="D1" sqref="D1"/>
      <selection pane="bottomLeft" activeCell="A5" sqref="A5"/>
      <selection pane="bottomRight" activeCell="H82" sqref="H82"/>
    </sheetView>
  </sheetViews>
  <sheetFormatPr baseColWidth="10" defaultRowHeight="15.75" x14ac:dyDescent="0.25"/>
  <cols>
    <col min="1" max="1" width="2.85546875" customWidth="1"/>
    <col min="2" max="2" width="12.42578125" style="551" customWidth="1"/>
    <col min="3" max="3" width="15.5703125" style="4" bestFit="1" customWidth="1"/>
    <col min="4" max="4" width="15.28515625" customWidth="1"/>
    <col min="5" max="5" width="11.42578125" style="552"/>
    <col min="6" max="6" width="15.28515625" style="4" customWidth="1"/>
    <col min="7" max="7" width="1.85546875" style="552" customWidth="1"/>
    <col min="8" max="8" width="11.85546875" style="552" customWidth="1"/>
    <col min="9" max="9" width="15.7109375" style="4" customWidth="1"/>
    <col min="10" max="10" width="11.7109375" style="12" customWidth="1"/>
    <col min="11" max="11" width="14.42578125" style="561" customWidth="1"/>
    <col min="12" max="12" width="14.5703125" style="3" customWidth="1"/>
    <col min="13" max="13" width="17.85546875" style="4" customWidth="1"/>
    <col min="14" max="14" width="17.5703125" style="1" bestFit="1" customWidth="1"/>
    <col min="15" max="15" width="8.85546875" style="577" bestFit="1" customWidth="1"/>
    <col min="16" max="16" width="16.85546875" customWidth="1"/>
    <col min="17" max="17" width="21.28515625" style="225" customWidth="1"/>
    <col min="18" max="18" width="15.28515625" style="227" customWidth="1"/>
  </cols>
  <sheetData>
    <row r="1" spans="1:19" ht="23.25" x14ac:dyDescent="0.35">
      <c r="B1" s="826"/>
      <c r="C1" s="892" t="s">
        <v>1142</v>
      </c>
      <c r="D1" s="893"/>
      <c r="E1" s="893"/>
      <c r="F1" s="893"/>
      <c r="G1" s="893"/>
      <c r="H1" s="893"/>
      <c r="I1" s="893"/>
      <c r="J1" s="893"/>
      <c r="K1" s="893"/>
      <c r="L1" s="893"/>
      <c r="M1" s="893"/>
    </row>
    <row r="2" spans="1:19" ht="16.5" thickBot="1" x14ac:dyDescent="0.3">
      <c r="B2" s="827"/>
      <c r="C2" s="3"/>
      <c r="H2" s="5"/>
      <c r="I2" s="6"/>
      <c r="J2" s="7"/>
      <c r="L2" s="8"/>
      <c r="M2" s="6"/>
      <c r="N2" s="9"/>
    </row>
    <row r="3" spans="1:19" ht="21.75" thickBot="1" x14ac:dyDescent="0.35">
      <c r="B3" s="830" t="s">
        <v>0</v>
      </c>
      <c r="C3" s="831"/>
      <c r="D3" s="10"/>
      <c r="E3" s="553"/>
      <c r="F3" s="11"/>
      <c r="H3" s="832" t="s">
        <v>26</v>
      </c>
      <c r="I3" s="832"/>
      <c r="K3" s="165"/>
      <c r="L3" s="13"/>
      <c r="M3" s="14"/>
      <c r="P3" s="869" t="s">
        <v>6</v>
      </c>
      <c r="R3" s="890" t="s">
        <v>216</v>
      </c>
    </row>
    <row r="4" spans="1:19" ht="32.25" thickTop="1" thickBot="1" x14ac:dyDescent="0.35">
      <c r="A4" s="15" t="s">
        <v>1</v>
      </c>
      <c r="B4" s="16"/>
      <c r="C4" s="17">
        <v>2274653.09</v>
      </c>
      <c r="D4" s="18">
        <v>44773</v>
      </c>
      <c r="E4" s="833" t="s">
        <v>2</v>
      </c>
      <c r="F4" s="834"/>
      <c r="H4" s="835" t="s">
        <v>3</v>
      </c>
      <c r="I4" s="836"/>
      <c r="J4" s="556"/>
      <c r="K4" s="562"/>
      <c r="L4" s="563"/>
      <c r="M4" s="21" t="s">
        <v>4</v>
      </c>
      <c r="N4" s="22" t="s">
        <v>5</v>
      </c>
      <c r="P4" s="870"/>
      <c r="Q4" s="322" t="s">
        <v>217</v>
      </c>
      <c r="R4" s="891"/>
    </row>
    <row r="5" spans="1:19" ht="18" thickBot="1" x14ac:dyDescent="0.35">
      <c r="A5" s="23" t="s">
        <v>7</v>
      </c>
      <c r="B5" s="24">
        <v>44774</v>
      </c>
      <c r="C5" s="25">
        <v>19880</v>
      </c>
      <c r="D5" s="26" t="s">
        <v>1143</v>
      </c>
      <c r="E5" s="27">
        <v>44774</v>
      </c>
      <c r="F5" s="28">
        <v>165468</v>
      </c>
      <c r="G5" s="572"/>
      <c r="H5" s="29">
        <v>44774</v>
      </c>
      <c r="I5" s="30">
        <v>3851</v>
      </c>
      <c r="J5" s="37"/>
      <c r="K5" s="31"/>
      <c r="L5" s="9"/>
      <c r="M5" s="32">
        <v>79607</v>
      </c>
      <c r="N5" s="33">
        <v>62130</v>
      </c>
      <c r="O5" s="730" t="s">
        <v>937</v>
      </c>
      <c r="P5" s="34">
        <f>N5+M5+L5+I5+C5</f>
        <v>165468</v>
      </c>
      <c r="Q5" s="325">
        <f>P5-F5</f>
        <v>0</v>
      </c>
      <c r="R5" s="379">
        <v>0</v>
      </c>
    </row>
    <row r="6" spans="1:19" ht="18" thickBot="1" x14ac:dyDescent="0.35">
      <c r="A6" s="23"/>
      <c r="B6" s="24">
        <v>44775</v>
      </c>
      <c r="C6" s="25">
        <v>27654</v>
      </c>
      <c r="D6" s="35" t="s">
        <v>1144</v>
      </c>
      <c r="E6" s="27">
        <v>44775</v>
      </c>
      <c r="F6" s="28">
        <v>132085</v>
      </c>
      <c r="G6" s="572"/>
      <c r="H6" s="29">
        <v>44775</v>
      </c>
      <c r="I6" s="30">
        <v>572</v>
      </c>
      <c r="J6" s="37"/>
      <c r="K6" s="38"/>
      <c r="L6" s="39"/>
      <c r="M6" s="32">
        <v>64513</v>
      </c>
      <c r="N6" s="33">
        <v>39346</v>
      </c>
      <c r="O6" s="577" t="s">
        <v>937</v>
      </c>
      <c r="P6" s="39">
        <f>N6+M6+L6+I6+C6</f>
        <v>132085</v>
      </c>
      <c r="Q6" s="325">
        <f t="shared" ref="Q6:Q40" si="0">P6-F6</f>
        <v>0</v>
      </c>
      <c r="R6" s="319">
        <v>0</v>
      </c>
    </row>
    <row r="7" spans="1:19" ht="18" thickBot="1" x14ac:dyDescent="0.35">
      <c r="A7" s="23"/>
      <c r="B7" s="24">
        <v>44776</v>
      </c>
      <c r="C7" s="25">
        <v>22217</v>
      </c>
      <c r="D7" s="40" t="s">
        <v>1145</v>
      </c>
      <c r="E7" s="27">
        <v>44776</v>
      </c>
      <c r="F7" s="28">
        <v>118970</v>
      </c>
      <c r="G7" s="572"/>
      <c r="H7" s="29">
        <v>44776</v>
      </c>
      <c r="I7" s="30">
        <v>2177</v>
      </c>
      <c r="J7" s="37"/>
      <c r="K7" s="38"/>
      <c r="L7" s="39"/>
      <c r="M7" s="32">
        <v>45403</v>
      </c>
      <c r="N7" s="33">
        <v>50819</v>
      </c>
      <c r="O7" s="577" t="s">
        <v>937</v>
      </c>
      <c r="P7" s="39">
        <f>N7+M7+L7+I7+C7</f>
        <v>120616</v>
      </c>
      <c r="Q7" s="325">
        <v>0</v>
      </c>
      <c r="R7" s="388">
        <v>1646</v>
      </c>
    </row>
    <row r="8" spans="1:19" ht="18" thickBot="1" x14ac:dyDescent="0.35">
      <c r="A8" s="23"/>
      <c r="B8" s="24">
        <v>44777</v>
      </c>
      <c r="C8" s="25">
        <v>7307</v>
      </c>
      <c r="D8" s="42" t="s">
        <v>1147</v>
      </c>
      <c r="E8" s="27">
        <v>44777</v>
      </c>
      <c r="F8" s="28">
        <v>121211</v>
      </c>
      <c r="G8" s="572"/>
      <c r="H8" s="29">
        <v>44777</v>
      </c>
      <c r="I8" s="30">
        <v>2459</v>
      </c>
      <c r="J8" s="43"/>
      <c r="K8" s="38"/>
      <c r="L8" s="39"/>
      <c r="M8" s="32">
        <v>156941</v>
      </c>
      <c r="N8" s="33">
        <v>29250</v>
      </c>
      <c r="O8" s="577" t="s">
        <v>937</v>
      </c>
      <c r="P8" s="39">
        <f t="shared" ref="P8:P32" si="1">N8+M8+L8+I8+C8</f>
        <v>195957</v>
      </c>
      <c r="Q8" s="325">
        <v>0</v>
      </c>
      <c r="R8" s="388">
        <v>74746</v>
      </c>
      <c r="S8" t="s">
        <v>1148</v>
      </c>
    </row>
    <row r="9" spans="1:19" ht="18" thickBot="1" x14ac:dyDescent="0.35">
      <c r="A9" s="23"/>
      <c r="B9" s="24">
        <v>44778</v>
      </c>
      <c r="C9" s="25">
        <v>13782</v>
      </c>
      <c r="D9" s="42" t="s">
        <v>102</v>
      </c>
      <c r="E9" s="27">
        <v>44778</v>
      </c>
      <c r="F9" s="28">
        <v>136795</v>
      </c>
      <c r="G9" s="572"/>
      <c r="H9" s="29">
        <v>44778</v>
      </c>
      <c r="I9" s="30">
        <v>2786</v>
      </c>
      <c r="J9" s="37"/>
      <c r="K9" s="223"/>
      <c r="L9" s="39"/>
      <c r="M9" s="32">
        <f>72825+500</f>
        <v>73325</v>
      </c>
      <c r="N9" s="33">
        <v>46902</v>
      </c>
      <c r="O9" s="577" t="s">
        <v>937</v>
      </c>
      <c r="P9" s="39">
        <f t="shared" si="1"/>
        <v>136795</v>
      </c>
      <c r="Q9" s="325">
        <f t="shared" si="0"/>
        <v>0</v>
      </c>
      <c r="R9" s="319">
        <v>0</v>
      </c>
    </row>
    <row r="10" spans="1:19" ht="18" thickBot="1" x14ac:dyDescent="0.35">
      <c r="A10" s="23"/>
      <c r="B10" s="24">
        <v>44779</v>
      </c>
      <c r="C10" s="25">
        <v>15115</v>
      </c>
      <c r="D10" s="40" t="s">
        <v>1149</v>
      </c>
      <c r="E10" s="27">
        <v>44779</v>
      </c>
      <c r="F10" s="28">
        <v>150888</v>
      </c>
      <c r="G10" s="572"/>
      <c r="H10" s="29">
        <v>44779</v>
      </c>
      <c r="I10" s="30">
        <v>11535</v>
      </c>
      <c r="J10" s="37">
        <v>44779</v>
      </c>
      <c r="K10" s="167" t="s">
        <v>1157</v>
      </c>
      <c r="L10" s="45">
        <v>17752</v>
      </c>
      <c r="M10" s="32">
        <v>33319</v>
      </c>
      <c r="N10" s="33">
        <v>73167</v>
      </c>
      <c r="O10" s="577" t="s">
        <v>937</v>
      </c>
      <c r="P10" s="39">
        <f>N10+M10+L10+I10+C10</f>
        <v>150888</v>
      </c>
      <c r="Q10" s="325">
        <f t="shared" si="0"/>
        <v>0</v>
      </c>
      <c r="R10" s="319">
        <v>0</v>
      </c>
    </row>
    <row r="11" spans="1:19" ht="18" thickBot="1" x14ac:dyDescent="0.35">
      <c r="A11" s="23"/>
      <c r="B11" s="24">
        <v>44780</v>
      </c>
      <c r="C11" s="25">
        <v>7874</v>
      </c>
      <c r="D11" s="35" t="s">
        <v>1150</v>
      </c>
      <c r="E11" s="27">
        <v>44780</v>
      </c>
      <c r="F11" s="28">
        <v>88541</v>
      </c>
      <c r="G11" s="572"/>
      <c r="H11" s="29">
        <v>44780</v>
      </c>
      <c r="I11" s="30">
        <v>2678</v>
      </c>
      <c r="J11" s="43"/>
      <c r="K11" s="168"/>
      <c r="L11" s="39"/>
      <c r="M11" s="32">
        <v>44630</v>
      </c>
      <c r="N11" s="33">
        <v>33359</v>
      </c>
      <c r="O11" s="577" t="s">
        <v>937</v>
      </c>
      <c r="P11" s="39">
        <f t="shared" si="1"/>
        <v>88541</v>
      </c>
      <c r="Q11" s="325">
        <f t="shared" si="0"/>
        <v>0</v>
      </c>
      <c r="R11" s="319">
        <v>0</v>
      </c>
    </row>
    <row r="12" spans="1:19" ht="18" thickBot="1" x14ac:dyDescent="0.35">
      <c r="A12" s="23"/>
      <c r="B12" s="24">
        <v>44781</v>
      </c>
      <c r="C12" s="25">
        <v>26522</v>
      </c>
      <c r="D12" s="35" t="s">
        <v>1151</v>
      </c>
      <c r="E12" s="27">
        <v>44781</v>
      </c>
      <c r="F12" s="28">
        <v>110315</v>
      </c>
      <c r="G12" s="572"/>
      <c r="H12" s="29">
        <v>44781</v>
      </c>
      <c r="I12" s="30">
        <v>1627</v>
      </c>
      <c r="J12" s="37"/>
      <c r="K12" s="169"/>
      <c r="L12" s="39"/>
      <c r="M12" s="32">
        <v>47182</v>
      </c>
      <c r="N12" s="33">
        <v>34984</v>
      </c>
      <c r="O12" s="577" t="s">
        <v>937</v>
      </c>
      <c r="P12" s="39">
        <f t="shared" si="1"/>
        <v>110315</v>
      </c>
      <c r="Q12" s="325">
        <f t="shared" si="0"/>
        <v>0</v>
      </c>
      <c r="R12" s="319">
        <v>0</v>
      </c>
    </row>
    <row r="13" spans="1:19" ht="18" thickBot="1" x14ac:dyDescent="0.35">
      <c r="A13" s="23"/>
      <c r="B13" s="24">
        <v>44782</v>
      </c>
      <c r="C13" s="25">
        <v>18936</v>
      </c>
      <c r="D13" s="42" t="s">
        <v>1152</v>
      </c>
      <c r="E13" s="27">
        <v>44782</v>
      </c>
      <c r="F13" s="28">
        <v>117529</v>
      </c>
      <c r="G13" s="572"/>
      <c r="H13" s="29">
        <v>44782</v>
      </c>
      <c r="I13" s="30">
        <v>1003</v>
      </c>
      <c r="J13" s="37"/>
      <c r="K13" s="38"/>
      <c r="L13" s="39"/>
      <c r="M13" s="32">
        <v>54684</v>
      </c>
      <c r="N13" s="33">
        <v>42906</v>
      </c>
      <c r="O13" s="577" t="s">
        <v>937</v>
      </c>
      <c r="P13" s="39">
        <f t="shared" si="1"/>
        <v>117529</v>
      </c>
      <c r="Q13" s="325">
        <f t="shared" si="0"/>
        <v>0</v>
      </c>
      <c r="R13" s="319">
        <v>0</v>
      </c>
    </row>
    <row r="14" spans="1:19" ht="18" thickBot="1" x14ac:dyDescent="0.35">
      <c r="A14" s="23"/>
      <c r="B14" s="24">
        <v>44783</v>
      </c>
      <c r="C14" s="25">
        <v>20568</v>
      </c>
      <c r="D14" s="40" t="s">
        <v>330</v>
      </c>
      <c r="E14" s="27">
        <v>44783</v>
      </c>
      <c r="F14" s="28">
        <v>104010</v>
      </c>
      <c r="G14" s="572"/>
      <c r="H14" s="29">
        <v>44783</v>
      </c>
      <c r="I14" s="30">
        <v>2073</v>
      </c>
      <c r="J14" s="37"/>
      <c r="K14" s="38"/>
      <c r="L14" s="39"/>
      <c r="M14" s="32">
        <v>40412</v>
      </c>
      <c r="N14" s="33">
        <v>40957</v>
      </c>
      <c r="O14" s="731" t="s">
        <v>937</v>
      </c>
      <c r="P14" s="39">
        <f t="shared" si="1"/>
        <v>104010</v>
      </c>
      <c r="Q14" s="325">
        <f t="shared" si="0"/>
        <v>0</v>
      </c>
      <c r="R14" s="319">
        <v>0</v>
      </c>
    </row>
    <row r="15" spans="1:19" ht="18" thickBot="1" x14ac:dyDescent="0.35">
      <c r="A15" s="23"/>
      <c r="B15" s="24">
        <v>44784</v>
      </c>
      <c r="C15" s="25">
        <v>14635</v>
      </c>
      <c r="D15" s="40" t="s">
        <v>1153</v>
      </c>
      <c r="E15" s="27">
        <v>44784</v>
      </c>
      <c r="F15" s="28">
        <v>107642</v>
      </c>
      <c r="G15" s="572"/>
      <c r="H15" s="29">
        <v>44784</v>
      </c>
      <c r="I15" s="30">
        <v>2553</v>
      </c>
      <c r="J15" s="37"/>
      <c r="K15" s="38"/>
      <c r="L15" s="39"/>
      <c r="M15" s="32">
        <v>48105</v>
      </c>
      <c r="N15" s="33">
        <v>42349</v>
      </c>
      <c r="O15" s="577" t="s">
        <v>937</v>
      </c>
      <c r="P15" s="39">
        <f t="shared" si="1"/>
        <v>107642</v>
      </c>
      <c r="Q15" s="325">
        <f t="shared" si="0"/>
        <v>0</v>
      </c>
      <c r="R15" s="319">
        <v>0</v>
      </c>
    </row>
    <row r="16" spans="1:19" ht="18" thickBot="1" x14ac:dyDescent="0.35">
      <c r="A16" s="23"/>
      <c r="B16" s="24">
        <v>44785</v>
      </c>
      <c r="C16" s="25">
        <v>5114</v>
      </c>
      <c r="D16" s="35" t="s">
        <v>1154</v>
      </c>
      <c r="E16" s="27">
        <v>44785</v>
      </c>
      <c r="F16" s="28">
        <v>102325</v>
      </c>
      <c r="G16" s="572"/>
      <c r="H16" s="29">
        <v>44785</v>
      </c>
      <c r="I16" s="30">
        <v>2096</v>
      </c>
      <c r="J16" s="37"/>
      <c r="K16" s="169"/>
      <c r="L16" s="9"/>
      <c r="M16" s="32">
        <v>63682</v>
      </c>
      <c r="N16" s="33">
        <v>31433</v>
      </c>
      <c r="O16" s="577" t="s">
        <v>937</v>
      </c>
      <c r="P16" s="39">
        <f t="shared" si="1"/>
        <v>102325</v>
      </c>
      <c r="Q16" s="325">
        <f t="shared" si="0"/>
        <v>0</v>
      </c>
      <c r="R16" s="319" t="s">
        <v>7</v>
      </c>
    </row>
    <row r="17" spans="1:19" ht="18" thickBot="1" x14ac:dyDescent="0.35">
      <c r="A17" s="23"/>
      <c r="B17" s="24">
        <v>44786</v>
      </c>
      <c r="C17" s="25">
        <v>24730</v>
      </c>
      <c r="D17" s="42" t="s">
        <v>1155</v>
      </c>
      <c r="E17" s="27">
        <v>44786</v>
      </c>
      <c r="F17" s="28">
        <v>121083</v>
      </c>
      <c r="G17" s="572"/>
      <c r="H17" s="29">
        <v>44786</v>
      </c>
      <c r="I17" s="30">
        <v>3433</v>
      </c>
      <c r="J17" s="37">
        <v>44786</v>
      </c>
      <c r="K17" s="38" t="s">
        <v>1156</v>
      </c>
      <c r="L17" s="45">
        <v>17689</v>
      </c>
      <c r="M17" s="32">
        <v>25200</v>
      </c>
      <c r="N17" s="33">
        <v>50035</v>
      </c>
      <c r="O17" s="577" t="s">
        <v>937</v>
      </c>
      <c r="P17" s="39">
        <f t="shared" si="1"/>
        <v>121087</v>
      </c>
      <c r="Q17" s="325">
        <f t="shared" si="0"/>
        <v>4</v>
      </c>
      <c r="R17" s="319">
        <v>0</v>
      </c>
    </row>
    <row r="18" spans="1:19" ht="18" thickBot="1" x14ac:dyDescent="0.35">
      <c r="A18" s="23"/>
      <c r="B18" s="24">
        <v>44787</v>
      </c>
      <c r="C18" s="25">
        <v>16104</v>
      </c>
      <c r="D18" s="35" t="s">
        <v>1159</v>
      </c>
      <c r="E18" s="27">
        <v>44787</v>
      </c>
      <c r="F18" s="28">
        <v>128828</v>
      </c>
      <c r="G18" s="572"/>
      <c r="H18" s="29">
        <v>44787</v>
      </c>
      <c r="I18" s="30">
        <v>917</v>
      </c>
      <c r="J18" s="37"/>
      <c r="K18" s="564"/>
      <c r="L18" s="39"/>
      <c r="M18" s="32">
        <f>500+71526</f>
        <v>72026</v>
      </c>
      <c r="N18" s="33">
        <v>39781</v>
      </c>
      <c r="O18" s="577" t="s">
        <v>937</v>
      </c>
      <c r="P18" s="39">
        <f t="shared" si="1"/>
        <v>128828</v>
      </c>
      <c r="Q18" s="325">
        <f t="shared" si="0"/>
        <v>0</v>
      </c>
      <c r="R18" s="319">
        <v>0</v>
      </c>
    </row>
    <row r="19" spans="1:19" ht="18" customHeight="1" thickBot="1" x14ac:dyDescent="0.35">
      <c r="A19" s="23"/>
      <c r="B19" s="24">
        <v>44788</v>
      </c>
      <c r="C19" s="25">
        <v>7635</v>
      </c>
      <c r="D19" s="35" t="s">
        <v>1160</v>
      </c>
      <c r="E19" s="27">
        <v>44788</v>
      </c>
      <c r="F19" s="28">
        <v>103454</v>
      </c>
      <c r="G19" s="572"/>
      <c r="H19" s="29">
        <v>44788</v>
      </c>
      <c r="I19" s="30">
        <v>1759</v>
      </c>
      <c r="J19" s="37"/>
      <c r="K19" s="46"/>
      <c r="L19" s="47"/>
      <c r="M19" s="32">
        <v>50554</v>
      </c>
      <c r="N19" s="33">
        <v>43506</v>
      </c>
      <c r="O19" s="577" t="s">
        <v>937</v>
      </c>
      <c r="P19" s="39">
        <f t="shared" si="1"/>
        <v>103454</v>
      </c>
      <c r="Q19" s="325">
        <f t="shared" si="0"/>
        <v>0</v>
      </c>
      <c r="R19" s="319">
        <v>0</v>
      </c>
    </row>
    <row r="20" spans="1:19" ht="18" customHeight="1" thickBot="1" x14ac:dyDescent="0.35">
      <c r="A20" s="23"/>
      <c r="B20" s="24">
        <v>44789</v>
      </c>
      <c r="C20" s="25">
        <v>42672</v>
      </c>
      <c r="D20" s="35" t="s">
        <v>1161</v>
      </c>
      <c r="E20" s="27">
        <v>44789</v>
      </c>
      <c r="F20" s="28">
        <v>113037</v>
      </c>
      <c r="G20" s="572"/>
      <c r="H20" s="29">
        <v>44789</v>
      </c>
      <c r="I20" s="30">
        <v>127</v>
      </c>
      <c r="J20" s="37"/>
      <c r="K20" s="171"/>
      <c r="L20" s="45"/>
      <c r="M20" s="32">
        <f>26596+1098.68+22615</f>
        <v>50309.68</v>
      </c>
      <c r="N20" s="33">
        <v>46524</v>
      </c>
      <c r="O20" s="577" t="s">
        <v>937</v>
      </c>
      <c r="P20" s="39">
        <f t="shared" si="1"/>
        <v>139632.68</v>
      </c>
      <c r="Q20" s="325">
        <v>0</v>
      </c>
      <c r="R20" s="388">
        <v>26596</v>
      </c>
    </row>
    <row r="21" spans="1:19" ht="18" thickBot="1" x14ac:dyDescent="0.35">
      <c r="A21" s="23"/>
      <c r="B21" s="24">
        <v>44790</v>
      </c>
      <c r="C21" s="25">
        <v>32654</v>
      </c>
      <c r="D21" s="35" t="s">
        <v>1183</v>
      </c>
      <c r="E21" s="27">
        <v>44790</v>
      </c>
      <c r="F21" s="28">
        <v>107301</v>
      </c>
      <c r="G21" s="572"/>
      <c r="H21" s="29">
        <v>44790</v>
      </c>
      <c r="I21" s="30">
        <v>6395</v>
      </c>
      <c r="J21" s="37"/>
      <c r="K21" s="565"/>
      <c r="L21" s="45"/>
      <c r="M21" s="32">
        <v>21525</v>
      </c>
      <c r="N21" s="33">
        <v>46727</v>
      </c>
      <c r="O21" s="577" t="s">
        <v>937</v>
      </c>
      <c r="P21" s="39">
        <f t="shared" si="1"/>
        <v>107301</v>
      </c>
      <c r="Q21" s="325">
        <f t="shared" si="0"/>
        <v>0</v>
      </c>
      <c r="R21" s="319">
        <v>0</v>
      </c>
    </row>
    <row r="22" spans="1:19" ht="18" thickBot="1" x14ac:dyDescent="0.35">
      <c r="A22" s="23"/>
      <c r="B22" s="24">
        <v>44791</v>
      </c>
      <c r="C22" s="25">
        <v>14097.5</v>
      </c>
      <c r="D22" s="35" t="s">
        <v>1184</v>
      </c>
      <c r="E22" s="27">
        <v>44791</v>
      </c>
      <c r="F22" s="28">
        <v>98340</v>
      </c>
      <c r="G22" s="572"/>
      <c r="H22" s="29">
        <v>44791</v>
      </c>
      <c r="I22" s="30">
        <v>3128</v>
      </c>
      <c r="J22" s="37"/>
      <c r="K22" s="31"/>
      <c r="L22" s="49"/>
      <c r="M22" s="32">
        <v>46128.5</v>
      </c>
      <c r="N22" s="33">
        <v>34986</v>
      </c>
      <c r="O22" s="577" t="s">
        <v>937</v>
      </c>
      <c r="P22" s="39">
        <f t="shared" si="1"/>
        <v>98340</v>
      </c>
      <c r="Q22" s="325">
        <f t="shared" si="0"/>
        <v>0</v>
      </c>
      <c r="R22" s="319">
        <v>0</v>
      </c>
    </row>
    <row r="23" spans="1:19" ht="18" customHeight="1" thickBot="1" x14ac:dyDescent="0.35">
      <c r="A23" s="23"/>
      <c r="B23" s="24">
        <v>44792</v>
      </c>
      <c r="C23" s="25">
        <v>7873</v>
      </c>
      <c r="D23" s="35" t="s">
        <v>1185</v>
      </c>
      <c r="E23" s="27">
        <v>44792</v>
      </c>
      <c r="F23" s="28">
        <v>105758</v>
      </c>
      <c r="G23" s="572"/>
      <c r="H23" s="29">
        <v>44792</v>
      </c>
      <c r="I23" s="30">
        <v>2018.5</v>
      </c>
      <c r="J23" s="50"/>
      <c r="K23" s="172"/>
      <c r="L23" s="45"/>
      <c r="M23" s="32">
        <v>58983.5</v>
      </c>
      <c r="N23" s="33">
        <v>42623</v>
      </c>
      <c r="O23" s="577" t="s">
        <v>937</v>
      </c>
      <c r="P23" s="39">
        <f t="shared" si="1"/>
        <v>111498</v>
      </c>
      <c r="Q23" s="325">
        <v>0</v>
      </c>
      <c r="R23" s="388">
        <v>5740</v>
      </c>
    </row>
    <row r="24" spans="1:19" ht="18" customHeight="1" thickBot="1" x14ac:dyDescent="0.35">
      <c r="A24" s="23"/>
      <c r="B24" s="24">
        <v>44793</v>
      </c>
      <c r="C24" s="25">
        <v>18797</v>
      </c>
      <c r="D24" s="42" t="s">
        <v>1186</v>
      </c>
      <c r="E24" s="27">
        <v>44793</v>
      </c>
      <c r="F24" s="28">
        <v>113402</v>
      </c>
      <c r="G24" s="572"/>
      <c r="H24" s="29">
        <v>44793</v>
      </c>
      <c r="I24" s="30">
        <v>4714</v>
      </c>
      <c r="J24" s="51">
        <v>44793</v>
      </c>
      <c r="K24" s="173" t="s">
        <v>1187</v>
      </c>
      <c r="L24" s="52">
        <v>18064</v>
      </c>
      <c r="M24" s="32">
        <v>100977</v>
      </c>
      <c r="N24" s="33">
        <v>44844</v>
      </c>
      <c r="O24" s="577" t="s">
        <v>937</v>
      </c>
      <c r="P24" s="39">
        <f>N24+M24+L24+I24+C24</f>
        <v>187396</v>
      </c>
      <c r="Q24" s="325">
        <v>0</v>
      </c>
      <c r="R24" s="388">
        <v>73994</v>
      </c>
    </row>
    <row r="25" spans="1:19" ht="18" thickBot="1" x14ac:dyDescent="0.35">
      <c r="A25" s="23"/>
      <c r="B25" s="24">
        <v>44794</v>
      </c>
      <c r="C25" s="25">
        <v>11074.5</v>
      </c>
      <c r="D25" s="35" t="s">
        <v>1188</v>
      </c>
      <c r="E25" s="27">
        <v>44794</v>
      </c>
      <c r="F25" s="28">
        <v>95169</v>
      </c>
      <c r="G25" s="572"/>
      <c r="H25" s="29">
        <v>44794</v>
      </c>
      <c r="I25" s="30">
        <v>1353</v>
      </c>
      <c r="J25" s="50"/>
      <c r="K25" s="38"/>
      <c r="L25" s="54"/>
      <c r="M25" s="32">
        <v>53500.5</v>
      </c>
      <c r="N25" s="33">
        <v>29241</v>
      </c>
      <c r="O25" s="577" t="s">
        <v>937</v>
      </c>
      <c r="P25" s="283">
        <f t="shared" si="1"/>
        <v>95169</v>
      </c>
      <c r="Q25" s="325">
        <f t="shared" si="0"/>
        <v>0</v>
      </c>
      <c r="R25" s="319">
        <v>0</v>
      </c>
    </row>
    <row r="26" spans="1:19" ht="18" thickBot="1" x14ac:dyDescent="0.35">
      <c r="A26" s="23"/>
      <c r="B26" s="24">
        <v>44795</v>
      </c>
      <c r="C26" s="25">
        <v>15886.5</v>
      </c>
      <c r="D26" s="35" t="s">
        <v>1189</v>
      </c>
      <c r="E26" s="27">
        <v>44795</v>
      </c>
      <c r="F26" s="28">
        <v>99660</v>
      </c>
      <c r="G26" s="572"/>
      <c r="H26" s="29">
        <v>44795</v>
      </c>
      <c r="I26" s="30">
        <v>956</v>
      </c>
      <c r="J26" s="37"/>
      <c r="K26" s="728"/>
      <c r="L26" s="729"/>
      <c r="M26" s="32">
        <f>10000+23209.5</f>
        <v>33209.5</v>
      </c>
      <c r="N26" s="33">
        <v>49608</v>
      </c>
      <c r="O26" s="577" t="s">
        <v>937</v>
      </c>
      <c r="P26" s="283">
        <f t="shared" si="1"/>
        <v>99660</v>
      </c>
      <c r="Q26" s="325">
        <f t="shared" si="0"/>
        <v>0</v>
      </c>
      <c r="R26" s="319">
        <v>0</v>
      </c>
    </row>
    <row r="27" spans="1:19" ht="18" customHeight="1" thickBot="1" x14ac:dyDescent="0.35">
      <c r="A27" s="23"/>
      <c r="B27" s="24">
        <v>44796</v>
      </c>
      <c r="C27" s="25">
        <v>14311</v>
      </c>
      <c r="D27" s="42" t="s">
        <v>1190</v>
      </c>
      <c r="E27" s="27">
        <v>44796</v>
      </c>
      <c r="F27" s="28">
        <v>111550</v>
      </c>
      <c r="G27" s="572"/>
      <c r="H27" s="29">
        <v>44796</v>
      </c>
      <c r="I27" s="30">
        <v>2408</v>
      </c>
      <c r="J27" s="55"/>
      <c r="K27" s="174"/>
      <c r="L27" s="54"/>
      <c r="M27" s="32">
        <v>63665</v>
      </c>
      <c r="N27" s="33">
        <v>31166</v>
      </c>
      <c r="O27" s="577" t="s">
        <v>937</v>
      </c>
      <c r="P27" s="283">
        <f t="shared" si="1"/>
        <v>111550</v>
      </c>
      <c r="Q27" s="325">
        <f t="shared" si="0"/>
        <v>0</v>
      </c>
      <c r="R27" s="319">
        <v>0</v>
      </c>
    </row>
    <row r="28" spans="1:19" ht="18" customHeight="1" thickBot="1" x14ac:dyDescent="0.35">
      <c r="A28" s="23"/>
      <c r="B28" s="24">
        <v>44797</v>
      </c>
      <c r="C28" s="25">
        <v>20577</v>
      </c>
      <c r="D28" s="42" t="s">
        <v>1191</v>
      </c>
      <c r="E28" s="27">
        <v>44797</v>
      </c>
      <c r="F28" s="28">
        <v>108964</v>
      </c>
      <c r="G28" s="572"/>
      <c r="H28" s="29">
        <v>44797</v>
      </c>
      <c r="I28" s="30">
        <v>4385</v>
      </c>
      <c r="J28" s="56"/>
      <c r="K28" s="57"/>
      <c r="L28" s="54"/>
      <c r="M28" s="32">
        <f>14701+9372+24359</f>
        <v>48432</v>
      </c>
      <c r="N28" s="33">
        <v>35570</v>
      </c>
      <c r="O28" s="577" t="s">
        <v>937</v>
      </c>
      <c r="P28" s="283">
        <f t="shared" si="1"/>
        <v>108964</v>
      </c>
      <c r="Q28" s="325">
        <f t="shared" si="0"/>
        <v>0</v>
      </c>
      <c r="R28" s="319">
        <v>0</v>
      </c>
    </row>
    <row r="29" spans="1:19" ht="18" thickBot="1" x14ac:dyDescent="0.35">
      <c r="A29" s="23"/>
      <c r="B29" s="24">
        <v>44798</v>
      </c>
      <c r="C29" s="25">
        <v>20490</v>
      </c>
      <c r="D29" s="58" t="s">
        <v>1197</v>
      </c>
      <c r="E29" s="27">
        <v>44798</v>
      </c>
      <c r="F29" s="28">
        <v>104807</v>
      </c>
      <c r="G29" s="572"/>
      <c r="H29" s="29">
        <v>44798</v>
      </c>
      <c r="I29" s="30">
        <v>3229</v>
      </c>
      <c r="J29" s="59"/>
      <c r="K29" s="175"/>
      <c r="L29" s="54"/>
      <c r="M29" s="32">
        <v>54088</v>
      </c>
      <c r="N29" s="33">
        <v>27000</v>
      </c>
      <c r="O29" s="577" t="s">
        <v>937</v>
      </c>
      <c r="P29" s="283">
        <f t="shared" si="1"/>
        <v>104807</v>
      </c>
      <c r="Q29" s="325">
        <f t="shared" si="0"/>
        <v>0</v>
      </c>
      <c r="R29" s="319">
        <v>0</v>
      </c>
    </row>
    <row r="30" spans="1:19" ht="18" thickBot="1" x14ac:dyDescent="0.35">
      <c r="A30" s="23"/>
      <c r="B30" s="24">
        <v>44799</v>
      </c>
      <c r="C30" s="25">
        <v>12414</v>
      </c>
      <c r="D30" s="58" t="s">
        <v>1198</v>
      </c>
      <c r="E30" s="27">
        <v>44799</v>
      </c>
      <c r="F30" s="28">
        <v>97054</v>
      </c>
      <c r="G30" s="572"/>
      <c r="H30" s="29">
        <v>44799</v>
      </c>
      <c r="I30" s="30">
        <v>3496</v>
      </c>
      <c r="J30" s="56"/>
      <c r="K30" s="38"/>
      <c r="L30" s="39"/>
      <c r="M30" s="32">
        <v>41955</v>
      </c>
      <c r="N30" s="33">
        <v>39189</v>
      </c>
      <c r="O30" s="577" t="s">
        <v>937</v>
      </c>
      <c r="P30" s="283">
        <f t="shared" si="1"/>
        <v>97054</v>
      </c>
      <c r="Q30" s="325">
        <f t="shared" si="0"/>
        <v>0</v>
      </c>
      <c r="R30" s="319">
        <v>0</v>
      </c>
    </row>
    <row r="31" spans="1:19" ht="18" thickBot="1" x14ac:dyDescent="0.35">
      <c r="A31" s="23"/>
      <c r="B31" s="24">
        <v>44800</v>
      </c>
      <c r="C31" s="25">
        <v>23381</v>
      </c>
      <c r="D31" s="67" t="s">
        <v>1199</v>
      </c>
      <c r="E31" s="27">
        <v>44800</v>
      </c>
      <c r="F31" s="28">
        <v>134624</v>
      </c>
      <c r="G31" s="572"/>
      <c r="H31" s="29">
        <v>44800</v>
      </c>
      <c r="I31" s="30">
        <v>5400</v>
      </c>
      <c r="J31" s="56">
        <v>44800</v>
      </c>
      <c r="K31" s="566" t="s">
        <v>1200</v>
      </c>
      <c r="L31" s="54">
        <v>18009</v>
      </c>
      <c r="M31" s="32">
        <v>26081</v>
      </c>
      <c r="N31" s="33">
        <v>61753</v>
      </c>
      <c r="O31" s="577" t="s">
        <v>937</v>
      </c>
      <c r="P31" s="34">
        <f t="shared" si="1"/>
        <v>134624</v>
      </c>
      <c r="Q31" s="325">
        <f t="shared" si="0"/>
        <v>0</v>
      </c>
      <c r="R31" s="319">
        <v>0</v>
      </c>
    </row>
    <row r="32" spans="1:19" ht="18" thickBot="1" x14ac:dyDescent="0.35">
      <c r="A32" s="23"/>
      <c r="B32" s="24">
        <v>44801</v>
      </c>
      <c r="C32" s="25">
        <v>0</v>
      </c>
      <c r="D32" s="64"/>
      <c r="E32" s="27">
        <v>44801</v>
      </c>
      <c r="F32" s="28">
        <v>103403</v>
      </c>
      <c r="G32" s="572"/>
      <c r="H32" s="29">
        <v>44801</v>
      </c>
      <c r="I32" s="30">
        <v>120.5</v>
      </c>
      <c r="J32" s="56"/>
      <c r="K32" s="38"/>
      <c r="L32" s="39"/>
      <c r="M32" s="32">
        <v>55305.5</v>
      </c>
      <c r="N32" s="33">
        <v>47977</v>
      </c>
      <c r="O32" s="577" t="s">
        <v>937</v>
      </c>
      <c r="P32" s="34">
        <f t="shared" si="1"/>
        <v>103403</v>
      </c>
      <c r="Q32" s="325">
        <f t="shared" si="0"/>
        <v>0</v>
      </c>
      <c r="R32" s="319">
        <v>0</v>
      </c>
      <c r="S32" t="s">
        <v>7</v>
      </c>
    </row>
    <row r="33" spans="1:18" ht="18" thickBot="1" x14ac:dyDescent="0.35">
      <c r="A33" s="23"/>
      <c r="B33" s="24"/>
      <c r="C33" s="25">
        <v>0</v>
      </c>
      <c r="D33" s="65"/>
      <c r="E33" s="27"/>
      <c r="F33" s="28"/>
      <c r="G33" s="572"/>
      <c r="H33" s="29"/>
      <c r="I33" s="30"/>
      <c r="J33" s="56"/>
      <c r="K33" s="223"/>
      <c r="L33" s="69"/>
      <c r="M33" s="32">
        <v>0</v>
      </c>
      <c r="N33" s="33">
        <v>0</v>
      </c>
      <c r="P33" s="34">
        <v>0</v>
      </c>
      <c r="Q33" s="325">
        <v>0</v>
      </c>
      <c r="R33" s="319">
        <v>0</v>
      </c>
    </row>
    <row r="34" spans="1:18" ht="18" thickBot="1" x14ac:dyDescent="0.35">
      <c r="A34" s="23"/>
      <c r="B34" s="24">
        <v>44774</v>
      </c>
      <c r="C34" s="25">
        <v>3786</v>
      </c>
      <c r="D34" s="64" t="s">
        <v>1201</v>
      </c>
      <c r="E34" s="27"/>
      <c r="F34" s="28"/>
      <c r="G34" s="572"/>
      <c r="H34" s="29"/>
      <c r="I34" s="30"/>
      <c r="J34" s="56">
        <v>44779</v>
      </c>
      <c r="K34" s="739" t="s">
        <v>1157</v>
      </c>
      <c r="L34" s="39">
        <v>15889</v>
      </c>
      <c r="M34" s="32">
        <v>0</v>
      </c>
      <c r="N34" s="33">
        <v>0</v>
      </c>
      <c r="P34" s="34">
        <v>0</v>
      </c>
      <c r="Q34" s="325">
        <f t="shared" si="0"/>
        <v>0</v>
      </c>
      <c r="R34" s="319">
        <v>0</v>
      </c>
    </row>
    <row r="35" spans="1:18" ht="18" thickBot="1" x14ac:dyDescent="0.35">
      <c r="A35" s="23"/>
      <c r="B35" s="24">
        <v>44781</v>
      </c>
      <c r="C35" s="690">
        <v>8782.75</v>
      </c>
      <c r="D35" s="67" t="s">
        <v>1206</v>
      </c>
      <c r="E35" s="27"/>
      <c r="F35" s="28"/>
      <c r="G35" s="572"/>
      <c r="H35" s="29"/>
      <c r="I35" s="30"/>
      <c r="J35" s="698">
        <v>44786</v>
      </c>
      <c r="K35" s="740" t="s">
        <v>1158</v>
      </c>
      <c r="L35" s="702">
        <v>17693</v>
      </c>
      <c r="M35" s="32">
        <v>0</v>
      </c>
      <c r="N35" s="33">
        <v>0</v>
      </c>
      <c r="P35" s="34">
        <v>0</v>
      </c>
      <c r="Q35" s="325">
        <f t="shared" si="0"/>
        <v>0</v>
      </c>
      <c r="R35" s="319">
        <v>0</v>
      </c>
    </row>
    <row r="36" spans="1:18" ht="18" customHeight="1" thickTop="1" thickBot="1" x14ac:dyDescent="0.35">
      <c r="A36" s="23"/>
      <c r="B36" s="24">
        <v>44782</v>
      </c>
      <c r="C36" s="693">
        <v>2543.0700000000002</v>
      </c>
      <c r="D36" s="741" t="s">
        <v>1206</v>
      </c>
      <c r="E36" s="27"/>
      <c r="F36" s="28"/>
      <c r="G36" s="662"/>
      <c r="H36" s="29"/>
      <c r="I36" s="30"/>
      <c r="J36" s="56">
        <v>44793</v>
      </c>
      <c r="K36" s="739" t="s">
        <v>1187</v>
      </c>
      <c r="L36" s="39">
        <v>19292</v>
      </c>
      <c r="M36" s="32">
        <v>0</v>
      </c>
      <c r="N36" s="33">
        <v>0</v>
      </c>
      <c r="P36" s="34">
        <v>0</v>
      </c>
      <c r="Q36" s="325">
        <f t="shared" si="0"/>
        <v>0</v>
      </c>
      <c r="R36" s="319">
        <v>0</v>
      </c>
    </row>
    <row r="37" spans="1:18" ht="18" customHeight="1" thickBot="1" x14ac:dyDescent="0.35">
      <c r="A37" s="23"/>
      <c r="B37" s="24">
        <v>44784</v>
      </c>
      <c r="C37" s="692">
        <v>36840</v>
      </c>
      <c r="D37" s="742" t="s">
        <v>1205</v>
      </c>
      <c r="E37" s="27"/>
      <c r="F37" s="28"/>
      <c r="G37" s="662"/>
      <c r="H37" s="29"/>
      <c r="I37" s="30"/>
      <c r="J37" s="56">
        <v>44800</v>
      </c>
      <c r="K37" s="739" t="s">
        <v>1200</v>
      </c>
      <c r="L37" s="39">
        <v>19291</v>
      </c>
      <c r="M37" s="32">
        <v>0</v>
      </c>
      <c r="N37" s="33">
        <v>0</v>
      </c>
      <c r="P37" s="34">
        <v>0</v>
      </c>
      <c r="Q37" s="325">
        <v>0</v>
      </c>
      <c r="R37" s="319">
        <v>0</v>
      </c>
    </row>
    <row r="38" spans="1:18" ht="18" thickBot="1" x14ac:dyDescent="0.35">
      <c r="A38" s="23"/>
      <c r="B38" s="24">
        <v>44790</v>
      </c>
      <c r="C38" s="692">
        <v>7629.21</v>
      </c>
      <c r="D38" s="742" t="s">
        <v>1206</v>
      </c>
      <c r="E38" s="27"/>
      <c r="F38" s="28"/>
      <c r="G38" s="662"/>
      <c r="H38" s="29"/>
      <c r="I38" s="30"/>
      <c r="J38" s="56"/>
      <c r="K38" s="663"/>
      <c r="L38" s="39"/>
      <c r="M38" s="32">
        <v>0</v>
      </c>
      <c r="N38" s="33">
        <v>0</v>
      </c>
      <c r="P38" s="34">
        <v>0</v>
      </c>
      <c r="Q38" s="325">
        <f t="shared" si="0"/>
        <v>0</v>
      </c>
      <c r="R38" s="319">
        <v>0</v>
      </c>
    </row>
    <row r="39" spans="1:18" ht="18" thickBot="1" x14ac:dyDescent="0.35">
      <c r="A39" s="23"/>
      <c r="B39" s="24">
        <v>44792</v>
      </c>
      <c r="C39" s="692">
        <v>200000</v>
      </c>
      <c r="D39" s="695" t="s">
        <v>1208</v>
      </c>
      <c r="E39" s="27"/>
      <c r="F39" s="508"/>
      <c r="G39" s="662"/>
      <c r="H39" s="29"/>
      <c r="I39" s="71"/>
      <c r="J39" s="56">
        <v>44781</v>
      </c>
      <c r="K39" s="663" t="s">
        <v>1202</v>
      </c>
      <c r="L39" s="39">
        <v>6358.5</v>
      </c>
      <c r="M39" s="32">
        <v>0</v>
      </c>
      <c r="N39" s="33">
        <v>0</v>
      </c>
      <c r="P39" s="34">
        <v>0</v>
      </c>
      <c r="Q39" s="111">
        <f t="shared" si="0"/>
        <v>0</v>
      </c>
      <c r="R39" s="319">
        <v>0</v>
      </c>
    </row>
    <row r="40" spans="1:18" ht="18" thickBot="1" x14ac:dyDescent="0.35">
      <c r="A40" s="23"/>
      <c r="B40" s="24">
        <v>44796</v>
      </c>
      <c r="C40" s="692">
        <v>434740</v>
      </c>
      <c r="D40" s="696" t="s">
        <v>1208</v>
      </c>
      <c r="E40" s="27"/>
      <c r="F40" s="70"/>
      <c r="G40" s="572"/>
      <c r="H40" s="36"/>
      <c r="I40" s="71"/>
      <c r="J40" s="56">
        <v>44781</v>
      </c>
      <c r="K40" s="38" t="s">
        <v>1203</v>
      </c>
      <c r="L40" s="39">
        <v>4006.5</v>
      </c>
      <c r="M40" s="267">
        <v>0</v>
      </c>
      <c r="N40" s="268">
        <v>0</v>
      </c>
      <c r="P40" s="34">
        <v>0</v>
      </c>
      <c r="Q40" s="111">
        <f t="shared" si="0"/>
        <v>0</v>
      </c>
      <c r="R40" s="319">
        <v>0</v>
      </c>
    </row>
    <row r="41" spans="1:18" ht="18" thickBot="1" x14ac:dyDescent="0.35">
      <c r="A41" s="23"/>
      <c r="B41" s="24">
        <v>44796</v>
      </c>
      <c r="C41" s="692">
        <v>190403.20000000001</v>
      </c>
      <c r="D41" s="697" t="s">
        <v>1208</v>
      </c>
      <c r="E41" s="74"/>
      <c r="F41" s="75"/>
      <c r="G41" s="572"/>
      <c r="H41" s="76"/>
      <c r="I41" s="77"/>
      <c r="J41" s="56">
        <v>44782</v>
      </c>
      <c r="K41" s="743" t="s">
        <v>1204</v>
      </c>
      <c r="L41" s="39">
        <v>10440</v>
      </c>
      <c r="M41" s="871">
        <f>SUM(M5:M40)</f>
        <v>1553743.1800000002</v>
      </c>
      <c r="N41" s="871">
        <f>SUM(N5:N40)</f>
        <v>1198132</v>
      </c>
      <c r="P41" s="505">
        <f>SUM(P5:P40)</f>
        <v>3384938.6799999997</v>
      </c>
      <c r="Q41" s="936">
        <f>SUM(Q5:Q40)</f>
        <v>4</v>
      </c>
      <c r="R41" s="227">
        <f>SUM(R28:R40)</f>
        <v>0</v>
      </c>
    </row>
    <row r="42" spans="1:18" ht="18" thickBot="1" x14ac:dyDescent="0.35">
      <c r="A42" s="23"/>
      <c r="B42" s="24"/>
      <c r="C42" s="692"/>
      <c r="D42" s="697"/>
      <c r="E42" s="74"/>
      <c r="F42" s="75"/>
      <c r="G42" s="572"/>
      <c r="H42" s="76"/>
      <c r="I42" s="77"/>
      <c r="J42" s="698">
        <v>44785</v>
      </c>
      <c r="K42" s="701" t="s">
        <v>1100</v>
      </c>
      <c r="L42" s="702">
        <v>1856</v>
      </c>
      <c r="M42" s="872"/>
      <c r="N42" s="872"/>
      <c r="P42" s="34"/>
      <c r="Q42" s="937"/>
      <c r="R42" s="227">
        <f>SUM(R5:R41)</f>
        <v>182722</v>
      </c>
    </row>
    <row r="43" spans="1:18" ht="18" thickBot="1" x14ac:dyDescent="0.35">
      <c r="A43" s="23"/>
      <c r="B43" s="24"/>
      <c r="C43" s="692"/>
      <c r="D43" s="697"/>
      <c r="E43" s="74"/>
      <c r="F43" s="75"/>
      <c r="G43" s="572"/>
      <c r="H43" s="76"/>
      <c r="I43" s="77"/>
      <c r="J43" s="56">
        <v>44788</v>
      </c>
      <c r="K43" s="38" t="s">
        <v>1202</v>
      </c>
      <c r="L43" s="39">
        <v>7141.1</v>
      </c>
      <c r="M43" s="727"/>
      <c r="N43" s="727"/>
      <c r="P43" s="34"/>
      <c r="Q43" s="13"/>
    </row>
    <row r="44" spans="1:18" ht="18" thickBot="1" x14ac:dyDescent="0.35">
      <c r="A44" s="23"/>
      <c r="B44" s="24"/>
      <c r="C44" s="692"/>
      <c r="D44" s="697"/>
      <c r="E44" s="74"/>
      <c r="F44" s="75"/>
      <c r="G44" s="572"/>
      <c r="H44" s="76"/>
      <c r="I44" s="77"/>
      <c r="J44" s="56">
        <v>44789</v>
      </c>
      <c r="K44" s="38" t="s">
        <v>201</v>
      </c>
      <c r="L44" s="39">
        <v>549</v>
      </c>
      <c r="M44" s="727"/>
      <c r="N44" s="727"/>
      <c r="P44" s="34"/>
      <c r="Q44" s="13"/>
    </row>
    <row r="45" spans="1:18" ht="18" thickBot="1" x14ac:dyDescent="0.35">
      <c r="A45" s="23"/>
      <c r="B45" s="24"/>
      <c r="C45" s="692"/>
      <c r="D45" s="73"/>
      <c r="E45" s="74"/>
      <c r="F45" s="75"/>
      <c r="G45" s="572"/>
      <c r="H45" s="76"/>
      <c r="I45" s="77"/>
      <c r="J45" s="56">
        <v>44792</v>
      </c>
      <c r="K45" s="671" t="s">
        <v>1207</v>
      </c>
      <c r="L45" s="39">
        <v>2030</v>
      </c>
      <c r="M45" s="938">
        <f>M41+N41</f>
        <v>2751875.18</v>
      </c>
      <c r="N45" s="939"/>
      <c r="P45" s="34"/>
      <c r="Q45" s="13"/>
    </row>
    <row r="46" spans="1:18" ht="18" thickBot="1" x14ac:dyDescent="0.35">
      <c r="A46" s="23"/>
      <c r="B46" s="24"/>
      <c r="C46" s="692"/>
      <c r="D46" s="73"/>
      <c r="E46" s="74"/>
      <c r="F46" s="75"/>
      <c r="G46" s="572"/>
      <c r="H46" s="76"/>
      <c r="I46" s="77"/>
      <c r="J46" s="56">
        <v>44796</v>
      </c>
      <c r="K46" s="38" t="s">
        <v>1202</v>
      </c>
      <c r="L46" s="39">
        <v>6150.35</v>
      </c>
      <c r="M46" s="727"/>
      <c r="N46" s="727"/>
      <c r="P46" s="34"/>
      <c r="Q46" s="13"/>
    </row>
    <row r="47" spans="1:18" ht="18" thickBot="1" x14ac:dyDescent="0.35">
      <c r="A47" s="23"/>
      <c r="B47" s="24"/>
      <c r="C47" s="692"/>
      <c r="D47" s="73"/>
      <c r="E47" s="74"/>
      <c r="F47" s="75"/>
      <c r="G47" s="572"/>
      <c r="H47" s="76"/>
      <c r="I47" s="77"/>
      <c r="J47" s="56">
        <v>44796</v>
      </c>
      <c r="K47" s="38" t="s">
        <v>825</v>
      </c>
      <c r="L47" s="39">
        <v>2320</v>
      </c>
      <c r="M47" s="727"/>
      <c r="N47" s="727"/>
      <c r="P47" s="34"/>
      <c r="Q47" s="13"/>
    </row>
    <row r="48" spans="1:18" ht="18" thickBot="1" x14ac:dyDescent="0.35">
      <c r="A48" s="23"/>
      <c r="B48" s="24"/>
      <c r="C48" s="692"/>
      <c r="D48" s="73"/>
      <c r="E48" s="74"/>
      <c r="F48" s="75"/>
      <c r="G48" s="572"/>
      <c r="H48" s="76"/>
      <c r="I48" s="77"/>
      <c r="J48" s="601">
        <v>44796</v>
      </c>
      <c r="K48" s="38" t="s">
        <v>1209</v>
      </c>
      <c r="L48" s="69">
        <v>4640</v>
      </c>
      <c r="M48" s="727"/>
      <c r="N48" s="727"/>
      <c r="P48" s="34"/>
      <c r="Q48" s="13"/>
    </row>
    <row r="49" spans="1:17" ht="18" thickBot="1" x14ac:dyDescent="0.35">
      <c r="A49" s="23"/>
      <c r="B49" s="24"/>
      <c r="C49" s="692"/>
      <c r="D49" s="73"/>
      <c r="E49" s="74"/>
      <c r="F49" s="75"/>
      <c r="G49" s="572"/>
      <c r="H49" s="76"/>
      <c r="I49" s="77"/>
      <c r="J49" s="601">
        <v>44797</v>
      </c>
      <c r="K49" s="38" t="s">
        <v>1210</v>
      </c>
      <c r="L49" s="69">
        <f>11110.94+3061.13+1939.06</f>
        <v>16111.13</v>
      </c>
      <c r="M49" s="727"/>
      <c r="N49" s="727"/>
      <c r="P49" s="34"/>
      <c r="Q49" s="13"/>
    </row>
    <row r="50" spans="1:17" ht="18" thickBot="1" x14ac:dyDescent="0.35">
      <c r="A50" s="23"/>
      <c r="B50" s="24"/>
      <c r="C50" s="692"/>
      <c r="D50" s="73"/>
      <c r="E50" s="74"/>
      <c r="F50" s="75"/>
      <c r="G50" s="572"/>
      <c r="H50" s="76"/>
      <c r="I50" s="77"/>
      <c r="J50" s="601">
        <v>44797</v>
      </c>
      <c r="K50" s="38" t="s">
        <v>1211</v>
      </c>
      <c r="L50" s="69">
        <f>120206.2</f>
        <v>120206.2</v>
      </c>
      <c r="M50" s="727"/>
      <c r="N50" s="727"/>
      <c r="P50" s="34"/>
      <c r="Q50" s="13"/>
    </row>
    <row r="51" spans="1:17" ht="18" thickBot="1" x14ac:dyDescent="0.35">
      <c r="A51" s="23"/>
      <c r="B51" s="24"/>
      <c r="C51" s="692"/>
      <c r="D51" s="73"/>
      <c r="E51" s="74"/>
      <c r="F51" s="75"/>
      <c r="G51" s="572"/>
      <c r="H51" s="76"/>
      <c r="I51" s="77"/>
      <c r="J51" s="601">
        <v>44797</v>
      </c>
      <c r="K51" s="38" t="s">
        <v>1211</v>
      </c>
      <c r="L51" s="69">
        <v>79793.8</v>
      </c>
      <c r="M51" s="727"/>
      <c r="N51" s="727"/>
      <c r="P51" s="34"/>
      <c r="Q51" s="13"/>
    </row>
    <row r="52" spans="1:17" ht="18" thickBot="1" x14ac:dyDescent="0.35">
      <c r="A52" s="23"/>
      <c r="B52" s="24"/>
      <c r="C52" s="692"/>
      <c r="D52" s="73"/>
      <c r="E52" s="74"/>
      <c r="F52" s="75"/>
      <c r="G52" s="572"/>
      <c r="H52" s="76"/>
      <c r="I52" s="77"/>
      <c r="J52" s="601">
        <v>44798</v>
      </c>
      <c r="K52" s="38" t="s">
        <v>1212</v>
      </c>
      <c r="L52" s="69">
        <v>16230.99</v>
      </c>
      <c r="M52" s="727"/>
      <c r="N52" s="727"/>
      <c r="P52" s="34"/>
      <c r="Q52" s="13"/>
    </row>
    <row r="53" spans="1:17" ht="18" thickBot="1" x14ac:dyDescent="0.35">
      <c r="A53" s="23"/>
      <c r="B53" s="24"/>
      <c r="C53" s="692"/>
      <c r="D53" s="73"/>
      <c r="E53" s="74"/>
      <c r="F53" s="75"/>
      <c r="G53" s="572"/>
      <c r="H53" s="76"/>
      <c r="I53" s="77"/>
      <c r="J53" s="601">
        <v>44798</v>
      </c>
      <c r="K53" s="38" t="s">
        <v>1213</v>
      </c>
      <c r="L53" s="69">
        <v>28000</v>
      </c>
      <c r="M53" s="727"/>
      <c r="N53" s="727"/>
      <c r="P53" s="34"/>
      <c r="Q53" s="13"/>
    </row>
    <row r="54" spans="1:17" ht="18" thickBot="1" x14ac:dyDescent="0.35">
      <c r="A54" s="23"/>
      <c r="B54" s="24"/>
      <c r="C54" s="694"/>
      <c r="D54" s="73"/>
      <c r="E54" s="74"/>
      <c r="F54" s="75"/>
      <c r="G54" s="572"/>
      <c r="H54" s="76"/>
      <c r="I54" s="77"/>
      <c r="J54" s="601">
        <v>44799</v>
      </c>
      <c r="K54" s="671" t="s">
        <v>1214</v>
      </c>
      <c r="L54" s="69">
        <v>5972.48</v>
      </c>
      <c r="M54" s="727"/>
      <c r="N54" s="727"/>
      <c r="P54" s="34"/>
      <c r="Q54" s="13"/>
    </row>
    <row r="55" spans="1:17" ht="18.75" thickTop="1" thickBot="1" x14ac:dyDescent="0.35">
      <c r="A55" s="23"/>
      <c r="B55" s="24"/>
      <c r="C55" s="691"/>
      <c r="D55" s="73"/>
      <c r="E55" s="74"/>
      <c r="F55" s="75"/>
      <c r="G55" s="572"/>
      <c r="H55" s="76"/>
      <c r="I55" s="77"/>
      <c r="J55" s="601">
        <v>44802</v>
      </c>
      <c r="K55" s="570" t="s">
        <v>1215</v>
      </c>
      <c r="L55" s="69">
        <v>7772</v>
      </c>
      <c r="M55" s="727"/>
      <c r="N55" s="727"/>
      <c r="P55" s="34"/>
      <c r="Q55" s="13"/>
    </row>
    <row r="56" spans="1:17" ht="18" thickBot="1" x14ac:dyDescent="0.35">
      <c r="A56" s="23"/>
      <c r="B56" s="24"/>
      <c r="C56" s="25"/>
      <c r="D56" s="73"/>
      <c r="E56" s="74"/>
      <c r="F56" s="75"/>
      <c r="G56" s="572"/>
      <c r="H56" s="76"/>
      <c r="I56" s="77"/>
      <c r="J56" s="601">
        <v>44802</v>
      </c>
      <c r="K56" s="570" t="s">
        <v>1216</v>
      </c>
      <c r="L56" s="69">
        <v>30567.47</v>
      </c>
      <c r="M56" s="727"/>
      <c r="N56" s="727"/>
      <c r="P56" s="34"/>
      <c r="Q56" s="13"/>
    </row>
    <row r="57" spans="1:17" ht="18" hidden="1" thickBot="1" x14ac:dyDescent="0.35">
      <c r="A57" s="23"/>
      <c r="B57" s="24"/>
      <c r="C57" s="25"/>
      <c r="D57" s="73"/>
      <c r="E57" s="74"/>
      <c r="F57" s="75"/>
      <c r="G57" s="572"/>
      <c r="H57" s="76"/>
      <c r="I57" s="77"/>
      <c r="J57" s="601"/>
      <c r="K57" s="38"/>
      <c r="L57" s="69"/>
      <c r="M57" s="727"/>
      <c r="N57" s="727"/>
      <c r="P57" s="34"/>
      <c r="Q57" s="13"/>
    </row>
    <row r="58" spans="1:17" ht="18" hidden="1" thickBot="1" x14ac:dyDescent="0.35">
      <c r="A58" s="23"/>
      <c r="B58" s="24"/>
      <c r="C58" s="25"/>
      <c r="D58" s="73"/>
      <c r="E58" s="74"/>
      <c r="F58" s="75"/>
      <c r="G58" s="572"/>
      <c r="H58" s="76"/>
      <c r="I58" s="77"/>
      <c r="J58" s="699"/>
      <c r="K58" s="623"/>
      <c r="L58" s="703"/>
      <c r="M58" s="727"/>
      <c r="N58" s="727"/>
      <c r="P58" s="34"/>
      <c r="Q58" s="13"/>
    </row>
    <row r="59" spans="1:17" ht="18" hidden="1" thickBot="1" x14ac:dyDescent="0.35">
      <c r="A59" s="23"/>
      <c r="B59" s="24"/>
      <c r="C59" s="25"/>
      <c r="D59" s="73"/>
      <c r="E59" s="74"/>
      <c r="F59" s="75"/>
      <c r="G59" s="572"/>
      <c r="H59" s="76"/>
      <c r="I59" s="77"/>
      <c r="J59" s="466"/>
      <c r="K59" s="700"/>
      <c r="L59" s="54"/>
      <c r="M59" s="727"/>
      <c r="N59" s="727"/>
      <c r="P59" s="34"/>
      <c r="Q59" s="13"/>
    </row>
    <row r="60" spans="1:17" ht="16.5" hidden="1" thickBot="1" x14ac:dyDescent="0.3">
      <c r="A60" s="23"/>
      <c r="B60" s="80"/>
      <c r="C60" s="25">
        <v>0</v>
      </c>
      <c r="D60" s="81"/>
      <c r="E60" s="82"/>
      <c r="F60" s="72"/>
      <c r="H60" s="83"/>
      <c r="I60" s="77"/>
      <c r="J60" s="557"/>
      <c r="K60" s="174"/>
      <c r="L60" s="69"/>
      <c r="M60" s="34"/>
      <c r="N60" s="34"/>
      <c r="P60" s="34"/>
      <c r="Q60" s="13"/>
    </row>
    <row r="61" spans="1:17" ht="16.5" hidden="1" thickBot="1" x14ac:dyDescent="0.3">
      <c r="A61" s="23"/>
      <c r="B61" s="595"/>
      <c r="C61" s="596"/>
      <c r="D61" s="81"/>
      <c r="E61" s="597"/>
      <c r="F61" s="34"/>
      <c r="H61" s="598"/>
      <c r="I61" s="34"/>
      <c r="J61" s="557"/>
      <c r="K61" s="671"/>
      <c r="L61" s="69"/>
      <c r="M61" s="34"/>
      <c r="N61" s="34"/>
      <c r="P61" s="34"/>
      <c r="Q61" s="13"/>
    </row>
    <row r="62" spans="1:17" ht="16.5" hidden="1" thickBot="1" x14ac:dyDescent="0.3">
      <c r="A62" s="23"/>
      <c r="B62" s="595"/>
      <c r="C62" s="596"/>
      <c r="D62" s="81"/>
      <c r="E62" s="597"/>
      <c r="F62" s="34"/>
      <c r="H62" s="598"/>
      <c r="I62" s="34"/>
      <c r="J62" s="557"/>
      <c r="K62" s="671"/>
      <c r="L62" s="69"/>
      <c r="M62" s="34"/>
      <c r="N62" s="34"/>
      <c r="P62" s="34"/>
      <c r="Q62" s="13"/>
    </row>
    <row r="63" spans="1:17" ht="16.5" hidden="1" thickBot="1" x14ac:dyDescent="0.3">
      <c r="A63" s="23"/>
      <c r="B63" s="595"/>
      <c r="C63" s="596"/>
      <c r="D63" s="81"/>
      <c r="E63" s="597"/>
      <c r="F63" s="34"/>
      <c r="H63" s="598"/>
      <c r="I63" s="34"/>
      <c r="J63" s="557"/>
      <c r="K63" s="671"/>
      <c r="L63" s="69"/>
      <c r="M63" s="34"/>
      <c r="N63" s="34"/>
      <c r="P63" s="34"/>
      <c r="Q63" s="13"/>
    </row>
    <row r="64" spans="1:17" ht="16.5" hidden="1" thickBot="1" x14ac:dyDescent="0.3">
      <c r="A64" s="23"/>
      <c r="B64" s="595"/>
      <c r="C64" s="596"/>
      <c r="D64" s="81"/>
      <c r="E64" s="597"/>
      <c r="F64" s="34"/>
      <c r="H64" s="598"/>
      <c r="I64" s="34"/>
      <c r="J64" s="557"/>
      <c r="K64" s="671"/>
      <c r="L64" s="69"/>
      <c r="M64" s="34"/>
      <c r="N64" s="34"/>
      <c r="P64" s="34"/>
      <c r="Q64" s="13"/>
    </row>
    <row r="65" spans="1:17" ht="16.5" hidden="1" thickBot="1" x14ac:dyDescent="0.3">
      <c r="A65" s="23"/>
      <c r="B65" s="595"/>
      <c r="C65" s="596"/>
      <c r="D65" s="81"/>
      <c r="E65" s="597"/>
      <c r="F65" s="34"/>
      <c r="H65" s="598"/>
      <c r="I65" s="34"/>
      <c r="J65" s="557"/>
      <c r="K65" s="671"/>
      <c r="L65" s="69"/>
      <c r="M65" s="34"/>
      <c r="N65" s="34"/>
      <c r="P65" s="34"/>
      <c r="Q65" s="13"/>
    </row>
    <row r="66" spans="1:17" ht="16.5" thickBot="1" x14ac:dyDescent="0.3">
      <c r="A66" s="23"/>
      <c r="B66" s="595"/>
      <c r="C66" s="596"/>
      <c r="D66" s="81"/>
      <c r="E66" s="597"/>
      <c r="F66" s="34"/>
      <c r="H66" s="598"/>
      <c r="I66" s="34"/>
      <c r="J66" s="670"/>
      <c r="K66" s="164"/>
      <c r="L66" s="9"/>
      <c r="M66" s="34"/>
      <c r="N66" s="34"/>
      <c r="P66" s="34"/>
      <c r="Q66" s="13"/>
    </row>
    <row r="67" spans="1:17" ht="16.5" thickBot="1" x14ac:dyDescent="0.3">
      <c r="B67" s="550" t="s">
        <v>8</v>
      </c>
      <c r="C67" s="87">
        <f>SUM(C5:C60)</f>
        <v>1367024.73</v>
      </c>
      <c r="D67" s="88"/>
      <c r="E67" s="91" t="s">
        <v>8</v>
      </c>
      <c r="F67" s="90">
        <f>SUM(F5:F60)</f>
        <v>3202213</v>
      </c>
      <c r="G67" s="573"/>
      <c r="H67" s="91" t="s">
        <v>9</v>
      </c>
      <c r="I67" s="92">
        <f>SUM(I5:I60)</f>
        <v>79249</v>
      </c>
      <c r="J67" s="93"/>
      <c r="K67" s="94" t="s">
        <v>10</v>
      </c>
      <c r="L67" s="95">
        <f>SUM(L5:L65)-L26</f>
        <v>493824.52</v>
      </c>
      <c r="M67" s="96"/>
      <c r="N67" s="96"/>
      <c r="P67" s="34"/>
      <c r="Q67" s="13"/>
    </row>
    <row r="68" spans="1:17" ht="16.5" thickTop="1" x14ac:dyDescent="0.25">
      <c r="C68" s="3" t="s">
        <v>7</v>
      </c>
      <c r="P68" s="34"/>
      <c r="Q68" s="13"/>
    </row>
    <row r="69" spans="1:17" ht="18.75" x14ac:dyDescent="0.25">
      <c r="A69" s="98"/>
      <c r="B69" s="99"/>
      <c r="C69" s="1"/>
      <c r="H69" s="848" t="s">
        <v>11</v>
      </c>
      <c r="I69" s="849"/>
      <c r="J69" s="559"/>
      <c r="K69" s="973">
        <f>I67+L67</f>
        <v>573073.52</v>
      </c>
      <c r="L69" s="974"/>
      <c r="M69" s="272"/>
      <c r="N69" s="272"/>
      <c r="P69" s="34"/>
      <c r="Q69" s="13"/>
    </row>
    <row r="70" spans="1:17" x14ac:dyDescent="0.25">
      <c r="D70" s="854" t="s">
        <v>12</v>
      </c>
      <c r="E70" s="854"/>
      <c r="F70" s="312">
        <f>F67-K69-C67</f>
        <v>1262114.75</v>
      </c>
      <c r="I70" s="102"/>
      <c r="J70" s="560"/>
    </row>
    <row r="71" spans="1:17" ht="18.75" x14ac:dyDescent="0.3">
      <c r="D71" s="878" t="s">
        <v>95</v>
      </c>
      <c r="E71" s="878"/>
      <c r="F71" s="111">
        <v>-1715125.23</v>
      </c>
      <c r="I71" s="855" t="s">
        <v>13</v>
      </c>
      <c r="J71" s="856"/>
      <c r="K71" s="857">
        <f>F73+F74+F75</f>
        <v>2249865.5500000003</v>
      </c>
      <c r="L71" s="857"/>
      <c r="M71" s="404"/>
      <c r="N71" s="404"/>
      <c r="O71" s="654"/>
      <c r="P71" s="404"/>
      <c r="Q71" s="404"/>
    </row>
    <row r="72" spans="1:17" ht="19.5" thickBot="1" x14ac:dyDescent="0.35">
      <c r="D72" s="313" t="s">
        <v>94</v>
      </c>
      <c r="E72" s="314"/>
      <c r="F72" s="315">
        <v>-301758.96000000002</v>
      </c>
      <c r="I72" s="105"/>
      <c r="J72" s="106"/>
      <c r="K72" s="571"/>
      <c r="L72" s="154"/>
      <c r="M72" s="404"/>
      <c r="N72" s="404"/>
      <c r="O72" s="654"/>
      <c r="P72" s="404"/>
      <c r="Q72" s="404"/>
    </row>
    <row r="73" spans="1:17" ht="19.5" thickTop="1" x14ac:dyDescent="0.3">
      <c r="C73" s="4" t="s">
        <v>7</v>
      </c>
      <c r="E73" s="98" t="s">
        <v>14</v>
      </c>
      <c r="F73" s="96">
        <f>SUM(F70:F72)</f>
        <v>-754769.44</v>
      </c>
      <c r="H73" s="555"/>
      <c r="I73" s="108" t="s">
        <v>15</v>
      </c>
      <c r="J73" s="109"/>
      <c r="K73" s="969">
        <f>-C4</f>
        <v>-2274653.09</v>
      </c>
      <c r="L73" s="857"/>
    </row>
    <row r="74" spans="1:17" ht="16.5" thickBot="1" x14ac:dyDescent="0.3">
      <c r="D74" s="110" t="s">
        <v>16</v>
      </c>
      <c r="E74" s="98" t="s">
        <v>17</v>
      </c>
      <c r="F74" s="111">
        <v>332079</v>
      </c>
    </row>
    <row r="75" spans="1:17" ht="20.25" thickTop="1" thickBot="1" x14ac:dyDescent="0.35">
      <c r="C75" s="112">
        <v>44801</v>
      </c>
      <c r="D75" s="837" t="s">
        <v>18</v>
      </c>
      <c r="E75" s="838"/>
      <c r="F75" s="113">
        <v>2672555.9900000002</v>
      </c>
      <c r="I75" s="839" t="s">
        <v>97</v>
      </c>
      <c r="J75" s="840"/>
      <c r="K75" s="841">
        <f>K71+K73</f>
        <v>-24787.539999999572</v>
      </c>
      <c r="L75" s="841"/>
    </row>
    <row r="76" spans="1:17" ht="17.25" x14ac:dyDescent="0.3">
      <c r="C76" s="114"/>
      <c r="D76" s="115"/>
      <c r="E76" s="98"/>
      <c r="F76" s="117"/>
      <c r="J76" s="118"/>
    </row>
    <row r="77" spans="1:17" ht="20.25" customHeight="1" x14ac:dyDescent="0.25">
      <c r="I77" s="119"/>
      <c r="J77" s="119"/>
      <c r="K77" s="179"/>
      <c r="L77" s="120"/>
    </row>
    <row r="78" spans="1:17" ht="16.5" customHeight="1" x14ac:dyDescent="0.25">
      <c r="B78" s="121"/>
      <c r="C78" s="122"/>
      <c r="D78" s="123"/>
      <c r="E78" s="34"/>
      <c r="I78" s="119"/>
      <c r="J78" s="119"/>
      <c r="K78" s="179"/>
      <c r="L78" s="120"/>
      <c r="M78" s="124"/>
      <c r="N78" s="98"/>
    </row>
    <row r="79" spans="1:17" x14ac:dyDescent="0.25">
      <c r="B79" s="121"/>
      <c r="C79" s="125"/>
      <c r="E79" s="34"/>
      <c r="M79" s="124"/>
      <c r="N79" s="98"/>
    </row>
    <row r="80" spans="1:17" x14ac:dyDescent="0.25">
      <c r="B80" s="121"/>
      <c r="C80" s="125"/>
      <c r="E80" s="34"/>
      <c r="F80" s="126"/>
      <c r="L80" s="127"/>
      <c r="M80" s="1"/>
    </row>
    <row r="81" spans="2:13" x14ac:dyDescent="0.25">
      <c r="B81" s="121"/>
      <c r="C81" s="125"/>
      <c r="E81" s="34"/>
      <c r="M81" s="1"/>
    </row>
    <row r="82" spans="2:13" x14ac:dyDescent="0.25">
      <c r="B82" s="121"/>
      <c r="C82" s="125"/>
      <c r="D82" s="128"/>
      <c r="E82" s="34"/>
      <c r="F82" s="129"/>
      <c r="M82" s="1"/>
    </row>
    <row r="83" spans="2:13" x14ac:dyDescent="0.25">
      <c r="D83" s="128"/>
      <c r="E83" s="130"/>
      <c r="F83" s="34"/>
      <c r="M83" s="1"/>
    </row>
    <row r="84" spans="2:13" x14ac:dyDescent="0.25">
      <c r="D84" s="128"/>
      <c r="E84" s="130"/>
      <c r="F84" s="34"/>
      <c r="M84" s="1"/>
    </row>
    <row r="85" spans="2:13" x14ac:dyDescent="0.25">
      <c r="D85" s="128"/>
      <c r="E85" s="130"/>
      <c r="F85" s="34"/>
      <c r="M85" s="1"/>
    </row>
    <row r="86" spans="2:13" x14ac:dyDescent="0.25">
      <c r="D86" s="128"/>
      <c r="E86" s="130"/>
      <c r="F86" s="34"/>
      <c r="M86" s="1"/>
    </row>
    <row r="87" spans="2:13" x14ac:dyDescent="0.25">
      <c r="D87" s="128"/>
      <c r="E87" s="130"/>
      <c r="F87" s="34"/>
      <c r="M87" s="1"/>
    </row>
    <row r="88" spans="2:13" x14ac:dyDescent="0.25">
      <c r="D88" s="128"/>
      <c r="E88" s="130"/>
      <c r="F88" s="34"/>
      <c r="M88" s="1"/>
    </row>
    <row r="89" spans="2:13" x14ac:dyDescent="0.25">
      <c r="D89" s="128"/>
      <c r="E89" s="130"/>
      <c r="F89" s="34"/>
      <c r="M89" s="1"/>
    </row>
    <row r="90" spans="2:13" x14ac:dyDescent="0.25">
      <c r="D90" s="128"/>
      <c r="E90" s="130"/>
      <c r="F90" s="34"/>
      <c r="M90" s="1"/>
    </row>
    <row r="91" spans="2:13" x14ac:dyDescent="0.25">
      <c r="D91" s="128"/>
      <c r="E91" s="130"/>
      <c r="F91" s="34"/>
      <c r="M91" s="1"/>
    </row>
    <row r="92" spans="2:13" x14ac:dyDescent="0.25">
      <c r="D92" s="128"/>
      <c r="E92" s="130"/>
      <c r="F92" s="34"/>
      <c r="M92" s="1"/>
    </row>
    <row r="93" spans="2:13" x14ac:dyDescent="0.25">
      <c r="D93" s="128"/>
      <c r="E93" s="130"/>
      <c r="F93" s="34"/>
      <c r="M93" s="1"/>
    </row>
    <row r="94" spans="2:13" x14ac:dyDescent="0.25">
      <c r="D94" s="128"/>
      <c r="E94" s="130"/>
      <c r="F94" s="34"/>
    </row>
    <row r="95" spans="2:13" x14ac:dyDescent="0.25">
      <c r="D95" s="128"/>
      <c r="E95" s="554"/>
      <c r="F95" s="129"/>
    </row>
    <row r="96" spans="2:13" x14ac:dyDescent="0.25">
      <c r="D96" s="128"/>
      <c r="E96" s="554"/>
      <c r="F96" s="129"/>
    </row>
    <row r="97" spans="4:6" x14ac:dyDescent="0.25">
      <c r="D97" s="128"/>
      <c r="E97" s="554"/>
      <c r="F97" s="129"/>
    </row>
  </sheetData>
  <mergeCells count="22">
    <mergeCell ref="M45:N45"/>
    <mergeCell ref="P3:P4"/>
    <mergeCell ref="B1:B2"/>
    <mergeCell ref="C1:M1"/>
    <mergeCell ref="B3:C3"/>
    <mergeCell ref="H3:I3"/>
    <mergeCell ref="R3:R4"/>
    <mergeCell ref="E4:F4"/>
    <mergeCell ref="H4:I4"/>
    <mergeCell ref="D75:E75"/>
    <mergeCell ref="I75:J75"/>
    <mergeCell ref="K75:L75"/>
    <mergeCell ref="M41:M42"/>
    <mergeCell ref="N41:N42"/>
    <mergeCell ref="D70:E70"/>
    <mergeCell ref="D71:E71"/>
    <mergeCell ref="I71:J71"/>
    <mergeCell ref="K71:L71"/>
    <mergeCell ref="K73:L73"/>
    <mergeCell ref="H69:I69"/>
    <mergeCell ref="K69:L69"/>
    <mergeCell ref="Q41:Q42"/>
  </mergeCells>
  <pageMargins left="0.25" right="0.25" top="0.75" bottom="0.75" header="0.3" footer="0.3"/>
  <pageSetup paperSize="5" orientation="landscape" horizontalDpi="0" verticalDpi="0" r:id="rId1"/>
  <drawing r:id="rId2"/>
  <legacyDrawing r:id="rId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M123"/>
  <sheetViews>
    <sheetView topLeftCell="B43" workbookViewId="0">
      <selection activeCell="G83" sqref="G83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7.7109375" style="4" customWidth="1"/>
    <col min="6" max="6" width="22.140625" style="3" customWidth="1"/>
    <col min="7" max="7" width="8.42578125" customWidth="1"/>
    <col min="8" max="8" width="14.5703125" style="98" customWidth="1"/>
    <col min="9" max="9" width="13.28515625" style="116" customWidth="1"/>
    <col min="10" max="10" width="18.85546875" style="4" bestFit="1" customWidth="1"/>
    <col min="11" max="11" width="12.42578125" style="257" bestFit="1" customWidth="1"/>
    <col min="12" max="12" width="15.140625" style="4" bestFit="1" customWidth="1"/>
    <col min="13" max="13" width="19.5703125" style="3" bestFit="1" customWidth="1"/>
  </cols>
  <sheetData>
    <row r="1" spans="1:13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H1" s="301" t="s">
        <v>318</v>
      </c>
      <c r="I1" s="302"/>
      <c r="J1" s="303"/>
      <c r="K1" s="367"/>
      <c r="L1" s="303"/>
      <c r="M1" s="377" t="s">
        <v>314</v>
      </c>
    </row>
    <row r="2" spans="1:13" ht="21.75" customHeight="1" thickTop="1" thickBot="1" x14ac:dyDescent="0.35">
      <c r="A2" s="545" t="s">
        <v>19</v>
      </c>
      <c r="B2" s="546" t="s">
        <v>20</v>
      </c>
      <c r="C2" s="547" t="s">
        <v>21</v>
      </c>
      <c r="D2" s="548" t="s">
        <v>22</v>
      </c>
      <c r="E2" s="549" t="s">
        <v>23</v>
      </c>
      <c r="F2" s="289" t="s">
        <v>210</v>
      </c>
      <c r="H2" s="297" t="s">
        <v>19</v>
      </c>
      <c r="I2" s="308" t="s">
        <v>265</v>
      </c>
      <c r="J2" s="299" t="s">
        <v>21</v>
      </c>
      <c r="K2" s="368" t="s">
        <v>22</v>
      </c>
      <c r="L2" s="299" t="s">
        <v>23</v>
      </c>
      <c r="M2" s="309" t="s">
        <v>210</v>
      </c>
    </row>
    <row r="3" spans="1:13" ht="24" customHeight="1" x14ac:dyDescent="0.3">
      <c r="A3" s="454">
        <v>44774</v>
      </c>
      <c r="B3" s="246" t="s">
        <v>1162</v>
      </c>
      <c r="C3" s="111">
        <v>154625.5</v>
      </c>
      <c r="D3" s="652">
        <v>44837</v>
      </c>
      <c r="E3" s="653">
        <v>154625.5</v>
      </c>
      <c r="F3" s="410">
        <f>C3-E3</f>
        <v>0</v>
      </c>
      <c r="H3" s="744" t="s">
        <v>1217</v>
      </c>
      <c r="I3" s="745">
        <v>9938</v>
      </c>
      <c r="J3" s="746">
        <v>20969</v>
      </c>
      <c r="K3" s="732"/>
      <c r="L3" s="706"/>
      <c r="M3" s="183">
        <f>J3-L3</f>
        <v>20969</v>
      </c>
    </row>
    <row r="4" spans="1:13" ht="18.75" x14ac:dyDescent="0.3">
      <c r="A4" s="454">
        <v>44775</v>
      </c>
      <c r="B4" s="246" t="s">
        <v>1163</v>
      </c>
      <c r="C4" s="111">
        <v>33703.32</v>
      </c>
      <c r="D4" s="652">
        <v>44837</v>
      </c>
      <c r="E4" s="653">
        <v>33703.32</v>
      </c>
      <c r="F4" s="544">
        <f t="shared" ref="F4:F65" si="0">C4-E4</f>
        <v>0</v>
      </c>
      <c r="G4" s="138"/>
      <c r="H4" s="747" t="s">
        <v>1217</v>
      </c>
      <c r="I4" s="748">
        <v>9940</v>
      </c>
      <c r="J4" s="749">
        <v>1080</v>
      </c>
      <c r="K4" s="732"/>
      <c r="L4" s="706"/>
      <c r="M4" s="137">
        <f>M3+J4-L4</f>
        <v>22049</v>
      </c>
    </row>
    <row r="5" spans="1:13" ht="17.25" x14ac:dyDescent="0.3">
      <c r="A5" s="454">
        <v>44777</v>
      </c>
      <c r="B5" s="246" t="s">
        <v>1164</v>
      </c>
      <c r="C5" s="111">
        <v>100041.42</v>
      </c>
      <c r="D5" s="652">
        <v>44837</v>
      </c>
      <c r="E5" s="653">
        <v>100041.42</v>
      </c>
      <c r="F5" s="544">
        <f t="shared" si="0"/>
        <v>0</v>
      </c>
      <c r="H5" s="744" t="s">
        <v>1218</v>
      </c>
      <c r="I5" s="745">
        <v>9950</v>
      </c>
      <c r="J5" s="746">
        <v>300</v>
      </c>
      <c r="K5" s="732"/>
      <c r="L5" s="706"/>
      <c r="M5" s="137">
        <f t="shared" ref="M5:M65" si="1">M4+J5-L5</f>
        <v>22349</v>
      </c>
    </row>
    <row r="6" spans="1:13" ht="17.25" x14ac:dyDescent="0.3">
      <c r="A6" s="454">
        <v>44778</v>
      </c>
      <c r="B6" s="246" t="s">
        <v>1165</v>
      </c>
      <c r="C6" s="111">
        <v>83301.009999999995</v>
      </c>
      <c r="D6" s="652">
        <v>44837</v>
      </c>
      <c r="E6" s="653">
        <v>83301.009999999995</v>
      </c>
      <c r="F6" s="544">
        <f t="shared" si="0"/>
        <v>0</v>
      </c>
      <c r="H6" s="747" t="s">
        <v>1219</v>
      </c>
      <c r="I6" s="748">
        <v>9963</v>
      </c>
      <c r="J6" s="749">
        <v>1907.2</v>
      </c>
      <c r="K6" s="732"/>
      <c r="L6" s="706"/>
      <c r="M6" s="137">
        <f t="shared" si="1"/>
        <v>24256.2</v>
      </c>
    </row>
    <row r="7" spans="1:13" ht="17.25" x14ac:dyDescent="0.3">
      <c r="A7" s="454">
        <v>44779</v>
      </c>
      <c r="B7" s="246" t="s">
        <v>1166</v>
      </c>
      <c r="C7" s="111">
        <v>109154.04</v>
      </c>
      <c r="D7" s="652">
        <v>44837</v>
      </c>
      <c r="E7" s="653">
        <v>109154.04</v>
      </c>
      <c r="F7" s="544">
        <f t="shared" si="0"/>
        <v>0</v>
      </c>
      <c r="H7" s="747" t="s">
        <v>1220</v>
      </c>
      <c r="I7" s="748">
        <v>9981</v>
      </c>
      <c r="J7" s="749">
        <v>500</v>
      </c>
      <c r="K7" s="732"/>
      <c r="L7" s="706"/>
      <c r="M7" s="137">
        <f t="shared" si="1"/>
        <v>24756.2</v>
      </c>
    </row>
    <row r="8" spans="1:13" ht="17.25" x14ac:dyDescent="0.3">
      <c r="A8" s="454">
        <v>44781</v>
      </c>
      <c r="B8" s="246" t="s">
        <v>1167</v>
      </c>
      <c r="C8" s="111">
        <v>157421.98000000001</v>
      </c>
      <c r="D8" s="652">
        <v>44837</v>
      </c>
      <c r="E8" s="653">
        <v>157421.98000000001</v>
      </c>
      <c r="F8" s="544">
        <f t="shared" si="0"/>
        <v>0</v>
      </c>
      <c r="H8" s="744" t="s">
        <v>1220</v>
      </c>
      <c r="I8" s="745">
        <v>9985</v>
      </c>
      <c r="J8" s="746">
        <v>2866.38</v>
      </c>
      <c r="K8" s="732"/>
      <c r="L8" s="706"/>
      <c r="M8" s="137">
        <f t="shared" si="1"/>
        <v>27622.58</v>
      </c>
    </row>
    <row r="9" spans="1:13" ht="17.25" x14ac:dyDescent="0.3">
      <c r="A9" s="454">
        <v>44782</v>
      </c>
      <c r="B9" s="246" t="s">
        <v>1168</v>
      </c>
      <c r="C9" s="111">
        <v>112479.02</v>
      </c>
      <c r="D9" s="652">
        <v>44837</v>
      </c>
      <c r="E9" s="653">
        <v>112479.02</v>
      </c>
      <c r="F9" s="544">
        <f t="shared" si="0"/>
        <v>0</v>
      </c>
      <c r="H9" s="744" t="s">
        <v>1221</v>
      </c>
      <c r="I9" s="745">
        <v>9988</v>
      </c>
      <c r="J9" s="746">
        <v>13086.8</v>
      </c>
      <c r="K9" s="732"/>
      <c r="L9" s="706"/>
      <c r="M9" s="137">
        <f t="shared" si="1"/>
        <v>40709.380000000005</v>
      </c>
    </row>
    <row r="10" spans="1:13" ht="18.75" x14ac:dyDescent="0.3">
      <c r="A10" s="454">
        <v>44783</v>
      </c>
      <c r="B10" s="246" t="s">
        <v>1169</v>
      </c>
      <c r="C10" s="111">
        <v>21000.400000000001</v>
      </c>
      <c r="D10" s="652">
        <v>44837</v>
      </c>
      <c r="E10" s="653">
        <v>21000.400000000001</v>
      </c>
      <c r="F10" s="544">
        <f t="shared" si="0"/>
        <v>0</v>
      </c>
      <c r="G10" s="138"/>
      <c r="H10" s="747" t="s">
        <v>1222</v>
      </c>
      <c r="I10" s="748">
        <v>10001</v>
      </c>
      <c r="J10" s="749">
        <v>300</v>
      </c>
      <c r="K10" s="732"/>
      <c r="L10" s="706"/>
      <c r="M10" s="137">
        <f t="shared" si="1"/>
        <v>41009.380000000005</v>
      </c>
    </row>
    <row r="11" spans="1:13" ht="17.25" x14ac:dyDescent="0.3">
      <c r="A11" s="454">
        <v>44784</v>
      </c>
      <c r="B11" s="246" t="s">
        <v>1170</v>
      </c>
      <c r="C11" s="111">
        <v>60532.46</v>
      </c>
      <c r="D11" s="652">
        <v>44837</v>
      </c>
      <c r="E11" s="653">
        <v>60532.46</v>
      </c>
      <c r="F11" s="544">
        <f t="shared" si="0"/>
        <v>0</v>
      </c>
      <c r="H11" s="744" t="s">
        <v>1223</v>
      </c>
      <c r="I11" s="745">
        <v>10011</v>
      </c>
      <c r="J11" s="746">
        <v>3566.2</v>
      </c>
      <c r="K11" s="732"/>
      <c r="L11" s="706"/>
      <c r="M11" s="137">
        <f t="shared" si="1"/>
        <v>44575.58</v>
      </c>
    </row>
    <row r="12" spans="1:13" ht="17.25" x14ac:dyDescent="0.3">
      <c r="A12" s="454">
        <v>44785</v>
      </c>
      <c r="B12" s="246" t="s">
        <v>1171</v>
      </c>
      <c r="C12" s="111">
        <v>73336.13</v>
      </c>
      <c r="D12" s="652">
        <v>44837</v>
      </c>
      <c r="E12" s="653">
        <v>73336.13</v>
      </c>
      <c r="F12" s="544">
        <f t="shared" si="0"/>
        <v>0</v>
      </c>
      <c r="H12" s="747" t="s">
        <v>1223</v>
      </c>
      <c r="I12" s="748">
        <v>10013</v>
      </c>
      <c r="J12" s="749">
        <v>500</v>
      </c>
      <c r="K12" s="732"/>
      <c r="L12" s="706"/>
      <c r="M12" s="137">
        <f t="shared" si="1"/>
        <v>45075.58</v>
      </c>
    </row>
    <row r="13" spans="1:13" ht="17.25" x14ac:dyDescent="0.3">
      <c r="A13" s="454">
        <v>44786</v>
      </c>
      <c r="B13" s="246" t="s">
        <v>1172</v>
      </c>
      <c r="C13" s="111">
        <v>104138.62</v>
      </c>
      <c r="D13" s="652">
        <v>44837</v>
      </c>
      <c r="E13" s="653">
        <v>104138.62</v>
      </c>
      <c r="F13" s="544">
        <f t="shared" si="0"/>
        <v>0</v>
      </c>
      <c r="H13" s="747" t="s">
        <v>1224</v>
      </c>
      <c r="I13" s="748">
        <v>10017</v>
      </c>
      <c r="J13" s="749">
        <v>1380</v>
      </c>
      <c r="K13" s="732"/>
      <c r="L13" s="706"/>
      <c r="M13" s="137">
        <f t="shared" si="1"/>
        <v>46455.58</v>
      </c>
    </row>
    <row r="14" spans="1:13" ht="32.25" x14ac:dyDescent="0.3">
      <c r="A14" s="454">
        <v>44788</v>
      </c>
      <c r="B14" s="246" t="s">
        <v>1173</v>
      </c>
      <c r="C14" s="111">
        <v>120814.64</v>
      </c>
      <c r="D14" s="797" t="s">
        <v>1371</v>
      </c>
      <c r="E14" s="653">
        <f>76948.57+43866.07</f>
        <v>120814.64000000001</v>
      </c>
      <c r="F14" s="544">
        <f t="shared" si="0"/>
        <v>0</v>
      </c>
      <c r="H14" s="744" t="s">
        <v>1225</v>
      </c>
      <c r="I14" s="745">
        <v>10036</v>
      </c>
      <c r="J14" s="746">
        <v>1800</v>
      </c>
      <c r="K14" s="732"/>
      <c r="L14" s="706"/>
      <c r="M14" s="137">
        <f t="shared" si="1"/>
        <v>48255.58</v>
      </c>
    </row>
    <row r="15" spans="1:13" ht="17.25" x14ac:dyDescent="0.3">
      <c r="A15" s="454">
        <v>44789</v>
      </c>
      <c r="B15" s="246" t="s">
        <v>1174</v>
      </c>
      <c r="C15" s="111">
        <v>19406.900000000001</v>
      </c>
      <c r="D15" s="584">
        <v>44841</v>
      </c>
      <c r="E15" s="585">
        <v>19406.900000000001</v>
      </c>
      <c r="F15" s="544">
        <f t="shared" si="0"/>
        <v>0</v>
      </c>
      <c r="H15" s="747" t="s">
        <v>1226</v>
      </c>
      <c r="I15" s="748">
        <v>10049</v>
      </c>
      <c r="J15" s="749">
        <v>13000.8</v>
      </c>
      <c r="K15" s="732"/>
      <c r="L15" s="706"/>
      <c r="M15" s="137">
        <f t="shared" si="1"/>
        <v>61256.380000000005</v>
      </c>
    </row>
    <row r="16" spans="1:13" ht="17.25" x14ac:dyDescent="0.3">
      <c r="A16" s="454">
        <v>44790</v>
      </c>
      <c r="B16" s="246" t="s">
        <v>1175</v>
      </c>
      <c r="C16" s="111">
        <v>67461.399999999994</v>
      </c>
      <c r="D16" s="584">
        <v>44841</v>
      </c>
      <c r="E16" s="585">
        <v>67461.399999999994</v>
      </c>
      <c r="F16" s="544">
        <f t="shared" si="0"/>
        <v>0</v>
      </c>
      <c r="H16" s="744" t="s">
        <v>1227</v>
      </c>
      <c r="I16" s="745">
        <v>10054</v>
      </c>
      <c r="J16" s="746">
        <v>30306.68</v>
      </c>
      <c r="K16" s="732"/>
      <c r="L16" s="706"/>
      <c r="M16" s="137">
        <f t="shared" si="1"/>
        <v>91563.06</v>
      </c>
    </row>
    <row r="17" spans="1:13" ht="17.25" x14ac:dyDescent="0.3">
      <c r="A17" s="454">
        <v>44791</v>
      </c>
      <c r="B17" s="246" t="s">
        <v>1176</v>
      </c>
      <c r="C17" s="111">
        <v>79085.52</v>
      </c>
      <c r="D17" s="584">
        <v>44841</v>
      </c>
      <c r="E17" s="585">
        <v>79085.52</v>
      </c>
      <c r="F17" s="544">
        <f t="shared" si="0"/>
        <v>0</v>
      </c>
      <c r="H17" s="747" t="s">
        <v>1228</v>
      </c>
      <c r="I17" s="748">
        <v>10063</v>
      </c>
      <c r="J17" s="749">
        <v>400</v>
      </c>
      <c r="K17" s="732"/>
      <c r="L17" s="706"/>
      <c r="M17" s="137">
        <f t="shared" si="1"/>
        <v>91963.06</v>
      </c>
    </row>
    <row r="18" spans="1:13" ht="17.25" x14ac:dyDescent="0.3">
      <c r="A18" s="454">
        <v>44791</v>
      </c>
      <c r="B18" s="246" t="s">
        <v>1177</v>
      </c>
      <c r="C18" s="111">
        <v>543.20000000000005</v>
      </c>
      <c r="D18" s="584">
        <v>44841</v>
      </c>
      <c r="E18" s="585">
        <v>543.20000000000005</v>
      </c>
      <c r="F18" s="544">
        <f t="shared" si="0"/>
        <v>0</v>
      </c>
      <c r="H18" s="747" t="s">
        <v>1229</v>
      </c>
      <c r="I18" s="748">
        <v>10067</v>
      </c>
      <c r="J18" s="749">
        <v>0</v>
      </c>
      <c r="K18" s="732"/>
      <c r="L18" s="706"/>
      <c r="M18" s="137">
        <f t="shared" si="1"/>
        <v>91963.06</v>
      </c>
    </row>
    <row r="19" spans="1:13" ht="32.25" x14ac:dyDescent="0.3">
      <c r="A19" s="454">
        <v>44792</v>
      </c>
      <c r="B19" s="246" t="s">
        <v>1178</v>
      </c>
      <c r="C19" s="111">
        <v>22809.58</v>
      </c>
      <c r="D19" s="806" t="s">
        <v>1373</v>
      </c>
      <c r="E19" s="585">
        <f>16600.41+6209.17</f>
        <v>22809.58</v>
      </c>
      <c r="F19" s="544">
        <f t="shared" si="0"/>
        <v>0</v>
      </c>
      <c r="H19" s="744" t="s">
        <v>1229</v>
      </c>
      <c r="I19" s="745">
        <v>10068</v>
      </c>
      <c r="J19" s="746">
        <v>65604</v>
      </c>
      <c r="K19" s="732"/>
      <c r="L19" s="706"/>
      <c r="M19" s="137">
        <f t="shared" si="1"/>
        <v>157567.06</v>
      </c>
    </row>
    <row r="20" spans="1:13" ht="17.25" x14ac:dyDescent="0.3">
      <c r="A20" s="454">
        <v>44793</v>
      </c>
      <c r="B20" s="246" t="s">
        <v>1179</v>
      </c>
      <c r="C20" s="111">
        <v>95140.96</v>
      </c>
      <c r="D20" s="807">
        <v>44842</v>
      </c>
      <c r="E20" s="707">
        <v>95140.96</v>
      </c>
      <c r="F20" s="544">
        <f t="shared" si="0"/>
        <v>0</v>
      </c>
      <c r="H20" s="744" t="s">
        <v>1230</v>
      </c>
      <c r="I20" s="745">
        <v>10080</v>
      </c>
      <c r="J20" s="746">
        <v>24654.400000000001</v>
      </c>
      <c r="K20" s="732"/>
      <c r="L20" s="706"/>
      <c r="M20" s="137">
        <f t="shared" si="1"/>
        <v>182221.46</v>
      </c>
    </row>
    <row r="21" spans="1:13" ht="17.25" x14ac:dyDescent="0.3">
      <c r="A21" s="454">
        <v>44793</v>
      </c>
      <c r="B21" s="246" t="s">
        <v>1180</v>
      </c>
      <c r="C21" s="111">
        <v>1861.5</v>
      </c>
      <c r="D21" s="807">
        <v>44842</v>
      </c>
      <c r="E21" s="707">
        <v>1861.5</v>
      </c>
      <c r="F21" s="544">
        <f t="shared" si="0"/>
        <v>0</v>
      </c>
      <c r="H21" s="747" t="s">
        <v>1231</v>
      </c>
      <c r="I21" s="748">
        <v>10085</v>
      </c>
      <c r="J21" s="749">
        <v>2029.1</v>
      </c>
      <c r="K21" s="732"/>
      <c r="L21" s="706"/>
      <c r="M21" s="137">
        <f t="shared" si="1"/>
        <v>184250.56</v>
      </c>
    </row>
    <row r="22" spans="1:13" ht="18.75" x14ac:dyDescent="0.3">
      <c r="A22" s="454">
        <v>44795</v>
      </c>
      <c r="B22" s="246" t="s">
        <v>1181</v>
      </c>
      <c r="C22" s="111">
        <v>108419.36</v>
      </c>
      <c r="D22" s="807">
        <v>44842</v>
      </c>
      <c r="E22" s="707">
        <v>108419.36</v>
      </c>
      <c r="F22" s="544">
        <f t="shared" si="0"/>
        <v>0</v>
      </c>
      <c r="G22" s="644"/>
      <c r="H22" s="747" t="s">
        <v>1231</v>
      </c>
      <c r="I22" s="748">
        <v>10087</v>
      </c>
      <c r="J22" s="749">
        <v>16779.599999999999</v>
      </c>
      <c r="K22" s="732"/>
      <c r="L22" s="706"/>
      <c r="M22" s="137">
        <f t="shared" si="1"/>
        <v>201030.16</v>
      </c>
    </row>
    <row r="23" spans="1:13" ht="15.75" x14ac:dyDescent="0.25">
      <c r="A23" s="454">
        <v>44796</v>
      </c>
      <c r="B23" s="246" t="s">
        <v>1192</v>
      </c>
      <c r="C23" s="111">
        <v>17118</v>
      </c>
      <c r="D23" s="807">
        <v>44842</v>
      </c>
      <c r="E23" s="707">
        <v>17118</v>
      </c>
      <c r="F23" s="544">
        <f t="shared" si="0"/>
        <v>0</v>
      </c>
      <c r="G23" s="2"/>
      <c r="H23" s="744" t="s">
        <v>1232</v>
      </c>
      <c r="I23" s="745">
        <v>10106</v>
      </c>
      <c r="J23" s="746">
        <v>3162</v>
      </c>
      <c r="K23" s="412"/>
      <c r="L23" s="111"/>
      <c r="M23" s="137">
        <f t="shared" si="1"/>
        <v>204192.16</v>
      </c>
    </row>
    <row r="24" spans="1:13" ht="21" customHeight="1" x14ac:dyDescent="0.25">
      <c r="A24" s="454">
        <v>44797</v>
      </c>
      <c r="B24" s="246" t="s">
        <v>1193</v>
      </c>
      <c r="C24" s="111">
        <v>35648.26</v>
      </c>
      <c r="D24" s="807">
        <v>44842</v>
      </c>
      <c r="E24" s="707">
        <v>35648.26</v>
      </c>
      <c r="F24" s="544">
        <f t="shared" si="0"/>
        <v>0</v>
      </c>
      <c r="G24" s="2"/>
      <c r="H24" s="747" t="s">
        <v>1232</v>
      </c>
      <c r="I24" s="748">
        <v>10107</v>
      </c>
      <c r="J24" s="749">
        <v>43133.2</v>
      </c>
      <c r="K24" s="412"/>
      <c r="L24" s="111"/>
      <c r="M24" s="137">
        <f t="shared" si="1"/>
        <v>247325.36</v>
      </c>
    </row>
    <row r="25" spans="1:13" ht="31.5" x14ac:dyDescent="0.25">
      <c r="A25" s="454">
        <v>44797</v>
      </c>
      <c r="B25" s="246" t="s">
        <v>1194</v>
      </c>
      <c r="C25" s="111">
        <v>104295.06</v>
      </c>
      <c r="D25" s="809" t="s">
        <v>1374</v>
      </c>
      <c r="E25" s="707">
        <f>6215.75+98079.31</f>
        <v>104295.06</v>
      </c>
      <c r="F25" s="544">
        <f t="shared" si="0"/>
        <v>0</v>
      </c>
      <c r="G25" s="645"/>
      <c r="H25" s="747" t="s">
        <v>1233</v>
      </c>
      <c r="I25" s="748">
        <v>10115</v>
      </c>
      <c r="J25" s="749">
        <v>11058</v>
      </c>
      <c r="K25" s="412"/>
      <c r="L25" s="111"/>
      <c r="M25" s="137">
        <f t="shared" si="1"/>
        <v>258383.35999999999</v>
      </c>
    </row>
    <row r="26" spans="1:13" ht="15.75" x14ac:dyDescent="0.25">
      <c r="A26" s="454">
        <v>44798</v>
      </c>
      <c r="B26" s="580" t="s">
        <v>1195</v>
      </c>
      <c r="C26" s="111">
        <v>7764.05</v>
      </c>
      <c r="D26" s="808">
        <v>44845</v>
      </c>
      <c r="E26" s="261">
        <v>7764.05</v>
      </c>
      <c r="F26" s="544">
        <f t="shared" si="0"/>
        <v>0</v>
      </c>
      <c r="G26" s="645"/>
      <c r="H26" s="747" t="s">
        <v>1234</v>
      </c>
      <c r="I26" s="748">
        <v>10123</v>
      </c>
      <c r="J26" s="749">
        <v>2038</v>
      </c>
      <c r="K26" s="412"/>
      <c r="L26" s="111"/>
      <c r="M26" s="137">
        <f t="shared" si="1"/>
        <v>260421.36</v>
      </c>
    </row>
    <row r="27" spans="1:13" ht="15.75" x14ac:dyDescent="0.25">
      <c r="A27" s="454">
        <v>44799</v>
      </c>
      <c r="B27" s="246" t="s">
        <v>1196</v>
      </c>
      <c r="C27" s="111">
        <v>25022.9</v>
      </c>
      <c r="D27" s="808">
        <v>44845</v>
      </c>
      <c r="E27" s="261">
        <v>25022.9</v>
      </c>
      <c r="F27" s="544">
        <f t="shared" si="0"/>
        <v>0</v>
      </c>
      <c r="G27" s="645"/>
      <c r="H27" s="744" t="s">
        <v>1234</v>
      </c>
      <c r="I27" s="745">
        <v>10124</v>
      </c>
      <c r="J27" s="746">
        <v>26455.599999999999</v>
      </c>
      <c r="K27" s="412"/>
      <c r="L27" s="111"/>
      <c r="M27" s="137">
        <f t="shared" si="1"/>
        <v>286876.95999999996</v>
      </c>
    </row>
    <row r="28" spans="1:13" ht="15.75" x14ac:dyDescent="0.25">
      <c r="A28" s="454"/>
      <c r="B28" s="246"/>
      <c r="C28" s="111"/>
      <c r="D28" s="412"/>
      <c r="E28" s="111"/>
      <c r="F28" s="544">
        <f t="shared" si="0"/>
        <v>0</v>
      </c>
      <c r="G28" s="645"/>
      <c r="H28" s="744" t="s">
        <v>1235</v>
      </c>
      <c r="I28" s="745">
        <v>10134</v>
      </c>
      <c r="J28" s="746">
        <v>1670</v>
      </c>
      <c r="K28" s="412"/>
      <c r="L28" s="111"/>
      <c r="M28" s="137">
        <f t="shared" si="1"/>
        <v>288546.95999999996</v>
      </c>
    </row>
    <row r="29" spans="1:13" ht="15.75" x14ac:dyDescent="0.25">
      <c r="A29" s="454"/>
      <c r="B29" s="246"/>
      <c r="C29" s="111"/>
      <c r="D29" s="412"/>
      <c r="E29" s="111"/>
      <c r="F29" s="544">
        <f t="shared" si="0"/>
        <v>0</v>
      </c>
      <c r="G29" s="645"/>
      <c r="H29" s="744" t="s">
        <v>1235</v>
      </c>
      <c r="I29" s="745">
        <v>10136</v>
      </c>
      <c r="J29" s="746">
        <v>550</v>
      </c>
      <c r="K29" s="412"/>
      <c r="L29" s="111"/>
      <c r="M29" s="137">
        <f t="shared" si="1"/>
        <v>289096.95999999996</v>
      </c>
    </row>
    <row r="30" spans="1:13" ht="15.75" x14ac:dyDescent="0.25">
      <c r="A30" s="454"/>
      <c r="B30" s="246"/>
      <c r="C30" s="111"/>
      <c r="D30" s="412"/>
      <c r="E30" s="111"/>
      <c r="F30" s="544">
        <f t="shared" si="0"/>
        <v>0</v>
      </c>
      <c r="G30" s="645"/>
      <c r="H30" s="747" t="s">
        <v>1236</v>
      </c>
      <c r="I30" s="748">
        <v>10141</v>
      </c>
      <c r="J30" s="749">
        <v>440</v>
      </c>
      <c r="K30" s="412"/>
      <c r="L30" s="111"/>
      <c r="M30" s="137">
        <f t="shared" si="1"/>
        <v>289536.95999999996</v>
      </c>
    </row>
    <row r="31" spans="1:13" ht="15.75" x14ac:dyDescent="0.25">
      <c r="A31" s="454"/>
      <c r="B31" s="246"/>
      <c r="C31" s="111"/>
      <c r="D31" s="412"/>
      <c r="E31" s="111"/>
      <c r="F31" s="544">
        <f t="shared" si="0"/>
        <v>0</v>
      </c>
      <c r="G31" s="2"/>
      <c r="H31" s="747" t="s">
        <v>1237</v>
      </c>
      <c r="I31" s="748">
        <v>10148</v>
      </c>
      <c r="J31" s="749">
        <v>1298</v>
      </c>
      <c r="K31" s="412"/>
      <c r="L31" s="111"/>
      <c r="M31" s="137">
        <f t="shared" si="1"/>
        <v>290834.95999999996</v>
      </c>
    </row>
    <row r="32" spans="1:13" ht="15.75" x14ac:dyDescent="0.25">
      <c r="A32" s="454"/>
      <c r="B32" s="246"/>
      <c r="C32" s="111"/>
      <c r="D32" s="412"/>
      <c r="E32" s="111"/>
      <c r="F32" s="544">
        <f t="shared" si="0"/>
        <v>0</v>
      </c>
      <c r="G32" s="2"/>
      <c r="H32" s="744" t="s">
        <v>1238</v>
      </c>
      <c r="I32" s="745">
        <v>10160</v>
      </c>
      <c r="J32" s="746">
        <v>9934</v>
      </c>
      <c r="K32" s="412"/>
      <c r="L32" s="111"/>
      <c r="M32" s="137">
        <f t="shared" si="1"/>
        <v>300768.95999999996</v>
      </c>
    </row>
    <row r="33" spans="1:13" ht="15.75" x14ac:dyDescent="0.25">
      <c r="A33" s="454"/>
      <c r="B33" s="246"/>
      <c r="C33" s="111"/>
      <c r="D33" s="412"/>
      <c r="E33" s="111"/>
      <c r="F33" s="544">
        <f t="shared" si="0"/>
        <v>0</v>
      </c>
      <c r="H33" s="747" t="s">
        <v>1239</v>
      </c>
      <c r="I33" s="748">
        <v>10183</v>
      </c>
      <c r="J33" s="749">
        <v>550</v>
      </c>
      <c r="K33" s="412"/>
      <c r="L33" s="111"/>
      <c r="M33" s="137">
        <f t="shared" si="1"/>
        <v>301318.95999999996</v>
      </c>
    </row>
    <row r="34" spans="1:13" ht="15.75" x14ac:dyDescent="0.25">
      <c r="A34" s="454"/>
      <c r="B34" s="246"/>
      <c r="C34" s="111"/>
      <c r="D34" s="412"/>
      <c r="E34" s="111"/>
      <c r="F34" s="544">
        <f t="shared" si="0"/>
        <v>0</v>
      </c>
      <c r="H34" s="744" t="s">
        <v>1240</v>
      </c>
      <c r="I34" s="745">
        <v>10187</v>
      </c>
      <c r="J34" s="746">
        <v>440</v>
      </c>
      <c r="K34" s="412"/>
      <c r="L34" s="111"/>
      <c r="M34" s="137">
        <f t="shared" si="1"/>
        <v>301758.95999999996</v>
      </c>
    </row>
    <row r="35" spans="1:13" ht="17.25" x14ac:dyDescent="0.3">
      <c r="A35" s="454"/>
      <c r="B35" s="246"/>
      <c r="C35" s="111"/>
      <c r="D35" s="412"/>
      <c r="E35" s="111"/>
      <c r="F35" s="544">
        <f t="shared" si="0"/>
        <v>0</v>
      </c>
      <c r="H35" s="704"/>
      <c r="I35" s="705"/>
      <c r="J35" s="706"/>
      <c r="K35" s="412"/>
      <c r="L35" s="111"/>
      <c r="M35" s="137">
        <f t="shared" si="1"/>
        <v>301758.95999999996</v>
      </c>
    </row>
    <row r="36" spans="1:13" ht="17.25" x14ac:dyDescent="0.3">
      <c r="A36" s="454"/>
      <c r="B36" s="246"/>
      <c r="C36" s="111"/>
      <c r="D36" s="412"/>
      <c r="E36" s="111"/>
      <c r="F36" s="544">
        <f t="shared" si="0"/>
        <v>0</v>
      </c>
      <c r="H36" s="704"/>
      <c r="I36" s="705"/>
      <c r="J36" s="706"/>
      <c r="K36" s="412"/>
      <c r="L36" s="111"/>
      <c r="M36" s="137">
        <f t="shared" si="1"/>
        <v>301758.95999999996</v>
      </c>
    </row>
    <row r="37" spans="1:13" ht="17.25" x14ac:dyDescent="0.3">
      <c r="A37" s="454"/>
      <c r="B37" s="246"/>
      <c r="C37" s="111"/>
      <c r="D37" s="412"/>
      <c r="E37" s="111"/>
      <c r="F37" s="544">
        <f t="shared" si="0"/>
        <v>0</v>
      </c>
      <c r="H37" s="704"/>
      <c r="I37" s="705"/>
      <c r="J37" s="706"/>
      <c r="K37" s="412"/>
      <c r="L37" s="111"/>
      <c r="M37" s="137">
        <f t="shared" si="1"/>
        <v>301758.95999999996</v>
      </c>
    </row>
    <row r="38" spans="1:13" ht="17.25" x14ac:dyDescent="0.3">
      <c r="A38" s="454"/>
      <c r="B38" s="246"/>
      <c r="C38" s="111"/>
      <c r="D38" s="412"/>
      <c r="E38" s="111"/>
      <c r="F38" s="544">
        <f t="shared" si="0"/>
        <v>0</v>
      </c>
      <c r="H38" s="704"/>
      <c r="I38" s="705"/>
      <c r="J38" s="706"/>
      <c r="K38" s="412"/>
      <c r="L38" s="111"/>
      <c r="M38" s="137">
        <f t="shared" si="1"/>
        <v>301758.95999999996</v>
      </c>
    </row>
    <row r="39" spans="1:13" ht="15.75" x14ac:dyDescent="0.25">
      <c r="A39" s="667"/>
      <c r="B39" s="668"/>
      <c r="C39" s="111"/>
      <c r="D39" s="253"/>
      <c r="E39" s="69"/>
      <c r="F39" s="111">
        <f t="shared" si="0"/>
        <v>0</v>
      </c>
      <c r="H39" s="134"/>
      <c r="I39" s="139"/>
      <c r="J39" s="69"/>
      <c r="K39" s="253"/>
      <c r="L39" s="69"/>
      <c r="M39" s="137">
        <f t="shared" si="1"/>
        <v>301758.95999999996</v>
      </c>
    </row>
    <row r="40" spans="1:13" ht="15.75" x14ac:dyDescent="0.25">
      <c r="A40" s="667"/>
      <c r="B40" s="668"/>
      <c r="C40" s="111"/>
      <c r="D40" s="253"/>
      <c r="E40" s="69"/>
      <c r="F40" s="111">
        <f t="shared" si="0"/>
        <v>0</v>
      </c>
      <c r="H40" s="930" t="s">
        <v>594</v>
      </c>
      <c r="I40" s="931"/>
      <c r="J40" s="69"/>
      <c r="K40" s="253"/>
      <c r="L40" s="69"/>
      <c r="M40" s="137">
        <f t="shared" si="1"/>
        <v>301758.95999999996</v>
      </c>
    </row>
    <row r="41" spans="1:13" ht="15.75" x14ac:dyDescent="0.25">
      <c r="A41" s="667"/>
      <c r="B41" s="668"/>
      <c r="C41" s="111"/>
      <c r="D41" s="253"/>
      <c r="E41" s="69"/>
      <c r="F41" s="111">
        <f t="shared" si="0"/>
        <v>0</v>
      </c>
      <c r="H41" s="932"/>
      <c r="I41" s="933"/>
      <c r="J41" s="69"/>
      <c r="K41" s="253"/>
      <c r="L41" s="69"/>
      <c r="M41" s="137">
        <f t="shared" si="1"/>
        <v>301758.95999999996</v>
      </c>
    </row>
    <row r="42" spans="1:13" ht="15.75" x14ac:dyDescent="0.25">
      <c r="A42" s="667"/>
      <c r="B42" s="668"/>
      <c r="C42" s="111"/>
      <c r="D42" s="253"/>
      <c r="E42" s="69"/>
      <c r="F42" s="111">
        <f t="shared" si="0"/>
        <v>0</v>
      </c>
      <c r="H42" s="934"/>
      <c r="I42" s="935"/>
      <c r="J42" s="69"/>
      <c r="K42" s="253"/>
      <c r="L42" s="69"/>
      <c r="M42" s="137">
        <f t="shared" si="1"/>
        <v>301758.95999999996</v>
      </c>
    </row>
    <row r="43" spans="1:13" ht="15.75" x14ac:dyDescent="0.25">
      <c r="A43" s="667"/>
      <c r="B43" s="668"/>
      <c r="C43" s="111"/>
      <c r="D43" s="253"/>
      <c r="E43" s="69"/>
      <c r="F43" s="111">
        <f t="shared" si="0"/>
        <v>0</v>
      </c>
      <c r="H43" s="134"/>
      <c r="I43" s="139"/>
      <c r="J43" s="69"/>
      <c r="K43" s="253"/>
      <c r="L43" s="69"/>
      <c r="M43" s="137">
        <f t="shared" si="1"/>
        <v>301758.95999999996</v>
      </c>
    </row>
    <row r="44" spans="1:13" ht="15.75" x14ac:dyDescent="0.25">
      <c r="A44" s="669"/>
      <c r="B44" s="668"/>
      <c r="C44" s="111"/>
      <c r="D44" s="253"/>
      <c r="E44" s="69"/>
      <c r="F44" s="111">
        <f t="shared" si="0"/>
        <v>0</v>
      </c>
      <c r="H44" s="134"/>
      <c r="I44" s="139"/>
      <c r="J44" s="69"/>
      <c r="K44" s="253"/>
      <c r="L44" s="69"/>
      <c r="M44" s="137">
        <f t="shared" si="1"/>
        <v>301758.95999999996</v>
      </c>
    </row>
    <row r="45" spans="1:13" ht="15.75" x14ac:dyDescent="0.25">
      <c r="A45" s="669"/>
      <c r="B45" s="668"/>
      <c r="C45" s="111"/>
      <c r="D45" s="253"/>
      <c r="E45" s="69"/>
      <c r="F45" s="111">
        <f t="shared" si="0"/>
        <v>0</v>
      </c>
      <c r="H45" s="134"/>
      <c r="I45" s="139"/>
      <c r="J45" s="69"/>
      <c r="K45" s="253"/>
      <c r="L45" s="69"/>
      <c r="M45" s="137">
        <f t="shared" si="1"/>
        <v>301758.95999999996</v>
      </c>
    </row>
    <row r="46" spans="1:13" ht="15.75" x14ac:dyDescent="0.25">
      <c r="A46" s="666"/>
      <c r="B46" s="664"/>
      <c r="C46" s="69"/>
      <c r="D46" s="253"/>
      <c r="E46" s="69"/>
      <c r="F46" s="111">
        <f t="shared" si="0"/>
        <v>0</v>
      </c>
      <c r="H46" s="134"/>
      <c r="I46" s="139"/>
      <c r="J46" s="69"/>
      <c r="K46" s="253"/>
      <c r="L46" s="69"/>
      <c r="M46" s="137">
        <f t="shared" si="1"/>
        <v>301758.95999999996</v>
      </c>
    </row>
    <row r="47" spans="1:13" ht="15.75" x14ac:dyDescent="0.25">
      <c r="A47" s="134"/>
      <c r="B47" s="664"/>
      <c r="C47" s="69"/>
      <c r="D47" s="253"/>
      <c r="E47" s="69"/>
      <c r="F47" s="111">
        <f t="shared" si="0"/>
        <v>0</v>
      </c>
      <c r="H47" s="134"/>
      <c r="I47" s="139"/>
      <c r="J47" s="69"/>
      <c r="K47" s="253"/>
      <c r="L47" s="69"/>
      <c r="M47" s="137">
        <f t="shared" si="1"/>
        <v>301758.95999999996</v>
      </c>
    </row>
    <row r="48" spans="1:13" ht="15.75" x14ac:dyDescent="0.25">
      <c r="A48" s="134"/>
      <c r="B48" s="664"/>
      <c r="C48" s="69"/>
      <c r="D48" s="253"/>
      <c r="E48" s="69"/>
      <c r="F48" s="111">
        <f t="shared" si="0"/>
        <v>0</v>
      </c>
      <c r="H48" s="134"/>
      <c r="I48" s="139"/>
      <c r="J48" s="69"/>
      <c r="K48" s="253"/>
      <c r="L48" s="69"/>
      <c r="M48" s="137">
        <f t="shared" si="1"/>
        <v>301758.95999999996</v>
      </c>
    </row>
    <row r="49" spans="1:13" ht="15.75" hidden="1" x14ac:dyDescent="0.25">
      <c r="A49" s="134"/>
      <c r="B49" s="665"/>
      <c r="C49" s="69"/>
      <c r="D49" s="253"/>
      <c r="E49" s="69"/>
      <c r="F49" s="111">
        <f t="shared" si="0"/>
        <v>0</v>
      </c>
      <c r="H49" s="134"/>
      <c r="I49" s="139"/>
      <c r="J49" s="69"/>
      <c r="K49" s="253"/>
      <c r="L49" s="69"/>
      <c r="M49" s="137">
        <f t="shared" si="1"/>
        <v>301758.95999999996</v>
      </c>
    </row>
    <row r="50" spans="1:13" ht="15.75" hidden="1" x14ac:dyDescent="0.25">
      <c r="A50" s="134"/>
      <c r="B50" s="139"/>
      <c r="C50" s="69"/>
      <c r="D50" s="254"/>
      <c r="E50" s="69"/>
      <c r="F50" s="111">
        <f t="shared" si="0"/>
        <v>0</v>
      </c>
      <c r="H50" s="356"/>
      <c r="I50" s="357"/>
      <c r="J50" s="34"/>
      <c r="K50" s="118"/>
      <c r="L50" s="34"/>
      <c r="M50" s="137">
        <f t="shared" si="1"/>
        <v>301758.95999999996</v>
      </c>
    </row>
    <row r="51" spans="1:13" ht="15.75" hidden="1" x14ac:dyDescent="0.25">
      <c r="A51" s="134"/>
      <c r="B51" s="139"/>
      <c r="C51" s="69"/>
      <c r="D51" s="254"/>
      <c r="E51" s="69"/>
      <c r="F51" s="111">
        <f t="shared" si="0"/>
        <v>0</v>
      </c>
      <c r="H51" s="356"/>
      <c r="I51" s="357"/>
      <c r="J51" s="34"/>
      <c r="K51" s="118"/>
      <c r="L51" s="34"/>
      <c r="M51" s="137">
        <f t="shared" si="1"/>
        <v>301758.95999999996</v>
      </c>
    </row>
    <row r="52" spans="1:13" ht="15.75" hidden="1" x14ac:dyDescent="0.25">
      <c r="A52" s="134"/>
      <c r="B52" s="139"/>
      <c r="C52" s="69"/>
      <c r="D52" s="254"/>
      <c r="E52" s="69"/>
      <c r="F52" s="111">
        <f t="shared" si="0"/>
        <v>0</v>
      </c>
      <c r="H52" s="356"/>
      <c r="I52" s="357"/>
      <c r="J52" s="34"/>
      <c r="K52" s="118"/>
      <c r="L52" s="34"/>
      <c r="M52" s="137">
        <f t="shared" si="1"/>
        <v>301758.95999999996</v>
      </c>
    </row>
    <row r="53" spans="1:13" ht="15.75" hidden="1" x14ac:dyDescent="0.25">
      <c r="A53" s="134"/>
      <c r="B53" s="139"/>
      <c r="C53" s="69"/>
      <c r="D53" s="254"/>
      <c r="E53" s="69"/>
      <c r="F53" s="111">
        <f t="shared" si="0"/>
        <v>0</v>
      </c>
      <c r="H53" s="356"/>
      <c r="I53" s="357"/>
      <c r="J53" s="34"/>
      <c r="K53" s="118"/>
      <c r="L53" s="34"/>
      <c r="M53" s="137">
        <f t="shared" si="1"/>
        <v>301758.95999999996</v>
      </c>
    </row>
    <row r="54" spans="1:13" ht="15.75" hidden="1" x14ac:dyDescent="0.25">
      <c r="A54" s="134"/>
      <c r="B54" s="139"/>
      <c r="C54" s="69"/>
      <c r="D54" s="254"/>
      <c r="E54" s="69"/>
      <c r="F54" s="111">
        <f t="shared" si="0"/>
        <v>0</v>
      </c>
      <c r="H54" s="356"/>
      <c r="I54" s="357"/>
      <c r="J54" s="34"/>
      <c r="K54" s="118"/>
      <c r="L54" s="34"/>
      <c r="M54" s="137">
        <f t="shared" si="1"/>
        <v>301758.95999999996</v>
      </c>
    </row>
    <row r="55" spans="1:13" ht="15.75" hidden="1" x14ac:dyDescent="0.25">
      <c r="A55" s="356"/>
      <c r="B55" s="357"/>
      <c r="C55" s="34"/>
      <c r="D55" s="118"/>
      <c r="E55" s="34"/>
      <c r="F55" s="111">
        <f t="shared" si="0"/>
        <v>0</v>
      </c>
      <c r="H55" s="356"/>
      <c r="I55" s="357"/>
      <c r="J55" s="34"/>
      <c r="K55" s="118"/>
      <c r="L55" s="34"/>
      <c r="M55" s="137">
        <f t="shared" si="1"/>
        <v>301758.95999999996</v>
      </c>
    </row>
    <row r="56" spans="1:13" ht="15.75" hidden="1" x14ac:dyDescent="0.25">
      <c r="A56" s="134"/>
      <c r="B56" s="139"/>
      <c r="C56" s="69"/>
      <c r="D56" s="254"/>
      <c r="E56" s="69"/>
      <c r="F56" s="111">
        <f t="shared" si="0"/>
        <v>0</v>
      </c>
      <c r="H56" s="134"/>
      <c r="I56" s="139"/>
      <c r="J56" s="69"/>
      <c r="K56" s="254"/>
      <c r="L56" s="69"/>
      <c r="M56" s="137">
        <f t="shared" si="1"/>
        <v>301758.95999999996</v>
      </c>
    </row>
    <row r="57" spans="1:13" ht="15.75" hidden="1" x14ac:dyDescent="0.25">
      <c r="A57" s="134"/>
      <c r="B57" s="139"/>
      <c r="C57" s="69"/>
      <c r="D57" s="254"/>
      <c r="E57" s="69"/>
      <c r="F57" s="111">
        <f t="shared" si="0"/>
        <v>0</v>
      </c>
      <c r="H57" s="134"/>
      <c r="I57" s="139"/>
      <c r="J57" s="69"/>
      <c r="K57" s="254"/>
      <c r="L57" s="69"/>
      <c r="M57" s="137">
        <f t="shared" si="1"/>
        <v>301758.95999999996</v>
      </c>
    </row>
    <row r="58" spans="1:13" ht="15.75" hidden="1" x14ac:dyDescent="0.25">
      <c r="A58" s="134"/>
      <c r="B58" s="139"/>
      <c r="C58" s="69"/>
      <c r="D58" s="254"/>
      <c r="E58" s="69"/>
      <c r="F58" s="111">
        <f t="shared" si="0"/>
        <v>0</v>
      </c>
      <c r="H58" s="134"/>
      <c r="I58" s="139"/>
      <c r="J58" s="69"/>
      <c r="K58" s="254"/>
      <c r="L58" s="69"/>
      <c r="M58" s="137">
        <f t="shared" si="1"/>
        <v>301758.95999999996</v>
      </c>
    </row>
    <row r="59" spans="1:13" ht="15.75" hidden="1" x14ac:dyDescent="0.25">
      <c r="A59" s="134"/>
      <c r="B59" s="139"/>
      <c r="C59" s="69"/>
      <c r="D59" s="254"/>
      <c r="E59" s="69"/>
      <c r="F59" s="111">
        <f t="shared" si="0"/>
        <v>0</v>
      </c>
      <c r="H59" s="134"/>
      <c r="I59" s="139"/>
      <c r="J59" s="69"/>
      <c r="K59" s="254"/>
      <c r="L59" s="69"/>
      <c r="M59" s="137">
        <f t="shared" si="1"/>
        <v>301758.95999999996</v>
      </c>
    </row>
    <row r="60" spans="1:13" ht="15.75" hidden="1" x14ac:dyDescent="0.25">
      <c r="A60" s="134"/>
      <c r="B60" s="139"/>
      <c r="C60" s="69"/>
      <c r="D60" s="254"/>
      <c r="E60" s="69"/>
      <c r="F60" s="111">
        <f t="shared" si="0"/>
        <v>0</v>
      </c>
      <c r="H60" s="134"/>
      <c r="I60" s="139"/>
      <c r="J60" s="69"/>
      <c r="K60" s="254"/>
      <c r="L60" s="69"/>
      <c r="M60" s="137">
        <f t="shared" si="1"/>
        <v>301758.95999999996</v>
      </c>
    </row>
    <row r="61" spans="1:13" ht="15.75" hidden="1" x14ac:dyDescent="0.25">
      <c r="A61" s="134"/>
      <c r="B61" s="139"/>
      <c r="C61" s="69"/>
      <c r="D61" s="254"/>
      <c r="E61" s="69"/>
      <c r="F61" s="111">
        <f t="shared" si="0"/>
        <v>0</v>
      </c>
      <c r="H61" s="134"/>
      <c r="I61" s="139"/>
      <c r="J61" s="69"/>
      <c r="K61" s="254"/>
      <c r="L61" s="69"/>
      <c r="M61" s="137">
        <f t="shared" si="1"/>
        <v>301758.95999999996</v>
      </c>
    </row>
    <row r="62" spans="1:13" ht="15.75" hidden="1" x14ac:dyDescent="0.25">
      <c r="A62" s="134"/>
      <c r="B62" s="139"/>
      <c r="C62" s="69"/>
      <c r="D62" s="254"/>
      <c r="E62" s="69"/>
      <c r="F62" s="111">
        <f t="shared" si="0"/>
        <v>0</v>
      </c>
      <c r="H62" s="134"/>
      <c r="I62" s="139"/>
      <c r="J62" s="69"/>
      <c r="K62" s="254"/>
      <c r="L62" s="69"/>
      <c r="M62" s="137">
        <f t="shared" si="1"/>
        <v>301758.95999999996</v>
      </c>
    </row>
    <row r="63" spans="1:13" ht="15.75" hidden="1" x14ac:dyDescent="0.25">
      <c r="A63" s="134"/>
      <c r="B63" s="139"/>
      <c r="C63" s="69"/>
      <c r="D63" s="254"/>
      <c r="E63" s="69"/>
      <c r="F63" s="111">
        <f t="shared" si="0"/>
        <v>0</v>
      </c>
      <c r="H63" s="134"/>
      <c r="I63" s="139"/>
      <c r="J63" s="69"/>
      <c r="K63" s="254"/>
      <c r="L63" s="69"/>
      <c r="M63" s="137">
        <f t="shared" si="1"/>
        <v>301758.95999999996</v>
      </c>
    </row>
    <row r="64" spans="1:13" ht="15.75" hidden="1" x14ac:dyDescent="0.25">
      <c r="A64" s="134"/>
      <c r="B64" s="139"/>
      <c r="C64" s="69"/>
      <c r="D64" s="254"/>
      <c r="E64" s="69"/>
      <c r="F64" s="111">
        <f t="shared" si="0"/>
        <v>0</v>
      </c>
      <c r="H64" s="134"/>
      <c r="I64" s="139"/>
      <c r="J64" s="69"/>
      <c r="K64" s="254"/>
      <c r="L64" s="69"/>
      <c r="M64" s="137">
        <f t="shared" si="1"/>
        <v>301758.95999999996</v>
      </c>
    </row>
    <row r="65" spans="1:13" ht="15.75" hidden="1" x14ac:dyDescent="0.25">
      <c r="A65" s="134"/>
      <c r="B65" s="139"/>
      <c r="C65" s="69"/>
      <c r="D65" s="254"/>
      <c r="E65" s="69"/>
      <c r="F65" s="111">
        <f t="shared" si="0"/>
        <v>0</v>
      </c>
      <c r="H65" s="134"/>
      <c r="I65" s="139"/>
      <c r="J65" s="69"/>
      <c r="K65" s="254"/>
      <c r="L65" s="69"/>
      <c r="M65" s="137">
        <f t="shared" si="1"/>
        <v>301758.95999999996</v>
      </c>
    </row>
    <row r="66" spans="1:13" ht="16.5" thickBot="1" x14ac:dyDescent="0.3">
      <c r="A66" s="149"/>
      <c r="B66" s="210"/>
      <c r="C66" s="34">
        <v>0</v>
      </c>
      <c r="D66" s="255"/>
      <c r="E66" s="151"/>
      <c r="F66" s="137">
        <v>0</v>
      </c>
      <c r="H66" s="149"/>
      <c r="I66" s="150"/>
      <c r="J66" s="151">
        <v>0</v>
      </c>
      <c r="K66" s="255"/>
      <c r="L66" s="151"/>
      <c r="M66" s="137"/>
    </row>
    <row r="67" spans="1:13" ht="24" thickTop="1" x14ac:dyDescent="0.35">
      <c r="B67" s="440"/>
      <c r="C67" s="212">
        <f>SUM(C3:C66)</f>
        <v>1715125.23</v>
      </c>
      <c r="D67" s="407"/>
      <c r="E67" s="395">
        <f>SUM(E3:E66)</f>
        <v>1715125.23</v>
      </c>
      <c r="F67" s="153">
        <f>SUM(F3:F66)</f>
        <v>0</v>
      </c>
      <c r="G67" s="798" t="s">
        <v>1372</v>
      </c>
      <c r="H67" s="926" t="s">
        <v>594</v>
      </c>
      <c r="I67" s="927"/>
      <c r="J67" s="642">
        <f>SUM(J3:J66)</f>
        <v>301758.95999999996</v>
      </c>
      <c r="K67" s="713"/>
      <c r="L67" s="209">
        <f>SUM(L3:L66)</f>
        <v>0</v>
      </c>
      <c r="M67" s="153">
        <f>M66</f>
        <v>0</v>
      </c>
    </row>
    <row r="68" spans="1:13" ht="15.75" thickBot="1" x14ac:dyDescent="0.3">
      <c r="B68" s="441"/>
      <c r="C68" s="214"/>
      <c r="D68" s="256"/>
      <c r="E68" s="3"/>
      <c r="F68" s="888" t="s">
        <v>207</v>
      </c>
      <c r="H68" s="928"/>
      <c r="I68" s="929"/>
      <c r="J68" s="1"/>
      <c r="K68" s="256"/>
      <c r="L68" s="3"/>
      <c r="M68" s="1"/>
    </row>
    <row r="69" spans="1:13" x14ac:dyDescent="0.25">
      <c r="B69" s="163"/>
      <c r="C69" s="1"/>
      <c r="D69" s="256"/>
      <c r="E69" s="3"/>
      <c r="F69" s="889"/>
      <c r="J69" s="1"/>
      <c r="K69" s="256"/>
      <c r="L69" s="3"/>
      <c r="M69" s="1"/>
    </row>
    <row r="70" spans="1:13" ht="15.75" x14ac:dyDescent="0.25">
      <c r="A70" s="511"/>
      <c r="B70" s="512"/>
      <c r="C70" s="233"/>
      <c r="E70"/>
      <c r="I70" s="194"/>
      <c r="L70"/>
    </row>
    <row r="71" spans="1:13" ht="16.5" thickBot="1" x14ac:dyDescent="0.3">
      <c r="A71" s="511"/>
      <c r="B71" s="512"/>
      <c r="C71" s="233"/>
      <c r="E71"/>
      <c r="I71" s="194"/>
      <c r="L71"/>
    </row>
    <row r="72" spans="1:13" ht="15" customHeight="1" x14ac:dyDescent="0.25">
      <c r="A72" s="98"/>
      <c r="B72" s="799"/>
      <c r="C72" s="126"/>
      <c r="D72" s="800"/>
      <c r="E72" s="760"/>
      <c r="F72" s="127"/>
      <c r="H72" s="814"/>
      <c r="I72" s="815"/>
      <c r="J72" s="816"/>
      <c r="L72"/>
      <c r="M72"/>
    </row>
    <row r="73" spans="1:13" ht="15.75" customHeight="1" thickBot="1" x14ac:dyDescent="0.3">
      <c r="A73" s="98"/>
      <c r="B73" s="799"/>
      <c r="C73" s="126"/>
      <c r="D73" s="800"/>
      <c r="E73" s="760"/>
      <c r="F73" s="127"/>
      <c r="H73" s="987" t="s">
        <v>1376</v>
      </c>
      <c r="I73" s="988"/>
      <c r="J73" s="989"/>
      <c r="L73"/>
      <c r="M73"/>
    </row>
    <row r="74" spans="1:13" ht="18.75" customHeight="1" thickBot="1" x14ac:dyDescent="0.3">
      <c r="A74" s="98"/>
      <c r="B74" s="799"/>
      <c r="C74" s="129"/>
      <c r="D74" s="800"/>
      <c r="E74" s="993" t="s">
        <v>1375</v>
      </c>
      <c r="F74" s="994"/>
      <c r="H74" s="990"/>
      <c r="I74" s="991"/>
      <c r="J74" s="992"/>
      <c r="L74"/>
      <c r="M74"/>
    </row>
    <row r="75" spans="1:13" ht="17.25" thickTop="1" thickBot="1" x14ac:dyDescent="0.3">
      <c r="A75" s="98"/>
      <c r="B75" s="799"/>
      <c r="C75" s="233"/>
      <c r="D75" s="800"/>
      <c r="E75" s="995"/>
      <c r="F75" s="996"/>
      <c r="H75" s="817"/>
      <c r="I75" s="760"/>
      <c r="J75" s="818"/>
      <c r="L75"/>
      <c r="M75"/>
    </row>
    <row r="76" spans="1:13" ht="16.5" thickBot="1" x14ac:dyDescent="0.3">
      <c r="A76" s="98"/>
      <c r="B76" s="799"/>
      <c r="C76" s="233"/>
      <c r="D76" s="800"/>
      <c r="E76" s="811"/>
      <c r="F76" s="810"/>
      <c r="H76" s="817"/>
      <c r="I76" s="760"/>
      <c r="J76" s="818"/>
      <c r="L76"/>
      <c r="M76"/>
    </row>
    <row r="77" spans="1:13" ht="27" thickBot="1" x14ac:dyDescent="0.45">
      <c r="A77" s="98"/>
      <c r="B77" s="799"/>
      <c r="C77" s="233"/>
      <c r="D77" s="800"/>
      <c r="E77" s="982">
        <v>642271.04</v>
      </c>
      <c r="F77" s="983"/>
      <c r="H77" s="984">
        <v>584997.29</v>
      </c>
      <c r="I77" s="985"/>
      <c r="J77" s="986"/>
      <c r="L77"/>
      <c r="M77"/>
    </row>
    <row r="78" spans="1:13" ht="16.5" thickBot="1" x14ac:dyDescent="0.3">
      <c r="A78" s="98"/>
      <c r="B78" s="799"/>
      <c r="C78" s="233"/>
      <c r="D78" s="800"/>
      <c r="E78" s="812"/>
      <c r="F78" s="813"/>
      <c r="H78" s="817"/>
      <c r="I78" s="760"/>
      <c r="J78" s="818"/>
      <c r="L78"/>
      <c r="M78"/>
    </row>
    <row r="79" spans="1:13" ht="15.75" x14ac:dyDescent="0.25">
      <c r="A79" s="98"/>
      <c r="B79" s="799"/>
      <c r="C79" s="233"/>
      <c r="D79" s="800"/>
      <c r="E79" s="233"/>
      <c r="F79" s="127"/>
      <c r="H79" s="817"/>
      <c r="I79" s="760"/>
      <c r="J79" s="818"/>
      <c r="L79"/>
      <c r="M79"/>
    </row>
    <row r="80" spans="1:13" ht="15.75" x14ac:dyDescent="0.25">
      <c r="A80" s="98"/>
      <c r="B80" s="799"/>
      <c r="C80" s="233"/>
      <c r="D80" s="800"/>
      <c r="E80" s="233"/>
      <c r="F80" s="981" t="s">
        <v>1377</v>
      </c>
      <c r="G80" s="981"/>
      <c r="H80" s="981"/>
      <c r="I80" s="981"/>
      <c r="J80" s="818"/>
      <c r="L80"/>
      <c r="M80"/>
    </row>
    <row r="81" spans="1:13" ht="16.5" thickBot="1" x14ac:dyDescent="0.3">
      <c r="A81" s="98"/>
      <c r="B81" s="757"/>
      <c r="C81" s="233"/>
      <c r="D81" s="800"/>
      <c r="E81" s="126"/>
      <c r="F81" s="981"/>
      <c r="G81" s="981"/>
      <c r="H81" s="981"/>
      <c r="I81" s="981"/>
      <c r="J81" s="819"/>
      <c r="L81"/>
      <c r="M81"/>
    </row>
    <row r="82" spans="1:13" ht="15.75" x14ac:dyDescent="0.25">
      <c r="A82" s="98"/>
      <c r="B82" s="757"/>
      <c r="C82" s="233"/>
      <c r="D82" s="800"/>
      <c r="E82" s="126"/>
      <c r="F82" s="127"/>
      <c r="H82"/>
      <c r="I82"/>
      <c r="J82"/>
      <c r="L82"/>
      <c r="M82"/>
    </row>
    <row r="83" spans="1:13" ht="15.75" x14ac:dyDescent="0.25">
      <c r="A83" s="98"/>
      <c r="B83" s="757"/>
      <c r="C83" s="233"/>
      <c r="D83" s="800"/>
      <c r="E83" s="126"/>
      <c r="F83" s="127"/>
      <c r="H83"/>
      <c r="I83"/>
      <c r="J83"/>
      <c r="L83"/>
      <c r="M83"/>
    </row>
    <row r="84" spans="1:13" ht="15.75" x14ac:dyDescent="0.25">
      <c r="A84" s="98"/>
      <c r="B84" s="757"/>
      <c r="C84" s="233"/>
      <c r="D84" s="800"/>
      <c r="E84" s="126"/>
      <c r="F84" s="127"/>
      <c r="H84"/>
      <c r="I84"/>
      <c r="J84"/>
      <c r="L84"/>
      <c r="M84"/>
    </row>
    <row r="85" spans="1:13" ht="15.75" x14ac:dyDescent="0.25">
      <c r="A85" s="98"/>
      <c r="B85" s="757"/>
      <c r="C85" s="233"/>
      <c r="D85" s="800"/>
      <c r="E85" s="126"/>
      <c r="F85" s="127"/>
      <c r="H85"/>
      <c r="I85"/>
      <c r="J85"/>
      <c r="L85"/>
      <c r="M85"/>
    </row>
    <row r="86" spans="1:13" ht="15.75" x14ac:dyDescent="0.25">
      <c r="A86" s="98"/>
      <c r="B86" s="757"/>
      <c r="C86" s="233"/>
      <c r="D86" s="800"/>
      <c r="E86" s="126"/>
      <c r="F86" s="127"/>
      <c r="H86"/>
      <c r="I86"/>
      <c r="J86"/>
      <c r="L86"/>
      <c r="M86"/>
    </row>
    <row r="87" spans="1:13" ht="15.75" x14ac:dyDescent="0.25">
      <c r="A87" s="98"/>
      <c r="B87" s="757"/>
      <c r="C87" s="233"/>
      <c r="D87" s="800"/>
      <c r="E87" s="126"/>
      <c r="F87" s="127"/>
      <c r="H87"/>
      <c r="I87"/>
      <c r="J87"/>
      <c r="L87"/>
      <c r="M87"/>
    </row>
    <row r="88" spans="1:13" ht="15.75" x14ac:dyDescent="0.25">
      <c r="A88" s="98"/>
      <c r="B88" s="757"/>
      <c r="C88" s="233"/>
      <c r="D88" s="800"/>
      <c r="E88" s="126"/>
      <c r="F88" s="127"/>
      <c r="H88"/>
      <c r="I88"/>
      <c r="J88"/>
      <c r="L88"/>
      <c r="M88"/>
    </row>
    <row r="89" spans="1:13" ht="15.75" x14ac:dyDescent="0.25">
      <c r="A89" s="98"/>
      <c r="B89" s="757"/>
      <c r="C89" s="233"/>
      <c r="D89" s="800"/>
      <c r="E89" s="126"/>
      <c r="F89" s="127"/>
      <c r="H89"/>
      <c r="I89"/>
      <c r="J89"/>
      <c r="L89"/>
      <c r="M89"/>
    </row>
    <row r="90" spans="1:13" ht="15.75" x14ac:dyDescent="0.25">
      <c r="A90" s="98"/>
      <c r="B90" s="757"/>
      <c r="C90" s="233"/>
      <c r="D90" s="800"/>
      <c r="E90" s="126"/>
      <c r="F90" s="127"/>
      <c r="H90"/>
      <c r="I90"/>
      <c r="J90"/>
      <c r="L90"/>
      <c r="M90"/>
    </row>
    <row r="91" spans="1:13" ht="15.75" x14ac:dyDescent="0.25">
      <c r="A91" s="98"/>
      <c r="B91" s="757"/>
      <c r="C91" s="233"/>
      <c r="D91" s="800"/>
      <c r="E91" s="126"/>
      <c r="F91" s="127"/>
      <c r="H91"/>
      <c r="I91"/>
      <c r="J91"/>
      <c r="L91"/>
      <c r="M91"/>
    </row>
    <row r="92" spans="1:13" ht="15.75" x14ac:dyDescent="0.25">
      <c r="A92" s="98"/>
      <c r="B92" s="757"/>
      <c r="C92" s="233"/>
      <c r="D92" s="800"/>
      <c r="E92" s="126"/>
      <c r="F92" s="127"/>
      <c r="H92"/>
      <c r="I92"/>
      <c r="J92"/>
      <c r="L92"/>
      <c r="M92"/>
    </row>
    <row r="93" spans="1:13" ht="15.75" x14ac:dyDescent="0.25">
      <c r="A93" s="98"/>
      <c r="B93" s="757"/>
      <c r="C93" s="233"/>
      <c r="D93" s="800"/>
      <c r="E93" s="126"/>
      <c r="F93" s="127"/>
      <c r="H93"/>
      <c r="I93"/>
      <c r="J93"/>
      <c r="L93"/>
      <c r="M93"/>
    </row>
    <row r="94" spans="1:13" ht="15.75" x14ac:dyDescent="0.25">
      <c r="A94" s="98"/>
      <c r="B94" s="757"/>
      <c r="C94" s="233"/>
      <c r="D94" s="800"/>
      <c r="E94" s="126"/>
      <c r="F94" s="127"/>
      <c r="H94"/>
      <c r="I94"/>
      <c r="J94"/>
      <c r="L94"/>
      <c r="M94"/>
    </row>
    <row r="95" spans="1:13" ht="15.75" x14ac:dyDescent="0.25">
      <c r="A95" s="98"/>
      <c r="B95" s="757"/>
      <c r="C95" s="233"/>
      <c r="D95" s="800"/>
      <c r="E95" s="126"/>
      <c r="F95" s="127"/>
      <c r="H95"/>
      <c r="I95"/>
      <c r="J95"/>
      <c r="L95"/>
      <c r="M95"/>
    </row>
    <row r="96" spans="1:13" ht="15.75" x14ac:dyDescent="0.25">
      <c r="A96" s="98"/>
      <c r="B96" s="757"/>
      <c r="C96" s="233"/>
      <c r="D96" s="800"/>
      <c r="E96" s="126"/>
      <c r="F96" s="127"/>
      <c r="H96"/>
      <c r="I96"/>
      <c r="J96"/>
      <c r="L96"/>
      <c r="M96"/>
    </row>
    <row r="97" spans="1:13" ht="15.75" x14ac:dyDescent="0.25">
      <c r="A97" s="98"/>
      <c r="B97" s="757"/>
      <c r="C97" s="233"/>
      <c r="D97" s="800"/>
      <c r="E97" s="126"/>
      <c r="F97" s="127"/>
      <c r="H97"/>
      <c r="I97"/>
      <c r="J97"/>
      <c r="L97"/>
      <c r="M97"/>
    </row>
    <row r="98" spans="1:13" ht="15.75" x14ac:dyDescent="0.25">
      <c r="A98" s="98"/>
      <c r="B98" s="757"/>
      <c r="C98" s="233"/>
      <c r="D98" s="800"/>
      <c r="E98" s="126"/>
      <c r="F98" s="127"/>
      <c r="H98"/>
      <c r="I98"/>
      <c r="J98"/>
      <c r="L98"/>
      <c r="M98"/>
    </row>
    <row r="99" spans="1:13" ht="15.75" x14ac:dyDescent="0.25">
      <c r="A99" s="98"/>
      <c r="B99" s="757"/>
      <c r="C99" s="233"/>
      <c r="D99" s="800"/>
      <c r="E99" s="126"/>
      <c r="F99" s="127"/>
      <c r="H99"/>
      <c r="I99"/>
      <c r="J99"/>
      <c r="L99"/>
      <c r="M99"/>
    </row>
    <row r="100" spans="1:13" x14ac:dyDescent="0.25">
      <c r="A100" s="98"/>
      <c r="B100" s="757"/>
      <c r="C100" s="129"/>
      <c r="D100" s="800"/>
      <c r="E100" s="126"/>
      <c r="F100" s="127"/>
      <c r="H100"/>
      <c r="I100"/>
      <c r="J100"/>
      <c r="L100"/>
      <c r="M100"/>
    </row>
    <row r="101" spans="1:13" x14ac:dyDescent="0.25">
      <c r="A101" s="98"/>
      <c r="B101" s="757"/>
      <c r="C101" s="129"/>
      <c r="D101" s="800"/>
      <c r="E101" s="126"/>
      <c r="F101" s="127"/>
      <c r="H101"/>
      <c r="I101"/>
      <c r="J101"/>
      <c r="L101"/>
      <c r="M101"/>
    </row>
    <row r="102" spans="1:13" x14ac:dyDescent="0.25">
      <c r="A102" s="98"/>
      <c r="B102" s="116"/>
      <c r="D102" s="456"/>
      <c r="H102"/>
      <c r="I102"/>
      <c r="J102"/>
      <c r="L102"/>
      <c r="M102"/>
    </row>
    <row r="103" spans="1:13" x14ac:dyDescent="0.25">
      <c r="A103" s="98"/>
      <c r="B103" s="116"/>
      <c r="D103" s="456"/>
      <c r="H103"/>
      <c r="I103"/>
      <c r="J103"/>
      <c r="L103"/>
      <c r="M103"/>
    </row>
    <row r="104" spans="1:13" x14ac:dyDescent="0.25">
      <c r="A104" s="98"/>
      <c r="B104" s="116"/>
      <c r="D104" s="456"/>
      <c r="H104"/>
      <c r="I104"/>
      <c r="J104"/>
      <c r="L104"/>
      <c r="M104"/>
    </row>
    <row r="105" spans="1:13" x14ac:dyDescent="0.25">
      <c r="A105" s="98"/>
      <c r="B105" s="116"/>
      <c r="D105" s="456"/>
      <c r="H105"/>
      <c r="I105"/>
      <c r="J105"/>
      <c r="L105"/>
      <c r="M105"/>
    </row>
    <row r="106" spans="1:13" x14ac:dyDescent="0.25">
      <c r="A106" s="98"/>
      <c r="B106" s="116"/>
      <c r="D106" s="456"/>
      <c r="H106"/>
      <c r="I106"/>
      <c r="J106"/>
      <c r="L106"/>
      <c r="M106"/>
    </row>
    <row r="107" spans="1:13" x14ac:dyDescent="0.25">
      <c r="A107" s="98"/>
      <c r="B107" s="116"/>
      <c r="D107" s="456"/>
      <c r="H107"/>
      <c r="I107"/>
      <c r="J107"/>
      <c r="L107"/>
      <c r="M107"/>
    </row>
    <row r="108" spans="1:13" x14ac:dyDescent="0.25">
      <c r="A108" s="98"/>
      <c r="B108" s="116"/>
      <c r="D108" s="456"/>
      <c r="H108"/>
      <c r="I108"/>
      <c r="J108"/>
      <c r="L108"/>
      <c r="M108"/>
    </row>
    <row r="109" spans="1:13" x14ac:dyDescent="0.25">
      <c r="A109" s="98"/>
      <c r="B109" s="116"/>
      <c r="D109" s="456"/>
      <c r="H109"/>
      <c r="I109"/>
      <c r="J109"/>
      <c r="L109"/>
      <c r="M109"/>
    </row>
    <row r="110" spans="1:13" x14ac:dyDescent="0.25">
      <c r="A110" s="98"/>
      <c r="B110" s="116"/>
      <c r="D110" s="456"/>
      <c r="H110"/>
      <c r="I110"/>
      <c r="J110"/>
      <c r="L110"/>
      <c r="M110"/>
    </row>
    <row r="111" spans="1:13" x14ac:dyDescent="0.25">
      <c r="A111" s="98"/>
      <c r="B111" s="116"/>
      <c r="D111" s="456"/>
      <c r="H111"/>
      <c r="I111"/>
      <c r="J111"/>
      <c r="L111"/>
      <c r="M111"/>
    </row>
    <row r="112" spans="1:13" x14ac:dyDescent="0.25">
      <c r="A112" s="98"/>
      <c r="B112" s="116"/>
      <c r="D112" s="456"/>
      <c r="H112"/>
      <c r="I112"/>
      <c r="J112"/>
      <c r="L112"/>
      <c r="M112"/>
    </row>
    <row r="113" spans="1:13" x14ac:dyDescent="0.25">
      <c r="A113" s="98"/>
      <c r="B113" s="116"/>
      <c r="D113" s="456"/>
      <c r="H113"/>
      <c r="I113"/>
      <c r="J113"/>
      <c r="L113"/>
      <c r="M113"/>
    </row>
    <row r="114" spans="1:13" x14ac:dyDescent="0.25">
      <c r="A114" s="98"/>
      <c r="B114" s="116"/>
      <c r="D114" s="456"/>
      <c r="H114"/>
      <c r="I114"/>
      <c r="J114"/>
      <c r="L114"/>
      <c r="M114"/>
    </row>
    <row r="115" spans="1:13" x14ac:dyDescent="0.25">
      <c r="A115" s="98"/>
      <c r="B115" s="116"/>
      <c r="D115" s="456"/>
      <c r="H115"/>
      <c r="I115"/>
      <c r="J115"/>
      <c r="L115"/>
      <c r="M115"/>
    </row>
    <row r="116" spans="1:13" x14ac:dyDescent="0.25">
      <c r="A116" s="98"/>
      <c r="B116" s="116"/>
      <c r="D116" s="456"/>
      <c r="H116"/>
      <c r="I116"/>
      <c r="J116"/>
      <c r="L116"/>
      <c r="M116"/>
    </row>
    <row r="117" spans="1:13" x14ac:dyDescent="0.25">
      <c r="A117" s="98"/>
      <c r="B117" s="116"/>
      <c r="D117" s="456"/>
      <c r="H117"/>
      <c r="I117"/>
      <c r="J117"/>
      <c r="L117"/>
      <c r="M117"/>
    </row>
    <row r="118" spans="1:13" x14ac:dyDescent="0.25">
      <c r="A118" s="98"/>
      <c r="B118" s="116"/>
      <c r="D118" s="456"/>
      <c r="H118"/>
      <c r="I118"/>
      <c r="J118"/>
      <c r="L118"/>
      <c r="M118"/>
    </row>
    <row r="119" spans="1:13" x14ac:dyDescent="0.25">
      <c r="A119" s="98"/>
      <c r="B119" s="116"/>
      <c r="D119" s="456"/>
      <c r="H119"/>
      <c r="I119"/>
      <c r="J119"/>
      <c r="L119"/>
      <c r="M119"/>
    </row>
    <row r="120" spans="1:13" x14ac:dyDescent="0.25">
      <c r="A120" s="98"/>
      <c r="B120" s="116"/>
      <c r="D120" s="456"/>
      <c r="H120"/>
      <c r="I120"/>
      <c r="J120"/>
      <c r="L120"/>
      <c r="M120"/>
    </row>
    <row r="121" spans="1:13" x14ac:dyDescent="0.25">
      <c r="A121" s="98"/>
      <c r="B121" s="116"/>
      <c r="D121" s="456"/>
      <c r="H121"/>
      <c r="I121"/>
      <c r="J121"/>
      <c r="L121"/>
      <c r="M121"/>
    </row>
    <row r="122" spans="1:13" x14ac:dyDescent="0.25">
      <c r="A122" s="98"/>
      <c r="B122" s="116"/>
      <c r="D122" s="456"/>
      <c r="H122"/>
      <c r="I122"/>
      <c r="J122"/>
      <c r="L122"/>
      <c r="M122"/>
    </row>
    <row r="123" spans="1:13" x14ac:dyDescent="0.25">
      <c r="A123" s="98"/>
      <c r="B123" s="116"/>
      <c r="D123" s="456"/>
      <c r="H123"/>
      <c r="I123"/>
      <c r="J123"/>
      <c r="L123"/>
      <c r="M123"/>
    </row>
  </sheetData>
  <mergeCells count="8">
    <mergeCell ref="F80:I81"/>
    <mergeCell ref="H40:I42"/>
    <mergeCell ref="H67:I68"/>
    <mergeCell ref="F68:F69"/>
    <mergeCell ref="E77:F77"/>
    <mergeCell ref="H77:J77"/>
    <mergeCell ref="H73:J74"/>
    <mergeCell ref="E74:F75"/>
  </mergeCells>
  <pageMargins left="0.7" right="0.7" top="0.75" bottom="0.75" header="0.3" footer="0.3"/>
  <pageSetup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2" tint="-0.249977111117893"/>
  </sheetPr>
  <dimension ref="A1:V97"/>
  <sheetViews>
    <sheetView workbookViewId="0">
      <pane xSplit="1" ySplit="4" topLeftCell="B26" activePane="bottomRight" state="frozen"/>
      <selection pane="topRight" activeCell="B1" sqref="B1"/>
      <selection pane="bottomLeft" activeCell="A5" sqref="A5"/>
      <selection pane="bottomRight" activeCell="C84" sqref="C84"/>
    </sheetView>
  </sheetViews>
  <sheetFormatPr baseColWidth="10" defaultRowHeight="15.75" x14ac:dyDescent="0.25"/>
  <cols>
    <col min="1" max="1" width="11" customWidth="1"/>
    <col min="2" max="2" width="12.42578125" style="551" customWidth="1"/>
    <col min="3" max="3" width="15.5703125" style="4" bestFit="1" customWidth="1"/>
    <col min="4" max="4" width="15.28515625" customWidth="1"/>
    <col min="5" max="5" width="11.42578125" style="552"/>
    <col min="6" max="6" width="15.28515625" style="4" customWidth="1"/>
    <col min="7" max="7" width="1.85546875" style="552" customWidth="1"/>
    <col min="8" max="8" width="11.85546875" style="552" customWidth="1"/>
    <col min="9" max="9" width="15.7109375" style="4" customWidth="1"/>
    <col min="10" max="10" width="11.7109375" style="12" customWidth="1"/>
    <col min="11" max="11" width="14.42578125" style="561" customWidth="1"/>
    <col min="12" max="12" width="14.5703125" style="3" customWidth="1"/>
    <col min="13" max="13" width="17.85546875" style="4" customWidth="1"/>
    <col min="14" max="14" width="17.5703125" style="1" bestFit="1" customWidth="1"/>
    <col min="15" max="15" width="8.85546875" style="577" bestFit="1" customWidth="1"/>
    <col min="16" max="16" width="16.85546875" customWidth="1"/>
    <col min="17" max="17" width="21.28515625" style="225" customWidth="1"/>
    <col min="18" max="18" width="15.28515625" style="227" customWidth="1"/>
    <col min="19" max="19" width="11.42578125" style="98"/>
    <col min="20" max="20" width="17.42578125" bestFit="1" customWidth="1"/>
  </cols>
  <sheetData>
    <row r="1" spans="1:22" ht="23.25" x14ac:dyDescent="0.35">
      <c r="B1" s="826"/>
      <c r="C1" s="892" t="s">
        <v>1244</v>
      </c>
      <c r="D1" s="893"/>
      <c r="E1" s="893"/>
      <c r="F1" s="893"/>
      <c r="G1" s="893"/>
      <c r="H1" s="893"/>
      <c r="I1" s="893"/>
      <c r="J1" s="893"/>
      <c r="K1" s="893"/>
      <c r="L1" s="893"/>
      <c r="M1" s="893"/>
    </row>
    <row r="2" spans="1:22" ht="16.5" thickBot="1" x14ac:dyDescent="0.3">
      <c r="B2" s="827"/>
      <c r="C2" s="3"/>
      <c r="H2" s="5"/>
      <c r="I2" s="6"/>
      <c r="J2" s="7"/>
      <c r="L2" s="8"/>
      <c r="M2" s="6"/>
      <c r="N2" s="9"/>
    </row>
    <row r="3" spans="1:22" ht="21.75" thickBot="1" x14ac:dyDescent="0.35">
      <c r="B3" s="830" t="s">
        <v>0</v>
      </c>
      <c r="C3" s="831"/>
      <c r="D3" s="10"/>
      <c r="E3" s="553"/>
      <c r="F3" s="11"/>
      <c r="H3" s="832" t="s">
        <v>26</v>
      </c>
      <c r="I3" s="832"/>
      <c r="K3" s="165"/>
      <c r="L3" s="13"/>
      <c r="M3" s="14"/>
      <c r="P3" s="869" t="s">
        <v>6</v>
      </c>
      <c r="R3" s="890" t="s">
        <v>216</v>
      </c>
    </row>
    <row r="4" spans="1:22" ht="32.25" thickTop="1" thickBot="1" x14ac:dyDescent="0.35">
      <c r="A4" s="15" t="s">
        <v>1</v>
      </c>
      <c r="B4" s="16"/>
      <c r="C4" s="17">
        <v>2672555.9900000002</v>
      </c>
      <c r="D4" s="18">
        <v>44801</v>
      </c>
      <c r="E4" s="833" t="s">
        <v>2</v>
      </c>
      <c r="F4" s="834"/>
      <c r="H4" s="835" t="s">
        <v>3</v>
      </c>
      <c r="I4" s="836"/>
      <c r="J4" s="556"/>
      <c r="K4" s="562"/>
      <c r="L4" s="563"/>
      <c r="M4" s="21" t="s">
        <v>4</v>
      </c>
      <c r="N4" s="22" t="s">
        <v>5</v>
      </c>
      <c r="P4" s="870"/>
      <c r="Q4" s="322" t="s">
        <v>217</v>
      </c>
      <c r="R4" s="891"/>
    </row>
    <row r="5" spans="1:22" ht="18" thickBot="1" x14ac:dyDescent="0.35">
      <c r="A5" s="23" t="s">
        <v>7</v>
      </c>
      <c r="B5" s="24">
        <v>44802</v>
      </c>
      <c r="C5" s="25">
        <v>7568</v>
      </c>
      <c r="D5" s="26" t="s">
        <v>1245</v>
      </c>
      <c r="E5" s="27">
        <v>44802</v>
      </c>
      <c r="F5" s="28">
        <v>134268</v>
      </c>
      <c r="G5" s="572"/>
      <c r="H5" s="29">
        <v>44802</v>
      </c>
      <c r="I5" s="30">
        <v>399</v>
      </c>
      <c r="J5" s="37"/>
      <c r="K5" s="31"/>
      <c r="L5" s="9"/>
      <c r="M5" s="32">
        <v>70671</v>
      </c>
      <c r="N5" s="33">
        <v>55630</v>
      </c>
      <c r="O5" s="730" t="s">
        <v>937</v>
      </c>
      <c r="P5" s="34">
        <f>N5+M5+L5+I5+C5</f>
        <v>134268</v>
      </c>
      <c r="Q5" s="325">
        <f>P5-F5</f>
        <v>0</v>
      </c>
      <c r="R5" s="379">
        <v>0</v>
      </c>
    </row>
    <row r="6" spans="1:22" ht="18" thickBot="1" x14ac:dyDescent="0.35">
      <c r="A6" s="23"/>
      <c r="B6" s="24">
        <v>44803</v>
      </c>
      <c r="C6" s="25">
        <v>36043</v>
      </c>
      <c r="D6" s="35" t="s">
        <v>1246</v>
      </c>
      <c r="E6" s="27">
        <v>44803</v>
      </c>
      <c r="F6" s="28">
        <v>138387</v>
      </c>
      <c r="G6" s="572"/>
      <c r="H6" s="29">
        <v>44803</v>
      </c>
      <c r="I6" s="30">
        <v>1604</v>
      </c>
      <c r="J6" s="37"/>
      <c r="K6" s="38"/>
      <c r="L6" s="39"/>
      <c r="M6" s="32">
        <f>539+55232+500</f>
        <v>56271</v>
      </c>
      <c r="N6" s="33">
        <v>44469</v>
      </c>
      <c r="O6" s="753" t="s">
        <v>1247</v>
      </c>
      <c r="P6" s="39">
        <f>N6+M6+L6+I6+C6</f>
        <v>138387</v>
      </c>
      <c r="Q6" s="325">
        <f t="shared" ref="Q6:Q40" si="0">P6-F6</f>
        <v>0</v>
      </c>
      <c r="R6" s="319">
        <v>0</v>
      </c>
      <c r="S6" s="426"/>
    </row>
    <row r="7" spans="1:22" ht="18" thickBot="1" x14ac:dyDescent="0.35">
      <c r="A7" s="23"/>
      <c r="B7" s="24">
        <v>44804</v>
      </c>
      <c r="C7" s="25">
        <v>6372</v>
      </c>
      <c r="D7" s="40" t="s">
        <v>114</v>
      </c>
      <c r="E7" s="27">
        <v>44804</v>
      </c>
      <c r="F7" s="28">
        <v>112167</v>
      </c>
      <c r="G7" s="572"/>
      <c r="H7" s="29">
        <v>44804</v>
      </c>
      <c r="I7" s="30">
        <v>2875</v>
      </c>
      <c r="J7" s="37"/>
      <c r="K7" s="38"/>
      <c r="L7" s="39"/>
      <c r="M7" s="32">
        <f>84627+10937.68</f>
        <v>95564.68</v>
      </c>
      <c r="N7" s="33">
        <v>48294</v>
      </c>
      <c r="O7" s="753" t="s">
        <v>1247</v>
      </c>
      <c r="P7" s="39">
        <f>N7+M7+L7+I7+C7</f>
        <v>153105.68</v>
      </c>
      <c r="Q7" s="325">
        <v>0</v>
      </c>
      <c r="R7" s="388">
        <v>40939</v>
      </c>
      <c r="S7" s="426"/>
    </row>
    <row r="8" spans="1:22" ht="18" thickBot="1" x14ac:dyDescent="0.35">
      <c r="A8" s="23"/>
      <c r="B8" s="24">
        <v>44805</v>
      </c>
      <c r="C8" s="25">
        <v>13500</v>
      </c>
      <c r="D8" s="42" t="s">
        <v>330</v>
      </c>
      <c r="E8" s="27">
        <v>44805</v>
      </c>
      <c r="F8" s="28">
        <v>120503</v>
      </c>
      <c r="G8" s="572"/>
      <c r="H8" s="29">
        <v>44805</v>
      </c>
      <c r="I8" s="30">
        <v>3866</v>
      </c>
      <c r="J8" s="43"/>
      <c r="K8" s="38"/>
      <c r="L8" s="39"/>
      <c r="M8" s="32">
        <v>62803</v>
      </c>
      <c r="N8" s="33">
        <v>40334</v>
      </c>
      <c r="O8" s="753" t="s">
        <v>1247</v>
      </c>
      <c r="P8" s="39">
        <f t="shared" ref="P8:P39" si="1">N8+M8+L8+I8+C8</f>
        <v>120503</v>
      </c>
      <c r="Q8" s="325">
        <f t="shared" si="0"/>
        <v>0</v>
      </c>
      <c r="R8" s="319">
        <v>0</v>
      </c>
      <c r="S8" s="426"/>
    </row>
    <row r="9" spans="1:22" ht="18" thickBot="1" x14ac:dyDescent="0.35">
      <c r="A9" s="23"/>
      <c r="B9" s="24">
        <v>44806</v>
      </c>
      <c r="C9" s="25">
        <v>7410</v>
      </c>
      <c r="D9" s="42" t="s">
        <v>328</v>
      </c>
      <c r="E9" s="27">
        <v>44806</v>
      </c>
      <c r="F9" s="28">
        <v>138326</v>
      </c>
      <c r="G9" s="572"/>
      <c r="H9" s="29">
        <v>44806</v>
      </c>
      <c r="I9" s="30">
        <v>2441</v>
      </c>
      <c r="J9" s="37"/>
      <c r="K9" s="223"/>
      <c r="L9" s="39"/>
      <c r="M9" s="32">
        <v>72921</v>
      </c>
      <c r="N9" s="33">
        <v>55554</v>
      </c>
      <c r="O9" s="753" t="s">
        <v>1247</v>
      </c>
      <c r="P9" s="39">
        <f t="shared" si="1"/>
        <v>138326</v>
      </c>
      <c r="Q9" s="325">
        <f t="shared" si="0"/>
        <v>0</v>
      </c>
      <c r="R9" s="319">
        <v>0</v>
      </c>
      <c r="S9" s="426"/>
    </row>
    <row r="10" spans="1:22" ht="18" thickBot="1" x14ac:dyDescent="0.35">
      <c r="A10" s="23"/>
      <c r="B10" s="24">
        <v>44807</v>
      </c>
      <c r="C10" s="25">
        <v>21781.5</v>
      </c>
      <c r="D10" s="40" t="s">
        <v>1248</v>
      </c>
      <c r="E10" s="27">
        <v>44807</v>
      </c>
      <c r="F10" s="28">
        <v>133295</v>
      </c>
      <c r="G10" s="572"/>
      <c r="H10" s="29">
        <v>44807</v>
      </c>
      <c r="I10" s="30">
        <v>9779.5</v>
      </c>
      <c r="J10" s="37">
        <v>44807</v>
      </c>
      <c r="K10" s="167" t="s">
        <v>1249</v>
      </c>
      <c r="L10" s="45">
        <v>18003</v>
      </c>
      <c r="M10" s="32">
        <f>24567+956</f>
        <v>25523</v>
      </c>
      <c r="N10" s="33">
        <v>58208</v>
      </c>
      <c r="O10" s="753" t="s">
        <v>1247</v>
      </c>
      <c r="P10" s="39">
        <f>N10+M10+L10+I10+C10</f>
        <v>133295</v>
      </c>
      <c r="Q10" s="325">
        <f t="shared" si="0"/>
        <v>0</v>
      </c>
      <c r="R10" s="319">
        <v>0</v>
      </c>
      <c r="S10" s="426"/>
    </row>
    <row r="11" spans="1:22" ht="18" thickBot="1" x14ac:dyDescent="0.35">
      <c r="A11" s="23"/>
      <c r="B11" s="24">
        <v>44808</v>
      </c>
      <c r="C11" s="25">
        <v>32635</v>
      </c>
      <c r="D11" s="35" t="s">
        <v>639</v>
      </c>
      <c r="E11" s="27">
        <v>44808</v>
      </c>
      <c r="F11" s="28">
        <v>89343</v>
      </c>
      <c r="G11" s="572"/>
      <c r="H11" s="29">
        <v>44808</v>
      </c>
      <c r="I11" s="30">
        <v>120.5</v>
      </c>
      <c r="J11" s="43"/>
      <c r="K11" s="168"/>
      <c r="L11" s="39"/>
      <c r="M11" s="32">
        <v>15600</v>
      </c>
      <c r="N11" s="33">
        <v>40989</v>
      </c>
      <c r="O11" s="753" t="s">
        <v>1247</v>
      </c>
      <c r="P11" s="39">
        <f t="shared" si="1"/>
        <v>89344.5</v>
      </c>
      <c r="Q11" s="325">
        <f t="shared" si="0"/>
        <v>1.5</v>
      </c>
      <c r="R11" s="319">
        <v>0</v>
      </c>
      <c r="S11" s="426"/>
    </row>
    <row r="12" spans="1:22" ht="18" thickBot="1" x14ac:dyDescent="0.35">
      <c r="A12" s="23"/>
      <c r="B12" s="24">
        <v>44809</v>
      </c>
      <c r="C12" s="25">
        <v>16302.5</v>
      </c>
      <c r="D12" s="35" t="s">
        <v>1251</v>
      </c>
      <c r="E12" s="27">
        <v>44809</v>
      </c>
      <c r="F12" s="28">
        <v>127329</v>
      </c>
      <c r="G12" s="572"/>
      <c r="H12" s="29">
        <v>44809</v>
      </c>
      <c r="I12" s="30">
        <v>1971</v>
      </c>
      <c r="J12" s="37"/>
      <c r="K12" s="169"/>
      <c r="L12" s="39"/>
      <c r="M12" s="32">
        <f>55650+1400</f>
        <v>57050</v>
      </c>
      <c r="N12" s="33">
        <v>52008</v>
      </c>
      <c r="O12" s="754" t="s">
        <v>1247</v>
      </c>
      <c r="P12" s="39">
        <f t="shared" si="1"/>
        <v>127331.5</v>
      </c>
      <c r="Q12" s="325">
        <f t="shared" si="0"/>
        <v>2.5</v>
      </c>
      <c r="R12" s="319">
        <v>0</v>
      </c>
      <c r="S12" s="774"/>
      <c r="T12" s="775"/>
      <c r="U12" s="755"/>
      <c r="V12" s="756"/>
    </row>
    <row r="13" spans="1:22" ht="18" thickBot="1" x14ac:dyDescent="0.35">
      <c r="A13" s="23"/>
      <c r="B13" s="24">
        <v>44810</v>
      </c>
      <c r="C13" s="25">
        <v>33734</v>
      </c>
      <c r="D13" s="42" t="s">
        <v>1252</v>
      </c>
      <c r="E13" s="27">
        <v>44810</v>
      </c>
      <c r="F13" s="28">
        <v>106867</v>
      </c>
      <c r="G13" s="771"/>
      <c r="H13" s="29">
        <v>44810</v>
      </c>
      <c r="I13" s="30">
        <v>1593</v>
      </c>
      <c r="J13" s="37"/>
      <c r="K13" s="38"/>
      <c r="L13" s="39"/>
      <c r="M13" s="32">
        <f>42400+10000+121050+650</f>
        <v>174100</v>
      </c>
      <c r="N13" s="33">
        <v>42079</v>
      </c>
      <c r="O13" s="753" t="s">
        <v>1247</v>
      </c>
      <c r="P13" s="39">
        <f>N13+M13+L13+I13+C13</f>
        <v>251506</v>
      </c>
      <c r="Q13" s="769">
        <f t="shared" si="0"/>
        <v>144639</v>
      </c>
      <c r="R13" s="542">
        <v>0</v>
      </c>
      <c r="S13" s="370">
        <v>44810</v>
      </c>
      <c r="T13" s="327">
        <v>42400</v>
      </c>
      <c r="U13" s="767" t="s">
        <v>597</v>
      </c>
      <c r="V13" s="758"/>
    </row>
    <row r="14" spans="1:22" ht="18" thickBot="1" x14ac:dyDescent="0.35">
      <c r="A14" s="23"/>
      <c r="B14" s="24">
        <v>44811</v>
      </c>
      <c r="C14" s="25">
        <v>10101</v>
      </c>
      <c r="D14" s="40" t="s">
        <v>328</v>
      </c>
      <c r="E14" s="27">
        <v>44811</v>
      </c>
      <c r="F14" s="28">
        <v>116050</v>
      </c>
      <c r="G14" s="572"/>
      <c r="H14" s="29">
        <v>44811</v>
      </c>
      <c r="I14" s="30">
        <v>229</v>
      </c>
      <c r="J14" s="37"/>
      <c r="K14" s="38"/>
      <c r="L14" s="39"/>
      <c r="M14" s="32">
        <f>10336+10272+29415</f>
        <v>50023</v>
      </c>
      <c r="N14" s="33">
        <v>35415</v>
      </c>
      <c r="O14" s="577" t="s">
        <v>597</v>
      </c>
      <c r="P14" s="39">
        <f t="shared" si="1"/>
        <v>95768</v>
      </c>
      <c r="Q14" s="317">
        <f>P14-F14-29415-3</f>
        <v>-49700</v>
      </c>
      <c r="R14" s="770">
        <v>29415</v>
      </c>
      <c r="S14" s="370">
        <v>44810</v>
      </c>
      <c r="T14" s="327">
        <v>10000</v>
      </c>
      <c r="U14" s="767" t="s">
        <v>597</v>
      </c>
      <c r="V14" s="758"/>
    </row>
    <row r="15" spans="1:22" ht="18" thickBot="1" x14ac:dyDescent="0.35">
      <c r="A15" s="23"/>
      <c r="B15" s="24">
        <v>44812</v>
      </c>
      <c r="C15" s="25">
        <v>4064</v>
      </c>
      <c r="D15" s="40" t="s">
        <v>1147</v>
      </c>
      <c r="E15" s="27">
        <v>44812</v>
      </c>
      <c r="F15" s="28">
        <v>101436</v>
      </c>
      <c r="G15" s="572"/>
      <c r="H15" s="29">
        <v>44812</v>
      </c>
      <c r="I15" s="30">
        <v>4919</v>
      </c>
      <c r="J15" s="37"/>
      <c r="K15" s="38"/>
      <c r="L15" s="39"/>
      <c r="M15" s="32">
        <v>0</v>
      </c>
      <c r="N15" s="33">
        <v>42575</v>
      </c>
      <c r="O15" s="577" t="s">
        <v>597</v>
      </c>
      <c r="P15" s="39">
        <f t="shared" si="1"/>
        <v>51558</v>
      </c>
      <c r="Q15" s="317">
        <f t="shared" si="0"/>
        <v>-49878</v>
      </c>
      <c r="R15" s="542">
        <v>0</v>
      </c>
      <c r="S15" s="370">
        <v>44810</v>
      </c>
      <c r="T15" s="768">
        <v>121050</v>
      </c>
      <c r="U15" s="767" t="s">
        <v>597</v>
      </c>
      <c r="V15" s="758"/>
    </row>
    <row r="16" spans="1:22" ht="19.5" thickBot="1" x14ac:dyDescent="0.35">
      <c r="A16" s="23"/>
      <c r="B16" s="24">
        <v>44813</v>
      </c>
      <c r="C16" s="25">
        <v>17740</v>
      </c>
      <c r="D16" s="35" t="s">
        <v>1253</v>
      </c>
      <c r="E16" s="27">
        <v>44813</v>
      </c>
      <c r="F16" s="28">
        <v>114211</v>
      </c>
      <c r="G16" s="572"/>
      <c r="H16" s="29">
        <v>44813</v>
      </c>
      <c r="I16" s="30">
        <v>2780.5</v>
      </c>
      <c r="J16" s="37"/>
      <c r="K16" s="169"/>
      <c r="L16" s="9"/>
      <c r="M16" s="32">
        <v>9891.5</v>
      </c>
      <c r="N16" s="33">
        <v>49188</v>
      </c>
      <c r="O16" s="577" t="s">
        <v>937</v>
      </c>
      <c r="P16" s="39">
        <f t="shared" si="1"/>
        <v>79600</v>
      </c>
      <c r="Q16" s="317">
        <f t="shared" si="0"/>
        <v>-34611</v>
      </c>
      <c r="R16" s="319">
        <v>0</v>
      </c>
      <c r="S16" s="765"/>
      <c r="T16" s="772">
        <f>SUM(T13:T15)</f>
        <v>173450</v>
      </c>
      <c r="U16" s="757"/>
      <c r="V16" s="758"/>
    </row>
    <row r="17" spans="1:22" ht="18" thickBot="1" x14ac:dyDescent="0.35">
      <c r="A17" s="23"/>
      <c r="B17" s="24">
        <v>44814</v>
      </c>
      <c r="C17" s="25">
        <v>19816.5</v>
      </c>
      <c r="D17" s="42" t="s">
        <v>1254</v>
      </c>
      <c r="E17" s="27">
        <v>44814</v>
      </c>
      <c r="F17" s="28">
        <v>117839</v>
      </c>
      <c r="G17" s="572"/>
      <c r="H17" s="29">
        <v>44814</v>
      </c>
      <c r="I17" s="30">
        <v>6254</v>
      </c>
      <c r="J17" s="37">
        <v>44814</v>
      </c>
      <c r="K17" s="38" t="s">
        <v>1255</v>
      </c>
      <c r="L17" s="45">
        <v>18565</v>
      </c>
      <c r="M17" s="32">
        <v>19854.5</v>
      </c>
      <c r="N17" s="33">
        <v>53349</v>
      </c>
      <c r="O17" s="577" t="s">
        <v>937</v>
      </c>
      <c r="P17" s="39">
        <f t="shared" si="1"/>
        <v>117839</v>
      </c>
      <c r="Q17" s="325">
        <f t="shared" si="0"/>
        <v>0</v>
      </c>
      <c r="R17" s="542">
        <v>0</v>
      </c>
      <c r="S17" s="370">
        <v>44810</v>
      </c>
      <c r="T17" s="327">
        <v>-28811</v>
      </c>
      <c r="U17" s="766" t="s">
        <v>27</v>
      </c>
      <c r="V17" s="758"/>
    </row>
    <row r="18" spans="1:22" ht="18" thickBot="1" x14ac:dyDescent="0.35">
      <c r="A18" s="23"/>
      <c r="B18" s="24">
        <v>44815</v>
      </c>
      <c r="C18" s="25">
        <v>31662</v>
      </c>
      <c r="D18" s="35" t="s">
        <v>1257</v>
      </c>
      <c r="E18" s="27">
        <v>44815</v>
      </c>
      <c r="F18" s="28">
        <v>114813</v>
      </c>
      <c r="G18" s="572"/>
      <c r="H18" s="29">
        <v>44815</v>
      </c>
      <c r="I18" s="30">
        <v>2526.5</v>
      </c>
      <c r="J18" s="37"/>
      <c r="K18" s="564"/>
      <c r="L18" s="39"/>
      <c r="M18" s="32">
        <f>20000+23616.5</f>
        <v>43616.5</v>
      </c>
      <c r="N18" s="33">
        <v>37008</v>
      </c>
      <c r="O18" s="577" t="s">
        <v>937</v>
      </c>
      <c r="P18" s="39">
        <f t="shared" si="1"/>
        <v>114813</v>
      </c>
      <c r="Q18" s="325">
        <f t="shared" si="0"/>
        <v>0</v>
      </c>
      <c r="R18" s="542">
        <v>0</v>
      </c>
      <c r="S18" s="370">
        <v>44811</v>
      </c>
      <c r="T18" s="327">
        <v>-49700</v>
      </c>
      <c r="U18" s="766" t="s">
        <v>27</v>
      </c>
      <c r="V18" s="758"/>
    </row>
    <row r="19" spans="1:22" ht="18" customHeight="1" thickBot="1" x14ac:dyDescent="0.35">
      <c r="A19" s="23"/>
      <c r="B19" s="24">
        <v>44816</v>
      </c>
      <c r="C19" s="25">
        <v>27351.5</v>
      </c>
      <c r="D19" s="35" t="s">
        <v>1258</v>
      </c>
      <c r="E19" s="27">
        <v>44816</v>
      </c>
      <c r="F19" s="28">
        <v>152177</v>
      </c>
      <c r="G19" s="572"/>
      <c r="H19" s="29">
        <v>44816</v>
      </c>
      <c r="I19" s="30">
        <v>2087</v>
      </c>
      <c r="J19" s="37"/>
      <c r="K19" s="46"/>
      <c r="L19" s="47"/>
      <c r="M19" s="32">
        <f>6406+44408.5+19602</f>
        <v>70416.5</v>
      </c>
      <c r="N19" s="33">
        <v>52322</v>
      </c>
      <c r="O19" s="577" t="s">
        <v>937</v>
      </c>
      <c r="P19" s="39">
        <f t="shared" si="1"/>
        <v>152177</v>
      </c>
      <c r="Q19" s="325">
        <f t="shared" si="0"/>
        <v>0</v>
      </c>
      <c r="R19" s="542">
        <v>0</v>
      </c>
      <c r="S19" s="370">
        <v>44812</v>
      </c>
      <c r="T19" s="776">
        <v>-49878</v>
      </c>
      <c r="U19" s="766" t="s">
        <v>27</v>
      </c>
      <c r="V19" s="758"/>
    </row>
    <row r="20" spans="1:22" ht="18" customHeight="1" thickBot="1" x14ac:dyDescent="0.35">
      <c r="A20" s="23"/>
      <c r="B20" s="24">
        <v>44817</v>
      </c>
      <c r="C20" s="25">
        <v>33084</v>
      </c>
      <c r="D20" s="35" t="s">
        <v>1259</v>
      </c>
      <c r="E20" s="27">
        <v>44817</v>
      </c>
      <c r="F20" s="28">
        <v>164240</v>
      </c>
      <c r="G20" s="572"/>
      <c r="H20" s="29">
        <v>44817</v>
      </c>
      <c r="I20" s="30">
        <v>2587</v>
      </c>
      <c r="J20" s="37"/>
      <c r="K20" s="171"/>
      <c r="L20" s="45"/>
      <c r="M20" s="32">
        <f>17086+20000+49877</f>
        <v>86963</v>
      </c>
      <c r="N20" s="33">
        <v>93084</v>
      </c>
      <c r="O20" s="577" t="s">
        <v>937</v>
      </c>
      <c r="P20" s="39">
        <f t="shared" si="1"/>
        <v>215718</v>
      </c>
      <c r="Q20" s="325">
        <v>0</v>
      </c>
      <c r="R20" s="388">
        <v>51478</v>
      </c>
      <c r="S20" s="765">
        <v>44813</v>
      </c>
      <c r="T20" s="777">
        <v>-34611</v>
      </c>
      <c r="U20" s="759" t="s">
        <v>27</v>
      </c>
      <c r="V20" s="758"/>
    </row>
    <row r="21" spans="1:22" ht="18" thickBot="1" x14ac:dyDescent="0.35">
      <c r="A21" s="23"/>
      <c r="B21" s="24">
        <v>44818</v>
      </c>
      <c r="C21" s="25">
        <v>13474</v>
      </c>
      <c r="D21" s="35" t="s">
        <v>1260</v>
      </c>
      <c r="E21" s="27">
        <v>44818</v>
      </c>
      <c r="F21" s="28">
        <v>193300</v>
      </c>
      <c r="G21" s="572"/>
      <c r="H21" s="29">
        <v>44818</v>
      </c>
      <c r="I21" s="30">
        <v>2387</v>
      </c>
      <c r="J21" s="37"/>
      <c r="K21" s="565"/>
      <c r="L21" s="45"/>
      <c r="M21" s="32">
        <f>26000+71145+13500</f>
        <v>110645</v>
      </c>
      <c r="N21" s="33">
        <v>66794</v>
      </c>
      <c r="O21" s="577" t="s">
        <v>937</v>
      </c>
      <c r="P21" s="39">
        <f t="shared" si="1"/>
        <v>193300</v>
      </c>
      <c r="Q21" s="325">
        <f t="shared" si="0"/>
        <v>0</v>
      </c>
      <c r="R21" s="319" t="s">
        <v>1261</v>
      </c>
      <c r="S21" s="765">
        <v>44832</v>
      </c>
      <c r="T21" s="34">
        <v>-10450</v>
      </c>
      <c r="U21" s="778" t="s">
        <v>27</v>
      </c>
      <c r="V21" s="758"/>
    </row>
    <row r="22" spans="1:22" ht="31.5" thickBot="1" x14ac:dyDescent="0.35">
      <c r="A22" s="23"/>
      <c r="B22" s="24">
        <v>44819</v>
      </c>
      <c r="C22" s="25">
        <v>4999</v>
      </c>
      <c r="D22" s="35" t="s">
        <v>112</v>
      </c>
      <c r="E22" s="27">
        <v>44819</v>
      </c>
      <c r="F22" s="28">
        <v>190016</v>
      </c>
      <c r="G22" s="572"/>
      <c r="H22" s="29">
        <v>44819</v>
      </c>
      <c r="I22" s="30">
        <v>3539</v>
      </c>
      <c r="J22" s="37">
        <v>44819</v>
      </c>
      <c r="K22" s="773" t="s">
        <v>1262</v>
      </c>
      <c r="L22" s="49">
        <v>15000</v>
      </c>
      <c r="M22" s="32">
        <f>24500+61550</f>
        <v>86050</v>
      </c>
      <c r="N22" s="33">
        <v>80429</v>
      </c>
      <c r="O22" s="577" t="s">
        <v>937</v>
      </c>
      <c r="P22" s="39">
        <f t="shared" si="1"/>
        <v>190017</v>
      </c>
      <c r="Q22" s="325">
        <f t="shared" si="0"/>
        <v>1</v>
      </c>
      <c r="R22" s="319">
        <v>0</v>
      </c>
      <c r="S22" s="765"/>
      <c r="T22" s="779">
        <f>SUM(T17:T21)</f>
        <v>-173450</v>
      </c>
      <c r="U22" s="780"/>
      <c r="V22" s="758"/>
    </row>
    <row r="23" spans="1:22" ht="18" customHeight="1" thickBot="1" x14ac:dyDescent="0.35">
      <c r="A23" s="23"/>
      <c r="B23" s="24">
        <v>44820</v>
      </c>
      <c r="C23" s="25">
        <v>10700</v>
      </c>
      <c r="D23" s="35" t="s">
        <v>1263</v>
      </c>
      <c r="E23" s="27">
        <v>44820</v>
      </c>
      <c r="F23" s="28">
        <v>72012</v>
      </c>
      <c r="G23" s="572"/>
      <c r="H23" s="29">
        <v>44820</v>
      </c>
      <c r="I23" s="30">
        <v>291</v>
      </c>
      <c r="J23" s="50"/>
      <c r="K23" s="172"/>
      <c r="L23" s="45"/>
      <c r="M23" s="32">
        <f>23109+721+14000</f>
        <v>37830</v>
      </c>
      <c r="N23" s="33">
        <v>23191</v>
      </c>
      <c r="O23" s="577" t="s">
        <v>937</v>
      </c>
      <c r="P23" s="39">
        <f t="shared" si="1"/>
        <v>72012</v>
      </c>
      <c r="Q23" s="325">
        <f t="shared" si="0"/>
        <v>0</v>
      </c>
      <c r="R23" s="319">
        <v>0</v>
      </c>
      <c r="S23" s="765"/>
      <c r="T23" s="781">
        <f>T16+T22</f>
        <v>0</v>
      </c>
      <c r="U23" s="782" t="s">
        <v>1272</v>
      </c>
      <c r="V23" s="758"/>
    </row>
    <row r="24" spans="1:22" ht="18" customHeight="1" thickBot="1" x14ac:dyDescent="0.35">
      <c r="A24" s="23"/>
      <c r="B24" s="24">
        <v>44821</v>
      </c>
      <c r="C24" s="25">
        <v>17481</v>
      </c>
      <c r="D24" s="42" t="s">
        <v>1264</v>
      </c>
      <c r="E24" s="27">
        <v>44821</v>
      </c>
      <c r="F24" s="28">
        <v>112511</v>
      </c>
      <c r="G24" s="572"/>
      <c r="H24" s="29">
        <v>44821</v>
      </c>
      <c r="I24" s="30">
        <v>2004</v>
      </c>
      <c r="J24" s="51">
        <v>44821</v>
      </c>
      <c r="K24" s="783" t="s">
        <v>1265</v>
      </c>
      <c r="L24" s="52">
        <v>22708</v>
      </c>
      <c r="M24" s="32">
        <f>16617+1040</f>
        <v>17657</v>
      </c>
      <c r="N24" s="33">
        <v>52661</v>
      </c>
      <c r="O24" s="577" t="s">
        <v>937</v>
      </c>
      <c r="P24" s="39">
        <f>N24+M24+L24+I24+C24</f>
        <v>112511</v>
      </c>
      <c r="Q24" s="325">
        <f t="shared" si="0"/>
        <v>0</v>
      </c>
      <c r="R24" s="319">
        <v>0</v>
      </c>
      <c r="S24" s="765"/>
      <c r="T24" s="760"/>
      <c r="U24" s="760"/>
      <c r="V24" s="758"/>
    </row>
    <row r="25" spans="1:22" ht="18" thickBot="1" x14ac:dyDescent="0.35">
      <c r="A25" s="23"/>
      <c r="B25" s="24">
        <v>44822</v>
      </c>
      <c r="C25" s="25">
        <v>0</v>
      </c>
      <c r="D25" s="35"/>
      <c r="E25" s="27">
        <v>44822</v>
      </c>
      <c r="F25" s="28">
        <v>90619</v>
      </c>
      <c r="G25" s="572"/>
      <c r="H25" s="29">
        <v>44822</v>
      </c>
      <c r="I25" s="30">
        <v>979</v>
      </c>
      <c r="J25" s="50"/>
      <c r="K25" s="38"/>
      <c r="L25" s="54"/>
      <c r="M25" s="32">
        <v>60116</v>
      </c>
      <c r="N25" s="33">
        <v>29524</v>
      </c>
      <c r="O25" s="577" t="s">
        <v>937</v>
      </c>
      <c r="P25" s="283">
        <f t="shared" si="1"/>
        <v>90619</v>
      </c>
      <c r="Q25" s="325">
        <f t="shared" si="0"/>
        <v>0</v>
      </c>
      <c r="R25" s="319">
        <v>0</v>
      </c>
      <c r="S25" s="763"/>
      <c r="T25" s="760"/>
      <c r="U25" s="760"/>
      <c r="V25" s="758"/>
    </row>
    <row r="26" spans="1:22" ht="18" thickBot="1" x14ac:dyDescent="0.35">
      <c r="A26" s="23"/>
      <c r="B26" s="24">
        <v>44823</v>
      </c>
      <c r="C26" s="25">
        <v>32880</v>
      </c>
      <c r="D26" s="35" t="s">
        <v>1266</v>
      </c>
      <c r="E26" s="27">
        <v>44823</v>
      </c>
      <c r="F26" s="28">
        <v>120050</v>
      </c>
      <c r="G26" s="572"/>
      <c r="H26" s="29">
        <v>44823</v>
      </c>
      <c r="I26" s="30">
        <v>1998</v>
      </c>
      <c r="J26" s="37"/>
      <c r="K26" s="728"/>
      <c r="L26" s="729"/>
      <c r="M26" s="32">
        <v>53164</v>
      </c>
      <c r="N26" s="33">
        <v>32008</v>
      </c>
      <c r="O26" s="577" t="s">
        <v>937</v>
      </c>
      <c r="P26" s="283">
        <f t="shared" si="1"/>
        <v>120050</v>
      </c>
      <c r="Q26" s="325">
        <f t="shared" si="0"/>
        <v>0</v>
      </c>
      <c r="R26" s="319">
        <v>0</v>
      </c>
      <c r="S26" s="764"/>
      <c r="T26" s="761"/>
      <c r="U26" s="761"/>
      <c r="V26" s="762"/>
    </row>
    <row r="27" spans="1:22" ht="18" customHeight="1" thickBot="1" x14ac:dyDescent="0.35">
      <c r="A27" s="23"/>
      <c r="B27" s="24">
        <v>44824</v>
      </c>
      <c r="C27" s="25">
        <v>16862</v>
      </c>
      <c r="D27" s="42" t="s">
        <v>1267</v>
      </c>
      <c r="E27" s="27">
        <v>44824</v>
      </c>
      <c r="F27" s="28">
        <v>97544</v>
      </c>
      <c r="G27" s="572"/>
      <c r="H27" s="29">
        <v>44824</v>
      </c>
      <c r="I27" s="30">
        <v>1814</v>
      </c>
      <c r="J27" s="55"/>
      <c r="K27" s="174"/>
      <c r="L27" s="54"/>
      <c r="M27" s="32">
        <v>41910</v>
      </c>
      <c r="N27" s="33">
        <v>36958</v>
      </c>
      <c r="O27" s="577" t="s">
        <v>937</v>
      </c>
      <c r="P27" s="283">
        <f t="shared" si="1"/>
        <v>97544</v>
      </c>
      <c r="Q27" s="325">
        <f t="shared" si="0"/>
        <v>0</v>
      </c>
      <c r="R27" s="319">
        <v>0</v>
      </c>
      <c r="S27" s="426"/>
    </row>
    <row r="28" spans="1:22" ht="18" customHeight="1" thickBot="1" x14ac:dyDescent="0.35">
      <c r="A28" s="23"/>
      <c r="B28" s="24">
        <v>44825</v>
      </c>
      <c r="C28" s="25">
        <v>16722</v>
      </c>
      <c r="D28" s="42" t="s">
        <v>1268</v>
      </c>
      <c r="E28" s="27">
        <v>44825</v>
      </c>
      <c r="F28" s="28">
        <v>173231</v>
      </c>
      <c r="G28" s="572"/>
      <c r="H28" s="29">
        <v>44825</v>
      </c>
      <c r="I28" s="30">
        <v>4223</v>
      </c>
      <c r="J28" s="56"/>
      <c r="K28" s="57"/>
      <c r="L28" s="54"/>
      <c r="M28" s="32">
        <f>6597+430+7326+5692+21000+60450</f>
        <v>101495</v>
      </c>
      <c r="N28" s="33">
        <v>50792</v>
      </c>
      <c r="O28" s="577" t="s">
        <v>937</v>
      </c>
      <c r="P28" s="283">
        <f t="shared" si="1"/>
        <v>173232</v>
      </c>
      <c r="Q28" s="325">
        <f t="shared" si="0"/>
        <v>1</v>
      </c>
      <c r="R28" s="319">
        <v>0</v>
      </c>
    </row>
    <row r="29" spans="1:22" ht="18" thickBot="1" x14ac:dyDescent="0.35">
      <c r="A29" s="23"/>
      <c r="B29" s="24">
        <v>44826</v>
      </c>
      <c r="C29" s="25">
        <v>11366</v>
      </c>
      <c r="D29" s="58" t="s">
        <v>1269</v>
      </c>
      <c r="E29" s="27">
        <v>44826</v>
      </c>
      <c r="F29" s="28">
        <v>90346</v>
      </c>
      <c r="G29" s="572"/>
      <c r="H29" s="29">
        <v>44826</v>
      </c>
      <c r="I29" s="30">
        <v>1642</v>
      </c>
      <c r="J29" s="59">
        <v>44826</v>
      </c>
      <c r="K29" s="175" t="s">
        <v>1270</v>
      </c>
      <c r="L29" s="54">
        <v>5000</v>
      </c>
      <c r="M29" s="32">
        <f>33783+10450</f>
        <v>44233</v>
      </c>
      <c r="N29" s="33">
        <v>28105</v>
      </c>
      <c r="O29" s="577" t="s">
        <v>937</v>
      </c>
      <c r="P29" s="283">
        <f t="shared" si="1"/>
        <v>90346</v>
      </c>
      <c r="Q29" s="325">
        <f t="shared" si="0"/>
        <v>0</v>
      </c>
      <c r="R29" s="319">
        <v>0</v>
      </c>
    </row>
    <row r="30" spans="1:22" ht="18" thickBot="1" x14ac:dyDescent="0.35">
      <c r="A30" s="23"/>
      <c r="B30" s="24">
        <v>44827</v>
      </c>
      <c r="C30" s="25">
        <v>1581</v>
      </c>
      <c r="D30" s="58" t="s">
        <v>1271</v>
      </c>
      <c r="E30" s="27">
        <v>44827</v>
      </c>
      <c r="F30" s="28">
        <v>129338</v>
      </c>
      <c r="G30" s="572"/>
      <c r="H30" s="29">
        <v>44827</v>
      </c>
      <c r="I30" s="30">
        <v>3549</v>
      </c>
      <c r="J30" s="56"/>
      <c r="K30" s="38"/>
      <c r="L30" s="39"/>
      <c r="M30" s="32">
        <v>79814</v>
      </c>
      <c r="N30" s="33">
        <v>44394</v>
      </c>
      <c r="O30" s="577" t="s">
        <v>937</v>
      </c>
      <c r="P30" s="283">
        <f t="shared" si="1"/>
        <v>129338</v>
      </c>
      <c r="Q30" s="325">
        <f t="shared" si="0"/>
        <v>0</v>
      </c>
      <c r="R30" s="319">
        <v>0</v>
      </c>
    </row>
    <row r="31" spans="1:22" ht="18" thickBot="1" x14ac:dyDescent="0.35">
      <c r="A31" s="23"/>
      <c r="B31" s="24">
        <v>44828</v>
      </c>
      <c r="C31" s="25">
        <v>29510.5</v>
      </c>
      <c r="D31" s="67" t="s">
        <v>1273</v>
      </c>
      <c r="E31" s="27">
        <v>44828</v>
      </c>
      <c r="F31" s="28">
        <v>129885</v>
      </c>
      <c r="G31" s="572"/>
      <c r="H31" s="29">
        <v>44828</v>
      </c>
      <c r="I31" s="30">
        <v>5786</v>
      </c>
      <c r="J31" s="56">
        <v>44828</v>
      </c>
      <c r="K31" s="784" t="s">
        <v>1274</v>
      </c>
      <c r="L31" s="54">
        <v>17332</v>
      </c>
      <c r="M31" s="32">
        <v>16552.5</v>
      </c>
      <c r="N31" s="33">
        <v>60704</v>
      </c>
      <c r="O31" s="577" t="s">
        <v>937</v>
      </c>
      <c r="P31" s="34">
        <f t="shared" si="1"/>
        <v>129885</v>
      </c>
      <c r="Q31" s="325">
        <f t="shared" si="0"/>
        <v>0</v>
      </c>
      <c r="R31" s="319">
        <v>0</v>
      </c>
    </row>
    <row r="32" spans="1:22" ht="18" thickBot="1" x14ac:dyDescent="0.35">
      <c r="A32" s="23"/>
      <c r="B32" s="24">
        <v>44829</v>
      </c>
      <c r="C32" s="25">
        <v>8976</v>
      </c>
      <c r="D32" s="64" t="s">
        <v>1275</v>
      </c>
      <c r="E32" s="27">
        <v>44829</v>
      </c>
      <c r="F32" s="28">
        <v>89845</v>
      </c>
      <c r="G32" s="572"/>
      <c r="H32" s="29">
        <v>44829</v>
      </c>
      <c r="I32" s="30">
        <v>2432</v>
      </c>
      <c r="J32" s="56"/>
      <c r="K32" s="38"/>
      <c r="L32" s="39"/>
      <c r="M32" s="32">
        <f>10000+36765</f>
        <v>46765</v>
      </c>
      <c r="N32" s="33">
        <v>31672</v>
      </c>
      <c r="O32" s="577" t="s">
        <v>937</v>
      </c>
      <c r="P32" s="34">
        <f t="shared" si="1"/>
        <v>89845</v>
      </c>
      <c r="Q32" s="325" t="s">
        <v>1276</v>
      </c>
      <c r="R32" s="319">
        <v>0</v>
      </c>
      <c r="S32" s="98" t="s">
        <v>7</v>
      </c>
    </row>
    <row r="33" spans="1:18" ht="18" thickBot="1" x14ac:dyDescent="0.35">
      <c r="A33" s="23"/>
      <c r="B33" s="24">
        <v>44830</v>
      </c>
      <c r="C33" s="25">
        <v>14233</v>
      </c>
      <c r="D33" s="64" t="s">
        <v>1277</v>
      </c>
      <c r="E33" s="27">
        <v>44830</v>
      </c>
      <c r="F33" s="28">
        <v>153400</v>
      </c>
      <c r="G33" s="572"/>
      <c r="H33" s="29">
        <v>44830</v>
      </c>
      <c r="I33" s="30">
        <v>1019</v>
      </c>
      <c r="J33" s="56"/>
      <c r="K33" s="223"/>
      <c r="L33" s="69"/>
      <c r="M33" s="32">
        <f>65768+19602</f>
        <v>85370</v>
      </c>
      <c r="N33" s="33">
        <v>52778</v>
      </c>
      <c r="O33" s="577" t="s">
        <v>937</v>
      </c>
      <c r="P33" s="34">
        <f t="shared" si="1"/>
        <v>153400</v>
      </c>
      <c r="Q33" s="325">
        <v>0</v>
      </c>
      <c r="R33" s="319">
        <v>0</v>
      </c>
    </row>
    <row r="34" spans="1:18" ht="18" thickBot="1" x14ac:dyDescent="0.35">
      <c r="A34" s="23"/>
      <c r="B34" s="24">
        <v>44831</v>
      </c>
      <c r="C34" s="25">
        <v>22714</v>
      </c>
      <c r="D34" s="64" t="s">
        <v>1278</v>
      </c>
      <c r="E34" s="27">
        <v>44831</v>
      </c>
      <c r="F34" s="28">
        <v>145561</v>
      </c>
      <c r="G34" s="572"/>
      <c r="H34" s="29">
        <v>44831</v>
      </c>
      <c r="I34" s="30">
        <v>860</v>
      </c>
      <c r="J34" s="56"/>
      <c r="K34" s="751"/>
      <c r="L34" s="39"/>
      <c r="M34" s="32">
        <f>56143+28602</f>
        <v>84745</v>
      </c>
      <c r="N34" s="33">
        <v>37242</v>
      </c>
      <c r="O34" s="577" t="s">
        <v>937</v>
      </c>
      <c r="P34" s="34">
        <f t="shared" si="1"/>
        <v>145561</v>
      </c>
      <c r="Q34" s="325">
        <f t="shared" si="0"/>
        <v>0</v>
      </c>
      <c r="R34" s="319">
        <v>0</v>
      </c>
    </row>
    <row r="35" spans="1:18" ht="18" thickBot="1" x14ac:dyDescent="0.35">
      <c r="A35" s="23"/>
      <c r="B35" s="24">
        <v>44832</v>
      </c>
      <c r="C35" s="690">
        <v>8231</v>
      </c>
      <c r="D35" s="67" t="s">
        <v>328</v>
      </c>
      <c r="E35" s="27">
        <v>44832</v>
      </c>
      <c r="F35" s="28">
        <v>146386</v>
      </c>
      <c r="G35" s="572"/>
      <c r="H35" s="29">
        <v>44832</v>
      </c>
      <c r="I35" s="30">
        <v>1849</v>
      </c>
      <c r="J35" s="698"/>
      <c r="K35" s="752"/>
      <c r="L35" s="702"/>
      <c r="M35" s="32">
        <f>75888+10438</f>
        <v>86326</v>
      </c>
      <c r="N35" s="33">
        <v>39530</v>
      </c>
      <c r="O35" s="577" t="s">
        <v>937</v>
      </c>
      <c r="P35" s="34">
        <f t="shared" si="1"/>
        <v>135936</v>
      </c>
      <c r="Q35" s="317">
        <f>P35-F35</f>
        <v>-10450</v>
      </c>
      <c r="R35" s="319">
        <v>0</v>
      </c>
    </row>
    <row r="36" spans="1:18" ht="18" customHeight="1" thickTop="1" thickBot="1" x14ac:dyDescent="0.35">
      <c r="A36" s="23"/>
      <c r="B36" s="24">
        <v>44833</v>
      </c>
      <c r="C36" s="693">
        <v>19378.5</v>
      </c>
      <c r="D36" s="786" t="s">
        <v>1279</v>
      </c>
      <c r="E36" s="27">
        <v>44833</v>
      </c>
      <c r="F36" s="28">
        <v>129537</v>
      </c>
      <c r="G36" s="662"/>
      <c r="H36" s="29">
        <v>44833</v>
      </c>
      <c r="I36" s="30">
        <v>1432.5</v>
      </c>
      <c r="J36" s="56"/>
      <c r="K36" s="751"/>
      <c r="L36" s="39"/>
      <c r="M36" s="32">
        <f>75617+5967</f>
        <v>81584</v>
      </c>
      <c r="N36" s="33">
        <v>27142</v>
      </c>
      <c r="O36" s="577" t="s">
        <v>937</v>
      </c>
      <c r="P36" s="34">
        <f t="shared" si="1"/>
        <v>129537</v>
      </c>
      <c r="Q36" s="325">
        <f t="shared" si="0"/>
        <v>0</v>
      </c>
      <c r="R36" s="319">
        <v>0</v>
      </c>
    </row>
    <row r="37" spans="1:18" ht="18" customHeight="1" thickBot="1" x14ac:dyDescent="0.35">
      <c r="A37" s="23"/>
      <c r="B37" s="24">
        <v>44834</v>
      </c>
      <c r="C37" s="692">
        <v>13389</v>
      </c>
      <c r="D37" s="742" t="s">
        <v>1280</v>
      </c>
      <c r="E37" s="27">
        <v>44834</v>
      </c>
      <c r="F37" s="28">
        <v>132707</v>
      </c>
      <c r="G37" s="662"/>
      <c r="H37" s="29">
        <v>44834</v>
      </c>
      <c r="I37" s="30">
        <v>1695.5</v>
      </c>
      <c r="J37" s="56"/>
      <c r="K37" s="751"/>
      <c r="L37" s="39"/>
      <c r="M37" s="32">
        <v>87292.5</v>
      </c>
      <c r="N37" s="33">
        <v>30330</v>
      </c>
      <c r="O37" s="577" t="s">
        <v>937</v>
      </c>
      <c r="P37" s="34">
        <f t="shared" si="1"/>
        <v>132707</v>
      </c>
      <c r="Q37" s="325">
        <v>0</v>
      </c>
      <c r="R37" s="319">
        <v>0</v>
      </c>
    </row>
    <row r="38" spans="1:18" ht="18" thickBot="1" x14ac:dyDescent="0.35">
      <c r="A38" s="23"/>
      <c r="B38" s="24">
        <v>44835</v>
      </c>
      <c r="C38" s="692">
        <v>0</v>
      </c>
      <c r="D38" s="742"/>
      <c r="E38" s="27">
        <v>44835</v>
      </c>
      <c r="F38" s="28">
        <v>156339</v>
      </c>
      <c r="G38" s="662"/>
      <c r="H38" s="29">
        <v>44835</v>
      </c>
      <c r="I38" s="30">
        <v>3056</v>
      </c>
      <c r="J38" s="56">
        <v>44835</v>
      </c>
      <c r="K38" s="787" t="s">
        <v>1281</v>
      </c>
      <c r="L38" s="39">
        <v>19981</v>
      </c>
      <c r="M38" s="32">
        <v>72199</v>
      </c>
      <c r="N38" s="33">
        <v>61103</v>
      </c>
      <c r="O38" s="577" t="s">
        <v>937</v>
      </c>
      <c r="P38" s="34">
        <f t="shared" si="1"/>
        <v>156339</v>
      </c>
      <c r="Q38" s="325">
        <f t="shared" si="0"/>
        <v>0</v>
      </c>
      <c r="R38" s="319">
        <v>0</v>
      </c>
    </row>
    <row r="39" spans="1:18" ht="18" thickBot="1" x14ac:dyDescent="0.35">
      <c r="A39" s="23"/>
      <c r="B39" s="24">
        <v>44836</v>
      </c>
      <c r="C39" s="692">
        <v>3653</v>
      </c>
      <c r="D39" s="695" t="s">
        <v>1282</v>
      </c>
      <c r="E39" s="27">
        <v>44836</v>
      </c>
      <c r="F39" s="508">
        <v>110600</v>
      </c>
      <c r="G39" s="662"/>
      <c r="H39" s="29">
        <v>44836</v>
      </c>
      <c r="I39" s="71">
        <v>120</v>
      </c>
      <c r="J39" s="56"/>
      <c r="K39" s="663"/>
      <c r="L39" s="39"/>
      <c r="M39" s="32">
        <v>67471</v>
      </c>
      <c r="N39" s="33">
        <v>39356</v>
      </c>
      <c r="O39" s="577" t="s">
        <v>937</v>
      </c>
      <c r="P39" s="34">
        <f t="shared" si="1"/>
        <v>110600</v>
      </c>
      <c r="Q39" s="111">
        <f t="shared" si="0"/>
        <v>0</v>
      </c>
      <c r="R39" s="319">
        <v>0</v>
      </c>
    </row>
    <row r="40" spans="1:18" ht="18" thickBot="1" x14ac:dyDescent="0.35">
      <c r="A40" s="23"/>
      <c r="B40" s="24"/>
      <c r="C40" s="692"/>
      <c r="D40" s="696"/>
      <c r="E40" s="27"/>
      <c r="F40" s="70"/>
      <c r="G40" s="572"/>
      <c r="H40" s="36"/>
      <c r="I40" s="71"/>
      <c r="J40" s="56"/>
      <c r="K40" s="38"/>
      <c r="L40" s="39"/>
      <c r="M40" s="267">
        <v>0</v>
      </c>
      <c r="N40" s="268">
        <v>0</v>
      </c>
      <c r="P40" s="34">
        <v>0</v>
      </c>
      <c r="Q40" s="111">
        <f t="shared" si="0"/>
        <v>0</v>
      </c>
      <c r="R40" s="319">
        <v>0</v>
      </c>
    </row>
    <row r="41" spans="1:18" ht="18" thickBot="1" x14ac:dyDescent="0.35">
      <c r="A41" s="23"/>
      <c r="B41" s="24">
        <v>44805</v>
      </c>
      <c r="C41" s="692">
        <v>1065.9000000000001</v>
      </c>
      <c r="D41" s="697" t="s">
        <v>1350</v>
      </c>
      <c r="E41" s="74"/>
      <c r="F41" s="75"/>
      <c r="G41" s="572"/>
      <c r="H41" s="76"/>
      <c r="I41" s="77"/>
      <c r="J41" s="56">
        <v>44807</v>
      </c>
      <c r="K41" s="739" t="s">
        <v>1250</v>
      </c>
      <c r="L41" s="39">
        <v>19507</v>
      </c>
      <c r="M41" s="871">
        <f>SUM(M5:M40)</f>
        <v>2172487.6799999997</v>
      </c>
      <c r="N41" s="871">
        <f>SUM(N5:N40)</f>
        <v>1625219</v>
      </c>
      <c r="P41" s="505">
        <f>SUM(P5:P40)</f>
        <v>4566318.68</v>
      </c>
      <c r="Q41" s="936">
        <f>SUM(Q5:Q40)</f>
        <v>6</v>
      </c>
      <c r="R41" s="227">
        <f>SUM(R28:R40)</f>
        <v>0</v>
      </c>
    </row>
    <row r="42" spans="1:18" ht="18" thickBot="1" x14ac:dyDescent="0.35">
      <c r="A42" s="23"/>
      <c r="B42" s="24">
        <v>44806</v>
      </c>
      <c r="C42" s="692">
        <v>200000</v>
      </c>
      <c r="D42" s="697" t="s">
        <v>1208</v>
      </c>
      <c r="E42" s="74"/>
      <c r="F42" s="75"/>
      <c r="G42" s="572"/>
      <c r="H42" s="76"/>
      <c r="I42" s="77"/>
      <c r="J42" s="698">
        <v>44814</v>
      </c>
      <c r="K42" s="740" t="s">
        <v>1256</v>
      </c>
      <c r="L42" s="702">
        <v>19250</v>
      </c>
      <c r="M42" s="872"/>
      <c r="N42" s="872"/>
      <c r="P42" s="34"/>
      <c r="Q42" s="937"/>
      <c r="R42" s="788">
        <f>SUM(R5:R41)</f>
        <v>121832</v>
      </c>
    </row>
    <row r="43" spans="1:18" ht="18" thickBot="1" x14ac:dyDescent="0.35">
      <c r="A43" s="23"/>
      <c r="B43" s="24">
        <v>44806</v>
      </c>
      <c r="C43" s="692">
        <v>30000</v>
      </c>
      <c r="D43" s="697" t="s">
        <v>978</v>
      </c>
      <c r="E43" s="74"/>
      <c r="F43" s="75"/>
      <c r="G43" s="572"/>
      <c r="H43" s="76"/>
      <c r="I43" s="77"/>
      <c r="J43" s="56">
        <v>44821</v>
      </c>
      <c r="K43" s="739" t="s">
        <v>1265</v>
      </c>
      <c r="L43" s="39">
        <v>22764</v>
      </c>
      <c r="M43" s="750"/>
      <c r="N43" s="750"/>
      <c r="P43" s="34"/>
      <c r="Q43" s="13"/>
    </row>
    <row r="44" spans="1:18" ht="18" thickBot="1" x14ac:dyDescent="0.35">
      <c r="A44" s="23"/>
      <c r="B44" s="24">
        <v>44810</v>
      </c>
      <c r="C44" s="692">
        <v>2236.4</v>
      </c>
      <c r="D44" s="697" t="s">
        <v>1351</v>
      </c>
      <c r="E44" s="74"/>
      <c r="F44" s="75"/>
      <c r="G44" s="572"/>
      <c r="H44" s="76"/>
      <c r="I44" s="77"/>
      <c r="J44" s="56">
        <v>44828</v>
      </c>
      <c r="K44" s="785" t="s">
        <v>1274</v>
      </c>
      <c r="L44" s="39">
        <v>19464</v>
      </c>
      <c r="M44" s="750"/>
      <c r="N44" s="750"/>
      <c r="P44" s="34"/>
      <c r="Q44" s="13"/>
    </row>
    <row r="45" spans="1:18" ht="18" thickBot="1" x14ac:dyDescent="0.35">
      <c r="A45" s="23"/>
      <c r="B45" s="24">
        <v>44810</v>
      </c>
      <c r="C45" s="692">
        <v>455691.8</v>
      </c>
      <c r="D45" s="73" t="s">
        <v>1352</v>
      </c>
      <c r="E45" s="74"/>
      <c r="F45" s="75"/>
      <c r="G45" s="572"/>
      <c r="H45" s="76"/>
      <c r="I45" s="77"/>
      <c r="J45" s="56">
        <v>44835</v>
      </c>
      <c r="K45" s="785" t="s">
        <v>1281</v>
      </c>
      <c r="L45" s="39">
        <v>19450</v>
      </c>
      <c r="M45" s="938">
        <f>M41+N41</f>
        <v>3797706.6799999997</v>
      </c>
      <c r="N45" s="939"/>
      <c r="P45" s="34"/>
      <c r="Q45" s="13"/>
    </row>
    <row r="46" spans="1:18" ht="18" thickBot="1" x14ac:dyDescent="0.35">
      <c r="A46" s="23"/>
      <c r="B46" s="24">
        <v>44810</v>
      </c>
      <c r="C46" s="692">
        <v>197670.39999999999</v>
      </c>
      <c r="D46" s="73" t="s">
        <v>1208</v>
      </c>
      <c r="E46" s="74"/>
      <c r="F46" s="75"/>
      <c r="G46" s="572"/>
      <c r="H46" s="76"/>
      <c r="I46" s="77"/>
      <c r="J46" s="56"/>
      <c r="K46" s="38"/>
      <c r="L46" s="39">
        <v>0</v>
      </c>
      <c r="M46" s="750"/>
      <c r="N46" s="750"/>
      <c r="P46" s="34"/>
      <c r="Q46" s="13"/>
    </row>
    <row r="47" spans="1:18" ht="18" thickBot="1" x14ac:dyDescent="0.35">
      <c r="A47" s="23"/>
      <c r="B47" s="24">
        <v>44810</v>
      </c>
      <c r="C47" s="692">
        <v>28000</v>
      </c>
      <c r="D47" s="73" t="s">
        <v>1354</v>
      </c>
      <c r="E47" s="74"/>
      <c r="F47" s="75"/>
      <c r="G47" s="572"/>
      <c r="H47" s="76"/>
      <c r="I47" s="77"/>
      <c r="J47" s="622">
        <v>44802</v>
      </c>
      <c r="K47" s="804" t="s">
        <v>202</v>
      </c>
      <c r="L47" s="624">
        <v>4342.01</v>
      </c>
      <c r="M47" s="750"/>
      <c r="N47" s="750"/>
      <c r="P47" s="34"/>
      <c r="Q47" s="13"/>
    </row>
    <row r="48" spans="1:18" ht="18" thickBot="1" x14ac:dyDescent="0.35">
      <c r="A48" s="23"/>
      <c r="B48" s="24">
        <v>44816</v>
      </c>
      <c r="C48" s="692">
        <v>39811</v>
      </c>
      <c r="D48" s="73" t="s">
        <v>1355</v>
      </c>
      <c r="E48" s="74"/>
      <c r="F48" s="75"/>
      <c r="G48" s="572"/>
      <c r="H48" s="76"/>
      <c r="I48" s="77"/>
      <c r="J48" s="466">
        <v>44804</v>
      </c>
      <c r="K48" s="805" t="s">
        <v>1363</v>
      </c>
      <c r="L48" s="54">
        <v>1126.45</v>
      </c>
      <c r="M48" s="750"/>
      <c r="N48" s="750"/>
      <c r="P48" s="34"/>
      <c r="Q48" s="13"/>
    </row>
    <row r="49" spans="1:17" ht="18" thickBot="1" x14ac:dyDescent="0.35">
      <c r="A49" s="23"/>
      <c r="B49" s="24">
        <v>44819</v>
      </c>
      <c r="C49" s="692">
        <v>200000</v>
      </c>
      <c r="D49" s="73" t="s">
        <v>1208</v>
      </c>
      <c r="E49" s="74"/>
      <c r="F49" s="75"/>
      <c r="G49" s="572"/>
      <c r="H49" s="76"/>
      <c r="I49" s="77"/>
      <c r="J49" s="601">
        <v>44809</v>
      </c>
      <c r="K49" s="803" t="s">
        <v>854</v>
      </c>
      <c r="L49" s="69">
        <v>5894.61</v>
      </c>
      <c r="M49" s="750"/>
      <c r="N49" s="750"/>
      <c r="P49" s="34"/>
      <c r="Q49" s="13"/>
    </row>
    <row r="50" spans="1:17" ht="18" thickBot="1" x14ac:dyDescent="0.35">
      <c r="A50" s="23"/>
      <c r="B50" s="24">
        <v>44823</v>
      </c>
      <c r="C50" s="692">
        <v>57150</v>
      </c>
      <c r="D50" s="73" t="s">
        <v>1356</v>
      </c>
      <c r="E50" s="74"/>
      <c r="F50" s="75"/>
      <c r="G50" s="572"/>
      <c r="H50" s="76"/>
      <c r="I50" s="77"/>
      <c r="J50" s="601">
        <v>44812</v>
      </c>
      <c r="K50" s="803" t="s">
        <v>1353</v>
      </c>
      <c r="L50" s="69">
        <v>4006.5</v>
      </c>
      <c r="M50" s="750"/>
      <c r="N50" s="750"/>
      <c r="P50" s="34"/>
      <c r="Q50" s="13"/>
    </row>
    <row r="51" spans="1:17" ht="18" thickBot="1" x14ac:dyDescent="0.35">
      <c r="A51" s="23"/>
      <c r="B51" s="24">
        <v>44824</v>
      </c>
      <c r="C51" s="692">
        <v>184147</v>
      </c>
      <c r="D51" s="73" t="s">
        <v>1208</v>
      </c>
      <c r="E51" s="74"/>
      <c r="F51" s="75"/>
      <c r="G51" s="572"/>
      <c r="H51" s="76"/>
      <c r="I51" s="77"/>
      <c r="J51" s="601">
        <v>44814</v>
      </c>
      <c r="K51" s="803" t="s">
        <v>1100</v>
      </c>
      <c r="L51" s="69">
        <v>1856</v>
      </c>
      <c r="M51" s="750"/>
      <c r="N51" s="750"/>
      <c r="P51" s="34"/>
      <c r="Q51" s="13"/>
    </row>
    <row r="52" spans="1:17" ht="18" thickBot="1" x14ac:dyDescent="0.35">
      <c r="A52" s="23"/>
      <c r="B52" s="24">
        <v>44824</v>
      </c>
      <c r="C52" s="692">
        <v>83097</v>
      </c>
      <c r="D52" s="73" t="s">
        <v>1357</v>
      </c>
      <c r="E52" s="74"/>
      <c r="F52" s="75"/>
      <c r="G52" s="572"/>
      <c r="H52" s="76"/>
      <c r="I52" s="77"/>
      <c r="J52" s="601">
        <v>44823</v>
      </c>
      <c r="K52" s="803" t="s">
        <v>854</v>
      </c>
      <c r="L52" s="69">
        <v>9575.01</v>
      </c>
      <c r="M52" s="750"/>
      <c r="N52" s="750"/>
      <c r="P52" s="34"/>
      <c r="Q52" s="13"/>
    </row>
    <row r="53" spans="1:17" ht="18" thickBot="1" x14ac:dyDescent="0.35">
      <c r="A53" s="23"/>
      <c r="B53" s="24">
        <v>44825</v>
      </c>
      <c r="C53" s="692">
        <v>6862.78</v>
      </c>
      <c r="D53" s="73" t="s">
        <v>1358</v>
      </c>
      <c r="E53" s="74"/>
      <c r="F53" s="75"/>
      <c r="G53" s="572"/>
      <c r="H53" s="76"/>
      <c r="I53" s="77"/>
      <c r="J53" s="601">
        <v>44826</v>
      </c>
      <c r="K53" s="803" t="s">
        <v>1359</v>
      </c>
      <c r="L53" s="69">
        <v>1368</v>
      </c>
      <c r="M53" s="750"/>
      <c r="N53" s="750"/>
      <c r="P53" s="34"/>
      <c r="Q53" s="13"/>
    </row>
    <row r="54" spans="1:17" ht="18" thickBot="1" x14ac:dyDescent="0.35">
      <c r="A54" s="23"/>
      <c r="B54" s="24">
        <v>44826</v>
      </c>
      <c r="C54" s="694">
        <v>28000</v>
      </c>
      <c r="D54" s="73" t="s">
        <v>1354</v>
      </c>
      <c r="E54" s="74"/>
      <c r="F54" s="75"/>
      <c r="G54" s="572"/>
      <c r="H54" s="76"/>
      <c r="I54" s="77"/>
      <c r="J54" s="601">
        <v>44826</v>
      </c>
      <c r="K54" s="802" t="s">
        <v>1360</v>
      </c>
      <c r="L54" s="69">
        <v>2626.35</v>
      </c>
      <c r="M54" s="750"/>
      <c r="N54" s="750"/>
      <c r="P54" s="34"/>
      <c r="Q54" s="13"/>
    </row>
    <row r="55" spans="1:17" ht="18.75" thickTop="1" thickBot="1" x14ac:dyDescent="0.35">
      <c r="A55" s="23"/>
      <c r="B55" s="24">
        <v>44830</v>
      </c>
      <c r="C55" s="691">
        <v>4698</v>
      </c>
      <c r="D55" s="73" t="s">
        <v>834</v>
      </c>
      <c r="E55" s="74"/>
      <c r="F55" s="75"/>
      <c r="G55" s="572"/>
      <c r="H55" s="76"/>
      <c r="I55" s="77"/>
      <c r="J55" s="601">
        <v>44830</v>
      </c>
      <c r="K55" s="803" t="s">
        <v>1361</v>
      </c>
      <c r="L55" s="69">
        <v>4689.8100000000004</v>
      </c>
      <c r="M55" s="750"/>
      <c r="N55" s="750"/>
      <c r="P55" s="34"/>
      <c r="Q55" s="13"/>
    </row>
    <row r="56" spans="1:17" ht="18" thickBot="1" x14ac:dyDescent="0.35">
      <c r="A56" s="23"/>
      <c r="B56" s="24">
        <v>44831</v>
      </c>
      <c r="C56" s="25">
        <v>6792.78</v>
      </c>
      <c r="D56" s="73" t="s">
        <v>1362</v>
      </c>
      <c r="E56" s="74"/>
      <c r="F56" s="75"/>
      <c r="G56" s="572"/>
      <c r="H56" s="76"/>
      <c r="I56" s="77"/>
      <c r="J56" s="601">
        <v>44832</v>
      </c>
      <c r="K56" s="802" t="s">
        <v>202</v>
      </c>
      <c r="L56" s="69">
        <v>12964.45</v>
      </c>
      <c r="M56" s="750"/>
      <c r="N56" s="750"/>
      <c r="P56" s="34"/>
      <c r="Q56" s="13"/>
    </row>
    <row r="57" spans="1:17" ht="18" thickBot="1" x14ac:dyDescent="0.35">
      <c r="A57" s="23"/>
      <c r="B57" s="24">
        <v>44834</v>
      </c>
      <c r="C57" s="25">
        <v>6032</v>
      </c>
      <c r="D57" s="73" t="s">
        <v>1364</v>
      </c>
      <c r="E57" s="74"/>
      <c r="F57" s="75"/>
      <c r="G57" s="572"/>
      <c r="H57" s="76"/>
      <c r="I57" s="77"/>
      <c r="J57" s="601">
        <v>44832</v>
      </c>
      <c r="K57" s="803" t="s">
        <v>825</v>
      </c>
      <c r="L57" s="69">
        <v>2320</v>
      </c>
      <c r="M57" s="750"/>
      <c r="N57" s="750"/>
      <c r="P57" s="34"/>
      <c r="Q57" s="13"/>
    </row>
    <row r="58" spans="1:17" ht="18" thickBot="1" x14ac:dyDescent="0.35">
      <c r="A58" s="23"/>
      <c r="B58" s="24">
        <v>44834</v>
      </c>
      <c r="C58" s="25">
        <v>64615.98</v>
      </c>
      <c r="D58" s="73" t="s">
        <v>1366</v>
      </c>
      <c r="E58" s="74"/>
      <c r="F58" s="75"/>
      <c r="G58" s="572"/>
      <c r="H58" s="76"/>
      <c r="I58" s="77"/>
      <c r="J58" s="601">
        <v>44832</v>
      </c>
      <c r="K58" s="803" t="s">
        <v>1363</v>
      </c>
      <c r="L58" s="69">
        <v>1126.45</v>
      </c>
      <c r="M58" s="750"/>
      <c r="N58" s="750"/>
      <c r="P58" s="34"/>
      <c r="Q58" s="13"/>
    </row>
    <row r="59" spans="1:17" ht="18" thickBot="1" x14ac:dyDescent="0.35">
      <c r="A59" s="23"/>
      <c r="B59" s="24">
        <v>44804</v>
      </c>
      <c r="C59" s="25">
        <v>5568</v>
      </c>
      <c r="D59" s="73" t="s">
        <v>1364</v>
      </c>
      <c r="E59" s="74"/>
      <c r="F59" s="75"/>
      <c r="G59" s="572"/>
      <c r="H59" s="76"/>
      <c r="I59" s="77"/>
      <c r="J59" s="601">
        <v>44834</v>
      </c>
      <c r="K59" s="671" t="s">
        <v>1365</v>
      </c>
      <c r="L59" s="69">
        <v>2850</v>
      </c>
      <c r="M59" s="750"/>
      <c r="N59" s="750"/>
      <c r="P59" s="34"/>
      <c r="Q59" s="13"/>
    </row>
    <row r="60" spans="1:17" ht="16.5" thickBot="1" x14ac:dyDescent="0.3">
      <c r="A60" s="23"/>
      <c r="B60" s="80">
        <v>44804</v>
      </c>
      <c r="C60" s="25">
        <v>391725.77</v>
      </c>
      <c r="D60" s="81" t="s">
        <v>1367</v>
      </c>
      <c r="E60" s="82"/>
      <c r="F60" s="72"/>
      <c r="H60" s="83"/>
      <c r="I60" s="77"/>
      <c r="J60" s="801" t="s">
        <v>1369</v>
      </c>
      <c r="K60" s="174" t="s">
        <v>1370</v>
      </c>
      <c r="L60" s="69">
        <v>42972.75</v>
      </c>
      <c r="M60" s="34"/>
      <c r="N60" s="34"/>
      <c r="P60" s="34"/>
      <c r="Q60" s="13"/>
    </row>
    <row r="61" spans="1:17" ht="16.5" thickBot="1" x14ac:dyDescent="0.3">
      <c r="A61" s="23"/>
      <c r="B61" s="595">
        <v>44804</v>
      </c>
      <c r="C61" s="596">
        <v>17337.12</v>
      </c>
      <c r="D61" s="81" t="s">
        <v>1368</v>
      </c>
      <c r="E61" s="597"/>
      <c r="F61" s="34"/>
      <c r="H61" s="598"/>
      <c r="I61" s="34"/>
      <c r="J61" s="557"/>
      <c r="K61" s="671"/>
      <c r="L61" s="69"/>
      <c r="M61" s="34"/>
      <c r="N61" s="34"/>
      <c r="P61" s="34"/>
      <c r="Q61" s="13"/>
    </row>
    <row r="62" spans="1:17" ht="16.5" hidden="1" thickBot="1" x14ac:dyDescent="0.3">
      <c r="A62" s="23"/>
      <c r="B62" s="595"/>
      <c r="C62" s="596"/>
      <c r="D62" s="81"/>
      <c r="E62" s="597"/>
      <c r="F62" s="34"/>
      <c r="H62" s="598"/>
      <c r="I62" s="34"/>
      <c r="J62" s="557"/>
      <c r="K62" s="671"/>
      <c r="L62" s="69"/>
      <c r="M62" s="34"/>
      <c r="N62" s="34"/>
      <c r="P62" s="34"/>
      <c r="Q62" s="13"/>
    </row>
    <row r="63" spans="1:17" ht="16.5" hidden="1" thickBot="1" x14ac:dyDescent="0.3">
      <c r="A63" s="23"/>
      <c r="B63" s="595"/>
      <c r="C63" s="596"/>
      <c r="D63" s="81"/>
      <c r="E63" s="597"/>
      <c r="F63" s="34"/>
      <c r="H63" s="598"/>
      <c r="I63" s="34"/>
      <c r="J63" s="557"/>
      <c r="K63" s="671"/>
      <c r="L63" s="69"/>
      <c r="M63" s="34"/>
      <c r="N63" s="34"/>
      <c r="P63" s="34"/>
      <c r="Q63" s="13"/>
    </row>
    <row r="64" spans="1:17" ht="16.5" hidden="1" thickBot="1" x14ac:dyDescent="0.3">
      <c r="A64" s="23"/>
      <c r="B64" s="595"/>
      <c r="C64" s="596"/>
      <c r="D64" s="81"/>
      <c r="E64" s="597"/>
      <c r="F64" s="34"/>
      <c r="H64" s="598"/>
      <c r="I64" s="34"/>
      <c r="J64" s="557"/>
      <c r="K64" s="671"/>
      <c r="L64" s="69"/>
      <c r="M64" s="34"/>
      <c r="N64" s="34"/>
      <c r="P64" s="34"/>
      <c r="Q64" s="13"/>
    </row>
    <row r="65" spans="1:17" ht="16.5" hidden="1" thickBot="1" x14ac:dyDescent="0.3">
      <c r="A65" s="23"/>
      <c r="B65" s="595"/>
      <c r="C65" s="596"/>
      <c r="D65" s="81"/>
      <c r="E65" s="597"/>
      <c r="F65" s="34"/>
      <c r="H65" s="598"/>
      <c r="I65" s="34"/>
      <c r="J65" s="557"/>
      <c r="K65" s="671"/>
      <c r="L65" s="69"/>
      <c r="M65" s="34"/>
      <c r="N65" s="34"/>
      <c r="P65" s="34"/>
      <c r="Q65" s="13"/>
    </row>
    <row r="66" spans="1:17" ht="16.5" thickBot="1" x14ac:dyDescent="0.3">
      <c r="A66" s="23"/>
      <c r="B66" s="595"/>
      <c r="C66" s="596"/>
      <c r="D66" s="81"/>
      <c r="E66" s="597"/>
      <c r="F66" s="34"/>
      <c r="H66" s="598"/>
      <c r="I66" s="34"/>
      <c r="J66" s="670"/>
      <c r="K66" s="164"/>
      <c r="L66" s="9"/>
      <c r="M66" s="34"/>
      <c r="N66" s="34"/>
      <c r="P66" s="34"/>
      <c r="Q66" s="13"/>
    </row>
    <row r="67" spans="1:17" ht="16.5" thickBot="1" x14ac:dyDescent="0.3">
      <c r="B67" s="550" t="s">
        <v>8</v>
      </c>
      <c r="C67" s="87">
        <f>SUM(C5:C60)</f>
        <v>2558479.81</v>
      </c>
      <c r="D67" s="88"/>
      <c r="E67" s="91" t="s">
        <v>8</v>
      </c>
      <c r="F67" s="90">
        <f>SUM(F5:F60)</f>
        <v>4444478</v>
      </c>
      <c r="G67" s="573"/>
      <c r="H67" s="91" t="s">
        <v>9</v>
      </c>
      <c r="I67" s="92">
        <f>SUM(I5:I60)</f>
        <v>86708</v>
      </c>
      <c r="J67" s="93"/>
      <c r="K67" s="94" t="s">
        <v>10</v>
      </c>
      <c r="L67" s="95">
        <f>SUM(L5:L65)-L26</f>
        <v>314742.39</v>
      </c>
      <c r="M67" s="96"/>
      <c r="N67" s="96"/>
      <c r="P67" s="34"/>
      <c r="Q67" s="13"/>
    </row>
    <row r="68" spans="1:17" ht="16.5" thickTop="1" x14ac:dyDescent="0.25">
      <c r="C68" s="3" t="s">
        <v>7</v>
      </c>
      <c r="P68" s="34"/>
      <c r="Q68" s="13"/>
    </row>
    <row r="69" spans="1:17" ht="18.75" x14ac:dyDescent="0.25">
      <c r="A69" s="98"/>
      <c r="B69" s="99"/>
      <c r="C69" s="1"/>
      <c r="H69" s="848" t="s">
        <v>11</v>
      </c>
      <c r="I69" s="849"/>
      <c r="J69" s="559"/>
      <c r="K69" s="973">
        <f>I67+L67</f>
        <v>401450.39</v>
      </c>
      <c r="L69" s="974"/>
      <c r="M69" s="272"/>
      <c r="N69" s="272"/>
      <c r="P69" s="34"/>
      <c r="Q69" s="13"/>
    </row>
    <row r="70" spans="1:17" x14ac:dyDescent="0.25">
      <c r="D70" s="854" t="s">
        <v>12</v>
      </c>
      <c r="E70" s="854"/>
      <c r="F70" s="312">
        <f>F67-K69-C67</f>
        <v>1484547.7999999998</v>
      </c>
      <c r="I70" s="102"/>
      <c r="J70" s="560"/>
    </row>
    <row r="71" spans="1:17" ht="18.75" x14ac:dyDescent="0.3">
      <c r="D71" s="878" t="s">
        <v>95</v>
      </c>
      <c r="E71" s="878"/>
      <c r="F71" s="111">
        <v>-2600214.79</v>
      </c>
      <c r="I71" s="855" t="s">
        <v>13</v>
      </c>
      <c r="J71" s="856"/>
      <c r="K71" s="857">
        <f>F73+F74+F75</f>
        <v>2724761.13</v>
      </c>
      <c r="L71" s="857"/>
      <c r="M71" s="404"/>
      <c r="N71" s="404"/>
      <c r="O71" s="654"/>
      <c r="P71" s="404"/>
      <c r="Q71" s="404"/>
    </row>
    <row r="72" spans="1:17" ht="19.5" thickBot="1" x14ac:dyDescent="0.35">
      <c r="D72" s="313" t="s">
        <v>94</v>
      </c>
      <c r="E72" s="314"/>
      <c r="F72" s="315">
        <v>-250099.28</v>
      </c>
      <c r="I72" s="105"/>
      <c r="J72" s="106"/>
      <c r="K72" s="571"/>
      <c r="L72" s="154"/>
      <c r="M72" s="404"/>
      <c r="N72" s="404"/>
      <c r="O72" s="654"/>
      <c r="P72" s="404"/>
      <c r="Q72" s="404"/>
    </row>
    <row r="73" spans="1:17" ht="19.5" thickTop="1" x14ac:dyDescent="0.3">
      <c r="C73" s="4" t="s">
        <v>7</v>
      </c>
      <c r="E73" s="98" t="s">
        <v>14</v>
      </c>
      <c r="F73" s="96">
        <f>SUM(F70:F72)</f>
        <v>-1365766.2700000003</v>
      </c>
      <c r="H73" s="555"/>
      <c r="I73" s="108" t="s">
        <v>15</v>
      </c>
      <c r="J73" s="109"/>
      <c r="K73" s="969">
        <f>-C4</f>
        <v>-2672555.9900000002</v>
      </c>
      <c r="L73" s="857"/>
    </row>
    <row r="74" spans="1:17" ht="16.5" thickBot="1" x14ac:dyDescent="0.3">
      <c r="D74" s="110" t="s">
        <v>16</v>
      </c>
      <c r="E74" s="98" t="s">
        <v>17</v>
      </c>
      <c r="F74" s="111">
        <v>317024</v>
      </c>
    </row>
    <row r="75" spans="1:17" ht="20.25" thickTop="1" thickBot="1" x14ac:dyDescent="0.35">
      <c r="C75" s="112">
        <v>44836</v>
      </c>
      <c r="D75" s="837" t="s">
        <v>18</v>
      </c>
      <c r="E75" s="838"/>
      <c r="F75" s="113">
        <v>3773503.4</v>
      </c>
      <c r="I75" s="997" t="s">
        <v>198</v>
      </c>
      <c r="J75" s="998"/>
      <c r="K75" s="999">
        <f>K71+K73</f>
        <v>52205.139999999665</v>
      </c>
      <c r="L75" s="999"/>
    </row>
    <row r="76" spans="1:17" ht="17.25" x14ac:dyDescent="0.3">
      <c r="C76" s="114"/>
      <c r="D76" s="115"/>
      <c r="E76" s="98"/>
      <c r="F76" s="117"/>
      <c r="J76" s="118"/>
    </row>
    <row r="77" spans="1:17" ht="20.25" customHeight="1" x14ac:dyDescent="0.25">
      <c r="I77" s="119"/>
      <c r="J77" s="119"/>
      <c r="K77" s="179"/>
      <c r="L77" s="120"/>
    </row>
    <row r="78" spans="1:17" ht="16.5" customHeight="1" x14ac:dyDescent="0.25">
      <c r="B78" s="121"/>
      <c r="C78" s="122"/>
      <c r="D78" s="123"/>
      <c r="E78" s="34"/>
      <c r="I78" s="119"/>
      <c r="J78" s="119"/>
      <c r="K78" s="179"/>
      <c r="L78" s="120"/>
      <c r="M78" s="124"/>
      <c r="N78" s="98"/>
    </row>
    <row r="79" spans="1:17" x14ac:dyDescent="0.25">
      <c r="B79" s="121"/>
      <c r="C79" s="125"/>
      <c r="E79" s="34"/>
      <c r="M79" s="124"/>
      <c r="N79" s="98"/>
    </row>
    <row r="80" spans="1:17" x14ac:dyDescent="0.25">
      <c r="B80" s="121"/>
      <c r="C80" s="125"/>
      <c r="E80" s="34"/>
      <c r="F80" s="126"/>
      <c r="L80" s="127"/>
      <c r="M80" s="1"/>
    </row>
    <row r="81" spans="2:13" x14ac:dyDescent="0.25">
      <c r="B81" s="121"/>
      <c r="C81" s="125"/>
      <c r="E81" s="34"/>
      <c r="M81" s="1"/>
    </row>
    <row r="82" spans="2:13" x14ac:dyDescent="0.25">
      <c r="B82" s="121"/>
      <c r="C82" s="125"/>
      <c r="D82" s="128"/>
      <c r="E82" s="34"/>
      <c r="F82" s="129"/>
      <c r="M82" s="1"/>
    </row>
    <row r="83" spans="2:13" x14ac:dyDescent="0.25">
      <c r="D83" s="128"/>
      <c r="E83" s="130"/>
      <c r="F83" s="34"/>
      <c r="M83" s="1"/>
    </row>
    <row r="84" spans="2:13" x14ac:dyDescent="0.25">
      <c r="D84" s="128"/>
      <c r="E84" s="130"/>
      <c r="F84" s="34"/>
      <c r="M84" s="1"/>
    </row>
    <row r="85" spans="2:13" x14ac:dyDescent="0.25">
      <c r="D85" s="128"/>
      <c r="E85" s="130"/>
      <c r="F85" s="34"/>
      <c r="M85" s="1"/>
    </row>
    <row r="86" spans="2:13" x14ac:dyDescent="0.25">
      <c r="D86" s="128"/>
      <c r="E86" s="130"/>
      <c r="F86" s="34"/>
      <c r="M86" s="1"/>
    </row>
    <row r="87" spans="2:13" x14ac:dyDescent="0.25">
      <c r="D87" s="128"/>
      <c r="E87" s="130"/>
      <c r="F87" s="34"/>
      <c r="M87" s="1"/>
    </row>
    <row r="88" spans="2:13" x14ac:dyDescent="0.25">
      <c r="D88" s="128"/>
      <c r="E88" s="130"/>
      <c r="F88" s="34"/>
      <c r="M88" s="1"/>
    </row>
    <row r="89" spans="2:13" x14ac:dyDescent="0.25">
      <c r="D89" s="128"/>
      <c r="E89" s="130"/>
      <c r="F89" s="34"/>
      <c r="M89" s="1"/>
    </row>
    <row r="90" spans="2:13" x14ac:dyDescent="0.25">
      <c r="D90" s="128"/>
      <c r="E90" s="130"/>
      <c r="F90" s="34"/>
      <c r="M90" s="1"/>
    </row>
    <row r="91" spans="2:13" x14ac:dyDescent="0.25">
      <c r="D91" s="128"/>
      <c r="E91" s="130"/>
      <c r="F91" s="34"/>
      <c r="M91" s="1"/>
    </row>
    <row r="92" spans="2:13" x14ac:dyDescent="0.25">
      <c r="D92" s="128"/>
      <c r="E92" s="130"/>
      <c r="F92" s="34"/>
      <c r="M92" s="1"/>
    </row>
    <row r="93" spans="2:13" x14ac:dyDescent="0.25">
      <c r="D93" s="128"/>
      <c r="E93" s="130"/>
      <c r="F93" s="34"/>
      <c r="M93" s="1"/>
    </row>
    <row r="94" spans="2:13" x14ac:dyDescent="0.25">
      <c r="D94" s="128"/>
      <c r="E94" s="130"/>
      <c r="F94" s="34"/>
    </row>
    <row r="95" spans="2:13" x14ac:dyDescent="0.25">
      <c r="D95" s="128"/>
      <c r="E95" s="554"/>
      <c r="F95" s="129"/>
    </row>
    <row r="96" spans="2:13" x14ac:dyDescent="0.25">
      <c r="D96" s="128"/>
      <c r="E96" s="554"/>
      <c r="F96" s="129"/>
    </row>
    <row r="97" spans="4:6" x14ac:dyDescent="0.25">
      <c r="D97" s="128"/>
      <c r="E97" s="554"/>
      <c r="F97" s="129"/>
    </row>
  </sheetData>
  <sortState ref="J47:L60">
    <sortCondition ref="J47:J60"/>
  </sortState>
  <mergeCells count="22">
    <mergeCell ref="M45:N45"/>
    <mergeCell ref="P3:P4"/>
    <mergeCell ref="B1:B2"/>
    <mergeCell ref="C1:M1"/>
    <mergeCell ref="B3:C3"/>
    <mergeCell ref="H3:I3"/>
    <mergeCell ref="R3:R4"/>
    <mergeCell ref="E4:F4"/>
    <mergeCell ref="H4:I4"/>
    <mergeCell ref="D75:E75"/>
    <mergeCell ref="I75:J75"/>
    <mergeCell ref="K75:L75"/>
    <mergeCell ref="M41:M42"/>
    <mergeCell ref="N41:N42"/>
    <mergeCell ref="D70:E70"/>
    <mergeCell ref="D71:E71"/>
    <mergeCell ref="I71:J71"/>
    <mergeCell ref="K71:L71"/>
    <mergeCell ref="K73:L73"/>
    <mergeCell ref="H69:I69"/>
    <mergeCell ref="K69:L69"/>
    <mergeCell ref="Q41:Q42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B1:N123"/>
  <sheetViews>
    <sheetView topLeftCell="B1" workbookViewId="0">
      <selection activeCell="B1" sqref="A1:XFD1048576"/>
    </sheetView>
  </sheetViews>
  <sheetFormatPr baseColWidth="10" defaultRowHeight="15" x14ac:dyDescent="0.25"/>
  <cols>
    <col min="2" max="2" width="13.42578125" style="455" bestFit="1" customWidth="1"/>
    <col min="3" max="3" width="14.7109375" style="162" customWidth="1"/>
    <col min="4" max="4" width="17.5703125" style="4" bestFit="1" customWidth="1"/>
    <col min="5" max="5" width="12.42578125" style="257" bestFit="1" customWidth="1"/>
    <col min="6" max="6" width="15.5703125" style="4" bestFit="1" customWidth="1"/>
    <col min="7" max="7" width="19.5703125" style="3" bestFit="1" customWidth="1"/>
    <col min="8" max="8" width="8.42578125" customWidth="1"/>
    <col min="9" max="9" width="14.5703125" style="98" customWidth="1"/>
    <col min="10" max="10" width="13.28515625" style="116" customWidth="1"/>
    <col min="11" max="11" width="18.85546875" style="4" bestFit="1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2:14" ht="43.5" thickTop="1" thickBot="1" x14ac:dyDescent="0.3">
      <c r="B1" s="450" t="s">
        <v>317</v>
      </c>
      <c r="C1" s="436"/>
      <c r="D1" s="292"/>
      <c r="E1" s="371"/>
      <c r="F1" s="292"/>
      <c r="G1" s="378" t="s">
        <v>314</v>
      </c>
      <c r="I1" s="301" t="s">
        <v>318</v>
      </c>
      <c r="J1" s="302"/>
      <c r="K1" s="303"/>
      <c r="L1" s="367"/>
      <c r="M1" s="303"/>
      <c r="N1" s="377" t="s">
        <v>314</v>
      </c>
    </row>
    <row r="2" spans="2:14" ht="21.75" customHeight="1" thickTop="1" thickBot="1" x14ac:dyDescent="0.35">
      <c r="B2" s="545" t="s">
        <v>19</v>
      </c>
      <c r="C2" s="546" t="s">
        <v>20</v>
      </c>
      <c r="D2" s="547" t="s">
        <v>21</v>
      </c>
      <c r="E2" s="548" t="s">
        <v>22</v>
      </c>
      <c r="F2" s="549" t="s">
        <v>23</v>
      </c>
      <c r="G2" s="289" t="s">
        <v>210</v>
      </c>
      <c r="I2" s="297" t="s">
        <v>19</v>
      </c>
      <c r="J2" s="308" t="s">
        <v>265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2:14" ht="24" customHeight="1" x14ac:dyDescent="0.3">
      <c r="B3" s="454">
        <v>44802</v>
      </c>
      <c r="C3" s="246" t="s">
        <v>1312</v>
      </c>
      <c r="D3" s="111">
        <v>121622.37</v>
      </c>
      <c r="E3" s="412"/>
      <c r="F3" s="111"/>
      <c r="G3" s="410">
        <f>D3-F3</f>
        <v>121622.37</v>
      </c>
      <c r="I3" s="789" t="s">
        <v>1309</v>
      </c>
      <c r="J3" s="790">
        <v>10198</v>
      </c>
      <c r="K3" s="791">
        <v>3903.92</v>
      </c>
      <c r="L3" s="732"/>
      <c r="M3" s="706"/>
      <c r="N3" s="183">
        <f>K3-M3</f>
        <v>3903.92</v>
      </c>
    </row>
    <row r="4" spans="2:14" ht="18.75" x14ac:dyDescent="0.3">
      <c r="B4" s="454">
        <v>44802</v>
      </c>
      <c r="C4" s="246" t="s">
        <v>1313</v>
      </c>
      <c r="D4" s="111">
        <v>7506</v>
      </c>
      <c r="E4" s="412"/>
      <c r="F4" s="111"/>
      <c r="G4" s="544">
        <f t="shared" ref="G4:G65" si="0">D4-F4</f>
        <v>7506</v>
      </c>
      <c r="H4" s="138"/>
      <c r="I4" s="500" t="s">
        <v>1310</v>
      </c>
      <c r="J4" s="501">
        <v>10204</v>
      </c>
      <c r="K4" s="502">
        <v>9566.7999999999993</v>
      </c>
      <c r="L4" s="732"/>
      <c r="M4" s="706"/>
      <c r="N4" s="137">
        <f>N3+K4-M4</f>
        <v>13470.72</v>
      </c>
    </row>
    <row r="5" spans="2:14" ht="17.25" x14ac:dyDescent="0.3">
      <c r="B5" s="454">
        <v>44803</v>
      </c>
      <c r="C5" s="246" t="s">
        <v>1314</v>
      </c>
      <c r="D5" s="111">
        <v>60096.32</v>
      </c>
      <c r="E5" s="412"/>
      <c r="F5" s="111"/>
      <c r="G5" s="544">
        <f t="shared" si="0"/>
        <v>60096.32</v>
      </c>
      <c r="I5" s="500" t="s">
        <v>1311</v>
      </c>
      <c r="J5" s="501">
        <v>10211</v>
      </c>
      <c r="K5" s="502">
        <v>330</v>
      </c>
      <c r="L5" s="732"/>
      <c r="M5" s="706"/>
      <c r="N5" s="137">
        <f t="shared" ref="N5:N65" si="1">N4+K5-M5</f>
        <v>13800.72</v>
      </c>
    </row>
    <row r="6" spans="2:14" ht="17.25" x14ac:dyDescent="0.3">
      <c r="B6" s="454">
        <v>44804</v>
      </c>
      <c r="C6" s="246" t="s">
        <v>1315</v>
      </c>
      <c r="D6" s="111">
        <v>70935.199999999997</v>
      </c>
      <c r="E6" s="412"/>
      <c r="F6" s="111"/>
      <c r="G6" s="544">
        <f t="shared" si="0"/>
        <v>70935.199999999997</v>
      </c>
      <c r="I6" s="500" t="s">
        <v>1283</v>
      </c>
      <c r="J6" s="501">
        <v>10237</v>
      </c>
      <c r="K6" s="502">
        <v>1450.6</v>
      </c>
      <c r="L6" s="732"/>
      <c r="M6" s="706"/>
      <c r="N6" s="137">
        <f t="shared" si="1"/>
        <v>15251.32</v>
      </c>
    </row>
    <row r="7" spans="2:14" ht="17.25" x14ac:dyDescent="0.3">
      <c r="B7" s="452">
        <v>44805</v>
      </c>
      <c r="C7" s="437" t="s">
        <v>1318</v>
      </c>
      <c r="D7" s="392">
        <v>135900.6</v>
      </c>
      <c r="E7" s="412"/>
      <c r="F7" s="111"/>
      <c r="G7" s="544">
        <f t="shared" si="0"/>
        <v>135900.6</v>
      </c>
      <c r="I7" s="497" t="s">
        <v>1284</v>
      </c>
      <c r="J7" s="498">
        <v>10243</v>
      </c>
      <c r="K7" s="499">
        <v>2480</v>
      </c>
      <c r="L7" s="732"/>
      <c r="M7" s="706"/>
      <c r="N7" s="137">
        <f t="shared" si="1"/>
        <v>17731.32</v>
      </c>
    </row>
    <row r="8" spans="2:14" ht="17.25" x14ac:dyDescent="0.3">
      <c r="B8" s="452">
        <v>44713</v>
      </c>
      <c r="C8" s="437" t="s">
        <v>1319</v>
      </c>
      <c r="D8" s="392">
        <v>4028</v>
      </c>
      <c r="E8" s="412"/>
      <c r="F8" s="111"/>
      <c r="G8" s="544">
        <f t="shared" si="0"/>
        <v>4028</v>
      </c>
      <c r="I8" s="497" t="s">
        <v>1284</v>
      </c>
      <c r="J8" s="498">
        <v>10245</v>
      </c>
      <c r="K8" s="499">
        <v>3712</v>
      </c>
      <c r="L8" s="732"/>
      <c r="M8" s="706"/>
      <c r="N8" s="137">
        <f t="shared" si="1"/>
        <v>21443.32</v>
      </c>
    </row>
    <row r="9" spans="2:14" ht="17.25" x14ac:dyDescent="0.3">
      <c r="B9" s="452">
        <v>44806</v>
      </c>
      <c r="C9" s="437" t="s">
        <v>1320</v>
      </c>
      <c r="D9" s="392">
        <v>71698.3</v>
      </c>
      <c r="E9" s="412"/>
      <c r="F9" s="111"/>
      <c r="G9" s="544">
        <f t="shared" si="0"/>
        <v>71698.3</v>
      </c>
      <c r="I9" s="500" t="s">
        <v>1285</v>
      </c>
      <c r="J9" s="501">
        <v>10252</v>
      </c>
      <c r="K9" s="502">
        <v>8863</v>
      </c>
      <c r="L9" s="732"/>
      <c r="M9" s="706"/>
      <c r="N9" s="137">
        <f t="shared" si="1"/>
        <v>30306.32</v>
      </c>
    </row>
    <row r="10" spans="2:14" ht="18.75" x14ac:dyDescent="0.3">
      <c r="B10" s="452">
        <v>44807</v>
      </c>
      <c r="C10" s="437" t="s">
        <v>1321</v>
      </c>
      <c r="D10" s="392">
        <v>76677.600000000006</v>
      </c>
      <c r="E10" s="412"/>
      <c r="F10" s="111"/>
      <c r="G10" s="544">
        <f t="shared" si="0"/>
        <v>76677.600000000006</v>
      </c>
      <c r="H10" s="138"/>
      <c r="I10" s="500" t="s">
        <v>1286</v>
      </c>
      <c r="J10" s="501">
        <v>10256</v>
      </c>
      <c r="K10" s="502">
        <v>6457.76</v>
      </c>
      <c r="L10" s="732"/>
      <c r="M10" s="706"/>
      <c r="N10" s="137">
        <f t="shared" si="1"/>
        <v>36764.080000000002</v>
      </c>
    </row>
    <row r="11" spans="2:14" ht="17.25" x14ac:dyDescent="0.3">
      <c r="B11" s="452">
        <v>44809</v>
      </c>
      <c r="C11" s="437" t="s">
        <v>1322</v>
      </c>
      <c r="D11" s="392">
        <v>74432.399999999994</v>
      </c>
      <c r="E11" s="412"/>
      <c r="F11" s="111"/>
      <c r="G11" s="544">
        <f t="shared" si="0"/>
        <v>74432.399999999994</v>
      </c>
      <c r="I11" s="500" t="s">
        <v>1287</v>
      </c>
      <c r="J11" s="501">
        <v>10264</v>
      </c>
      <c r="K11" s="502">
        <v>6040</v>
      </c>
      <c r="L11" s="732"/>
      <c r="M11" s="706"/>
      <c r="N11" s="137">
        <f t="shared" si="1"/>
        <v>42804.08</v>
      </c>
    </row>
    <row r="12" spans="2:14" ht="17.25" x14ac:dyDescent="0.3">
      <c r="B12" s="452">
        <v>44810</v>
      </c>
      <c r="C12" s="437" t="s">
        <v>1323</v>
      </c>
      <c r="D12" s="392">
        <v>88952.15</v>
      </c>
      <c r="E12" s="412"/>
      <c r="F12" s="111"/>
      <c r="G12" s="544">
        <f t="shared" si="0"/>
        <v>88952.15</v>
      </c>
      <c r="I12" s="497" t="s">
        <v>1288</v>
      </c>
      <c r="J12" s="498">
        <v>10274</v>
      </c>
      <c r="K12" s="499">
        <v>9717.6</v>
      </c>
      <c r="L12" s="732"/>
      <c r="M12" s="706"/>
      <c r="N12" s="137">
        <f t="shared" si="1"/>
        <v>52521.68</v>
      </c>
    </row>
    <row r="13" spans="2:14" ht="17.25" x14ac:dyDescent="0.3">
      <c r="B13" s="452">
        <v>44811</v>
      </c>
      <c r="C13" s="437" t="s">
        <v>1324</v>
      </c>
      <c r="D13" s="392">
        <v>156034.5</v>
      </c>
      <c r="E13" s="412"/>
      <c r="F13" s="111"/>
      <c r="G13" s="544">
        <f t="shared" si="0"/>
        <v>156034.5</v>
      </c>
      <c r="I13" s="500" t="s">
        <v>1289</v>
      </c>
      <c r="J13" s="501">
        <v>10300</v>
      </c>
      <c r="K13" s="502">
        <v>16135.8</v>
      </c>
      <c r="L13" s="732"/>
      <c r="M13" s="706"/>
      <c r="N13" s="137">
        <f t="shared" si="1"/>
        <v>68657.48</v>
      </c>
    </row>
    <row r="14" spans="2:14" ht="17.25" x14ac:dyDescent="0.3">
      <c r="B14" s="452">
        <v>44812</v>
      </c>
      <c r="C14" s="437" t="s">
        <v>1325</v>
      </c>
      <c r="D14" s="392">
        <v>39036</v>
      </c>
      <c r="E14" s="412"/>
      <c r="F14" s="111"/>
      <c r="G14" s="544">
        <f t="shared" si="0"/>
        <v>39036</v>
      </c>
      <c r="I14" s="497" t="s">
        <v>1290</v>
      </c>
      <c r="J14" s="498">
        <v>10305</v>
      </c>
      <c r="K14" s="499">
        <v>440</v>
      </c>
      <c r="L14" s="732"/>
      <c r="M14" s="706"/>
      <c r="N14" s="137">
        <f t="shared" si="1"/>
        <v>69097.48</v>
      </c>
    </row>
    <row r="15" spans="2:14" ht="17.25" x14ac:dyDescent="0.3">
      <c r="B15" s="452">
        <v>44813</v>
      </c>
      <c r="C15" s="437" t="s">
        <v>1326</v>
      </c>
      <c r="D15" s="392">
        <v>45856.7</v>
      </c>
      <c r="E15" s="412"/>
      <c r="F15" s="111"/>
      <c r="G15" s="544">
        <f t="shared" si="0"/>
        <v>45856.7</v>
      </c>
      <c r="I15" s="497" t="s">
        <v>1291</v>
      </c>
      <c r="J15" s="498">
        <v>10315</v>
      </c>
      <c r="K15" s="499">
        <v>9204</v>
      </c>
      <c r="L15" s="732"/>
      <c r="M15" s="706"/>
      <c r="N15" s="137">
        <f t="shared" si="1"/>
        <v>78301.48</v>
      </c>
    </row>
    <row r="16" spans="2:14" ht="17.25" x14ac:dyDescent="0.3">
      <c r="B16" s="452">
        <v>44814</v>
      </c>
      <c r="C16" s="437" t="s">
        <v>1327</v>
      </c>
      <c r="D16" s="392">
        <v>90919.73</v>
      </c>
      <c r="E16" s="412"/>
      <c r="F16" s="111"/>
      <c r="G16" s="544">
        <f t="shared" si="0"/>
        <v>90919.73</v>
      </c>
      <c r="I16" s="500" t="s">
        <v>1292</v>
      </c>
      <c r="J16" s="501">
        <v>10323</v>
      </c>
      <c r="K16" s="502">
        <v>880</v>
      </c>
      <c r="L16" s="732"/>
      <c r="M16" s="706"/>
      <c r="N16" s="137">
        <f t="shared" si="1"/>
        <v>79181.48</v>
      </c>
    </row>
    <row r="17" spans="2:14" ht="17.25" x14ac:dyDescent="0.3">
      <c r="B17" s="452">
        <v>44814</v>
      </c>
      <c r="C17" s="437" t="s">
        <v>1328</v>
      </c>
      <c r="D17" s="392">
        <v>4788</v>
      </c>
      <c r="E17" s="412"/>
      <c r="F17" s="111"/>
      <c r="G17" s="544">
        <f t="shared" si="0"/>
        <v>4788</v>
      </c>
      <c r="I17" s="500" t="s">
        <v>1293</v>
      </c>
      <c r="J17" s="501">
        <v>10332</v>
      </c>
      <c r="K17" s="502">
        <v>1990</v>
      </c>
      <c r="L17" s="732"/>
      <c r="M17" s="706"/>
      <c r="N17" s="137">
        <f t="shared" si="1"/>
        <v>81171.48</v>
      </c>
    </row>
    <row r="18" spans="2:14" ht="17.25" x14ac:dyDescent="0.3">
      <c r="B18" s="452">
        <v>44816</v>
      </c>
      <c r="C18" s="437" t="s">
        <v>1329</v>
      </c>
      <c r="D18" s="392">
        <v>132050.23999999999</v>
      </c>
      <c r="E18" s="412"/>
      <c r="F18" s="111"/>
      <c r="G18" s="544">
        <f t="shared" si="0"/>
        <v>132050.23999999999</v>
      </c>
      <c r="I18" s="497" t="s">
        <v>1294</v>
      </c>
      <c r="J18" s="498">
        <v>10350</v>
      </c>
      <c r="K18" s="499">
        <v>440</v>
      </c>
      <c r="L18" s="732"/>
      <c r="M18" s="706"/>
      <c r="N18" s="137">
        <f t="shared" si="1"/>
        <v>81611.48</v>
      </c>
    </row>
    <row r="19" spans="2:14" ht="17.25" x14ac:dyDescent="0.3">
      <c r="B19" s="452">
        <v>44816</v>
      </c>
      <c r="C19" s="437" t="s">
        <v>1330</v>
      </c>
      <c r="D19" s="392">
        <v>6858</v>
      </c>
      <c r="E19" s="412"/>
      <c r="F19" s="111"/>
      <c r="G19" s="544">
        <f t="shared" si="0"/>
        <v>6858</v>
      </c>
      <c r="I19" s="497" t="s">
        <v>1294</v>
      </c>
      <c r="J19" s="498">
        <v>10355</v>
      </c>
      <c r="K19" s="499">
        <v>760</v>
      </c>
      <c r="L19" s="732"/>
      <c r="M19" s="706"/>
      <c r="N19" s="137">
        <f t="shared" si="1"/>
        <v>82371.48</v>
      </c>
    </row>
    <row r="20" spans="2:14" ht="17.25" x14ac:dyDescent="0.3">
      <c r="B20" s="452">
        <v>44817</v>
      </c>
      <c r="C20" s="437" t="s">
        <v>1331</v>
      </c>
      <c r="D20" s="392">
        <v>93240.65</v>
      </c>
      <c r="E20" s="412"/>
      <c r="F20" s="111"/>
      <c r="G20" s="544">
        <f t="shared" si="0"/>
        <v>93240.65</v>
      </c>
      <c r="I20" s="500" t="s">
        <v>1295</v>
      </c>
      <c r="J20" s="501">
        <v>10374</v>
      </c>
      <c r="K20" s="502">
        <v>440</v>
      </c>
      <c r="L20" s="732"/>
      <c r="M20" s="706"/>
      <c r="N20" s="137">
        <f t="shared" si="1"/>
        <v>82811.48</v>
      </c>
    </row>
    <row r="21" spans="2:14" ht="17.25" x14ac:dyDescent="0.3">
      <c r="B21" s="452">
        <v>44818</v>
      </c>
      <c r="C21" s="437" t="s">
        <v>1332</v>
      </c>
      <c r="D21" s="392">
        <v>38351.199999999997</v>
      </c>
      <c r="E21" s="412"/>
      <c r="F21" s="111"/>
      <c r="G21" s="544">
        <f t="shared" si="0"/>
        <v>38351.199999999997</v>
      </c>
      <c r="I21" s="497" t="s">
        <v>1296</v>
      </c>
      <c r="J21" s="498">
        <v>10377</v>
      </c>
      <c r="K21" s="499">
        <v>3060</v>
      </c>
      <c r="L21" s="732"/>
      <c r="M21" s="706"/>
      <c r="N21" s="137">
        <f t="shared" si="1"/>
        <v>85871.48</v>
      </c>
    </row>
    <row r="22" spans="2:14" ht="18.75" x14ac:dyDescent="0.3">
      <c r="B22" s="452">
        <v>44819</v>
      </c>
      <c r="C22" s="437" t="s">
        <v>1333</v>
      </c>
      <c r="D22" s="392">
        <v>48115.16</v>
      </c>
      <c r="E22" s="412"/>
      <c r="F22" s="111"/>
      <c r="G22" s="544">
        <f t="shared" si="0"/>
        <v>48115.16</v>
      </c>
      <c r="H22" s="644"/>
      <c r="I22" s="500" t="s">
        <v>1297</v>
      </c>
      <c r="J22" s="501">
        <v>10388</v>
      </c>
      <c r="K22" s="502">
        <v>330</v>
      </c>
      <c r="L22" s="732"/>
      <c r="M22" s="706"/>
      <c r="N22" s="137">
        <f t="shared" si="1"/>
        <v>86201.48</v>
      </c>
    </row>
    <row r="23" spans="2:14" ht="15.75" x14ac:dyDescent="0.25">
      <c r="B23" s="452">
        <v>44819</v>
      </c>
      <c r="C23" s="437" t="s">
        <v>1334</v>
      </c>
      <c r="D23" s="392">
        <v>53088</v>
      </c>
      <c r="E23" s="412"/>
      <c r="F23" s="111"/>
      <c r="G23" s="544">
        <f t="shared" si="0"/>
        <v>53088</v>
      </c>
      <c r="H23" s="2"/>
      <c r="I23" s="500" t="s">
        <v>1298</v>
      </c>
      <c r="J23" s="501">
        <v>10396</v>
      </c>
      <c r="K23" s="502">
        <v>330</v>
      </c>
      <c r="L23" s="412"/>
      <c r="M23" s="111"/>
      <c r="N23" s="137">
        <f t="shared" si="1"/>
        <v>86531.48</v>
      </c>
    </row>
    <row r="24" spans="2:14" ht="21" customHeight="1" x14ac:dyDescent="0.25">
      <c r="B24" s="452">
        <v>44820</v>
      </c>
      <c r="C24" s="437" t="s">
        <v>1335</v>
      </c>
      <c r="D24" s="392">
        <v>71394.820000000007</v>
      </c>
      <c r="E24" s="412"/>
      <c r="F24" s="111"/>
      <c r="G24" s="544">
        <f t="shared" si="0"/>
        <v>71394.820000000007</v>
      </c>
      <c r="H24" s="2"/>
      <c r="I24" s="497" t="s">
        <v>1299</v>
      </c>
      <c r="J24" s="498">
        <v>10403</v>
      </c>
      <c r="K24" s="499">
        <v>330</v>
      </c>
      <c r="L24" s="412"/>
      <c r="M24" s="111"/>
      <c r="N24" s="137">
        <f t="shared" si="1"/>
        <v>86861.48</v>
      </c>
    </row>
    <row r="25" spans="2:14" ht="15.75" x14ac:dyDescent="0.25">
      <c r="B25" s="452">
        <v>44820</v>
      </c>
      <c r="C25" s="437" t="s">
        <v>1336</v>
      </c>
      <c r="D25" s="392">
        <v>7659</v>
      </c>
      <c r="E25" s="412"/>
      <c r="F25" s="111"/>
      <c r="G25" s="544">
        <f t="shared" si="0"/>
        <v>7659</v>
      </c>
      <c r="H25" s="645"/>
      <c r="I25" s="500" t="s">
        <v>1300</v>
      </c>
      <c r="J25" s="501">
        <v>10408</v>
      </c>
      <c r="K25" s="502">
        <v>312</v>
      </c>
      <c r="L25" s="412"/>
      <c r="M25" s="111"/>
      <c r="N25" s="137">
        <f t="shared" si="1"/>
        <v>87173.48</v>
      </c>
    </row>
    <row r="26" spans="2:14" ht="15.75" x14ac:dyDescent="0.25">
      <c r="B26" s="452">
        <v>44821</v>
      </c>
      <c r="C26" s="437" t="s">
        <v>1337</v>
      </c>
      <c r="D26" s="392">
        <v>78067.399999999994</v>
      </c>
      <c r="E26" s="412"/>
      <c r="F26" s="111"/>
      <c r="G26" s="544">
        <f t="shared" si="0"/>
        <v>78067.399999999994</v>
      </c>
      <c r="H26" s="645"/>
      <c r="I26" s="497" t="s">
        <v>1301</v>
      </c>
      <c r="J26" s="498">
        <v>10413</v>
      </c>
      <c r="K26" s="499">
        <v>10749.4</v>
      </c>
      <c r="L26" s="412"/>
      <c r="M26" s="111"/>
      <c r="N26" s="137">
        <f t="shared" si="1"/>
        <v>97922.87999999999</v>
      </c>
    </row>
    <row r="27" spans="2:14" ht="15.75" x14ac:dyDescent="0.25">
      <c r="B27" s="452">
        <v>44823</v>
      </c>
      <c r="C27" s="437" t="s">
        <v>1338</v>
      </c>
      <c r="D27" s="392">
        <v>4317.6000000000004</v>
      </c>
      <c r="E27" s="412"/>
      <c r="F27" s="111"/>
      <c r="G27" s="544">
        <f t="shared" si="0"/>
        <v>4317.6000000000004</v>
      </c>
      <c r="H27" s="645"/>
      <c r="I27" s="500" t="s">
        <v>1302</v>
      </c>
      <c r="J27" s="501">
        <v>10426</v>
      </c>
      <c r="K27" s="502">
        <v>440</v>
      </c>
      <c r="L27" s="412"/>
      <c r="M27" s="111"/>
      <c r="N27" s="137">
        <f t="shared" si="1"/>
        <v>98362.87999999999</v>
      </c>
    </row>
    <row r="28" spans="2:14" ht="15.75" x14ac:dyDescent="0.25">
      <c r="B28" s="452">
        <v>44824</v>
      </c>
      <c r="C28" s="437" t="s">
        <v>1339</v>
      </c>
      <c r="D28" s="392">
        <v>64961.4</v>
      </c>
      <c r="E28" s="412"/>
      <c r="F28" s="111"/>
      <c r="G28" s="544">
        <f t="shared" si="0"/>
        <v>64961.4</v>
      </c>
      <c r="H28" s="645"/>
      <c r="I28" s="500" t="s">
        <v>1302</v>
      </c>
      <c r="J28" s="501">
        <v>10430</v>
      </c>
      <c r="K28" s="502">
        <v>83796</v>
      </c>
      <c r="L28" s="412"/>
      <c r="M28" s="111"/>
      <c r="N28" s="137">
        <f t="shared" si="1"/>
        <v>182158.88</v>
      </c>
    </row>
    <row r="29" spans="2:14" ht="15.75" x14ac:dyDescent="0.25">
      <c r="B29" s="452">
        <v>44825</v>
      </c>
      <c r="C29" s="437" t="s">
        <v>1340</v>
      </c>
      <c r="D29" s="392">
        <v>8619.2000000000007</v>
      </c>
      <c r="E29" s="412"/>
      <c r="F29" s="111"/>
      <c r="G29" s="544">
        <f t="shared" si="0"/>
        <v>8619.2000000000007</v>
      </c>
      <c r="H29" s="645"/>
      <c r="I29" s="500" t="s">
        <v>1302</v>
      </c>
      <c r="J29" s="501">
        <v>10431</v>
      </c>
      <c r="K29" s="502">
        <v>32</v>
      </c>
      <c r="L29" s="412"/>
      <c r="M29" s="111"/>
      <c r="N29" s="137">
        <f t="shared" si="1"/>
        <v>182190.88</v>
      </c>
    </row>
    <row r="30" spans="2:14" ht="15.75" x14ac:dyDescent="0.25">
      <c r="B30" s="452">
        <v>44826</v>
      </c>
      <c r="C30" s="437" t="s">
        <v>1341</v>
      </c>
      <c r="D30" s="392">
        <v>26763.09</v>
      </c>
      <c r="E30" s="412"/>
      <c r="F30" s="111"/>
      <c r="G30" s="544">
        <f t="shared" si="0"/>
        <v>26763.09</v>
      </c>
      <c r="H30" s="645"/>
      <c r="I30" s="497" t="s">
        <v>1302</v>
      </c>
      <c r="J30" s="498">
        <v>10432</v>
      </c>
      <c r="K30" s="499">
        <v>15527.2</v>
      </c>
      <c r="L30" s="412"/>
      <c r="M30" s="111"/>
      <c r="N30" s="137">
        <f t="shared" si="1"/>
        <v>197718.08000000002</v>
      </c>
    </row>
    <row r="31" spans="2:14" ht="15.75" x14ac:dyDescent="0.25">
      <c r="B31" s="452">
        <v>44827</v>
      </c>
      <c r="C31" s="437" t="s">
        <v>1342</v>
      </c>
      <c r="D31" s="392">
        <v>449824.82</v>
      </c>
      <c r="E31" s="412"/>
      <c r="F31" s="111"/>
      <c r="G31" s="544">
        <f t="shared" si="0"/>
        <v>449824.82</v>
      </c>
      <c r="H31" s="2"/>
      <c r="I31" s="497" t="s">
        <v>1303</v>
      </c>
      <c r="J31" s="498">
        <v>10439</v>
      </c>
      <c r="K31" s="499">
        <v>9833.2000000000007</v>
      </c>
      <c r="L31" s="412"/>
      <c r="M31" s="111"/>
      <c r="N31" s="137">
        <f t="shared" si="1"/>
        <v>207551.28000000003</v>
      </c>
    </row>
    <row r="32" spans="2:14" ht="15.75" x14ac:dyDescent="0.25">
      <c r="B32" s="452">
        <v>44828</v>
      </c>
      <c r="C32" s="437" t="s">
        <v>1343</v>
      </c>
      <c r="D32" s="392">
        <v>75805.399999999994</v>
      </c>
      <c r="E32" s="412"/>
      <c r="F32" s="111"/>
      <c r="G32" s="544">
        <f t="shared" si="0"/>
        <v>75805.399999999994</v>
      </c>
      <c r="H32" s="2"/>
      <c r="I32" s="497" t="s">
        <v>1304</v>
      </c>
      <c r="J32" s="498">
        <v>10447</v>
      </c>
      <c r="K32" s="499">
        <v>330</v>
      </c>
      <c r="L32" s="412"/>
      <c r="M32" s="111"/>
      <c r="N32" s="137">
        <f t="shared" si="1"/>
        <v>207881.28000000003</v>
      </c>
    </row>
    <row r="33" spans="2:14" ht="15.75" x14ac:dyDescent="0.25">
      <c r="B33" s="452">
        <v>44828</v>
      </c>
      <c r="C33" s="437" t="s">
        <v>1344</v>
      </c>
      <c r="D33" s="392">
        <v>10260</v>
      </c>
      <c r="E33" s="412"/>
      <c r="F33" s="111"/>
      <c r="G33" s="544">
        <f t="shared" si="0"/>
        <v>10260</v>
      </c>
      <c r="I33" s="500" t="s">
        <v>1305</v>
      </c>
      <c r="J33" s="501">
        <v>10454</v>
      </c>
      <c r="K33" s="502">
        <v>3738</v>
      </c>
      <c r="L33" s="412"/>
      <c r="M33" s="111"/>
      <c r="N33" s="137">
        <f t="shared" si="1"/>
        <v>211619.28000000003</v>
      </c>
    </row>
    <row r="34" spans="2:14" ht="15.75" x14ac:dyDescent="0.25">
      <c r="B34" s="452">
        <v>44830</v>
      </c>
      <c r="C34" s="437" t="s">
        <v>1345</v>
      </c>
      <c r="D34" s="392">
        <v>66227.5</v>
      </c>
      <c r="E34" s="412"/>
      <c r="F34" s="111"/>
      <c r="G34" s="544">
        <f t="shared" si="0"/>
        <v>66227.5</v>
      </c>
      <c r="I34" s="497" t="s">
        <v>1306</v>
      </c>
      <c r="J34" s="498">
        <v>10473</v>
      </c>
      <c r="K34" s="499">
        <v>1760</v>
      </c>
      <c r="L34" s="412"/>
      <c r="M34" s="111"/>
      <c r="N34" s="137">
        <f t="shared" si="1"/>
        <v>213379.28000000003</v>
      </c>
    </row>
    <row r="35" spans="2:14" ht="15.75" x14ac:dyDescent="0.25">
      <c r="B35" s="452">
        <v>44831</v>
      </c>
      <c r="C35" s="437" t="s">
        <v>1346</v>
      </c>
      <c r="D35" s="392">
        <v>61159.199999999997</v>
      </c>
      <c r="E35" s="412"/>
      <c r="F35" s="111"/>
      <c r="G35" s="544">
        <f t="shared" si="0"/>
        <v>61159.199999999997</v>
      </c>
      <c r="I35" s="500" t="s">
        <v>1307</v>
      </c>
      <c r="J35" s="501">
        <v>10482</v>
      </c>
      <c r="K35" s="502">
        <v>550</v>
      </c>
      <c r="L35" s="412"/>
      <c r="M35" s="111"/>
      <c r="N35" s="137">
        <f t="shared" si="1"/>
        <v>213929.28000000003</v>
      </c>
    </row>
    <row r="36" spans="2:14" ht="15.75" x14ac:dyDescent="0.25">
      <c r="B36" s="452">
        <v>44832</v>
      </c>
      <c r="C36" s="437" t="s">
        <v>1347</v>
      </c>
      <c r="D36" s="392">
        <v>90739.06</v>
      </c>
      <c r="E36" s="412"/>
      <c r="F36" s="111"/>
      <c r="G36" s="544">
        <f t="shared" si="0"/>
        <v>90739.06</v>
      </c>
      <c r="I36" s="497" t="s">
        <v>1307</v>
      </c>
      <c r="J36" s="498">
        <v>10483</v>
      </c>
      <c r="K36" s="499">
        <v>34040</v>
      </c>
      <c r="L36" s="412"/>
      <c r="M36" s="111"/>
      <c r="N36" s="137">
        <f t="shared" si="1"/>
        <v>247969.28000000003</v>
      </c>
    </row>
    <row r="37" spans="2:14" ht="15.75" x14ac:dyDescent="0.25">
      <c r="B37" s="452">
        <v>44833</v>
      </c>
      <c r="C37" s="437" t="s">
        <v>1348</v>
      </c>
      <c r="D37" s="392">
        <v>27945.95</v>
      </c>
      <c r="E37" s="412"/>
      <c r="F37" s="111"/>
      <c r="G37" s="544">
        <f t="shared" si="0"/>
        <v>27945.95</v>
      </c>
      <c r="I37" s="500" t="s">
        <v>1307</v>
      </c>
      <c r="J37" s="501">
        <v>10484</v>
      </c>
      <c r="K37" s="502">
        <v>1800</v>
      </c>
      <c r="L37" s="412"/>
      <c r="M37" s="111"/>
      <c r="N37" s="137">
        <f t="shared" si="1"/>
        <v>249769.28000000003</v>
      </c>
    </row>
    <row r="38" spans="2:14" ht="15.75" x14ac:dyDescent="0.25">
      <c r="B38" s="452">
        <v>44834</v>
      </c>
      <c r="C38" s="437" t="s">
        <v>1349</v>
      </c>
      <c r="D38" s="392">
        <v>101737.82</v>
      </c>
      <c r="E38" s="412"/>
      <c r="F38" s="111"/>
      <c r="G38" s="544">
        <f t="shared" si="0"/>
        <v>101737.82</v>
      </c>
      <c r="I38" s="500" t="s">
        <v>1308</v>
      </c>
      <c r="J38" s="501">
        <v>10492</v>
      </c>
      <c r="K38" s="502">
        <v>330</v>
      </c>
      <c r="L38" s="412"/>
      <c r="M38" s="111"/>
      <c r="N38" s="137">
        <f t="shared" si="1"/>
        <v>250099.28000000003</v>
      </c>
    </row>
    <row r="39" spans="2:14" ht="15.75" x14ac:dyDescent="0.25">
      <c r="B39" s="452">
        <v>44834</v>
      </c>
      <c r="C39" s="437" t="s">
        <v>1316</v>
      </c>
      <c r="D39" s="392">
        <v>5241.6000000000004</v>
      </c>
      <c r="E39" s="253"/>
      <c r="F39" s="69"/>
      <c r="G39" s="111">
        <f t="shared" si="0"/>
        <v>5241.6000000000004</v>
      </c>
      <c r="I39" s="134"/>
      <c r="J39" s="139"/>
      <c r="K39" s="69"/>
      <c r="L39" s="253"/>
      <c r="M39" s="69"/>
      <c r="N39" s="137">
        <f t="shared" si="1"/>
        <v>250099.28000000003</v>
      </c>
    </row>
    <row r="40" spans="2:14" ht="15.75" x14ac:dyDescent="0.25">
      <c r="B40" s="452">
        <v>44835</v>
      </c>
      <c r="C40" s="437" t="s">
        <v>1317</v>
      </c>
      <c r="D40" s="392">
        <v>29303.81</v>
      </c>
      <c r="E40" s="253"/>
      <c r="F40" s="69"/>
      <c r="G40" s="111">
        <f t="shared" si="0"/>
        <v>29303.81</v>
      </c>
      <c r="I40" s="930" t="s">
        <v>594</v>
      </c>
      <c r="J40" s="931"/>
      <c r="K40" s="69"/>
      <c r="L40" s="253"/>
      <c r="M40" s="69"/>
      <c r="N40" s="137">
        <f t="shared" si="1"/>
        <v>250099.28000000003</v>
      </c>
    </row>
    <row r="41" spans="2:14" ht="15.75" x14ac:dyDescent="0.25">
      <c r="B41" s="796"/>
      <c r="C41" s="795"/>
      <c r="D41" s="794"/>
      <c r="E41" s="253"/>
      <c r="F41" s="69"/>
      <c r="G41" s="111">
        <f t="shared" si="0"/>
        <v>0</v>
      </c>
      <c r="I41" s="932"/>
      <c r="J41" s="933"/>
      <c r="K41" s="69"/>
      <c r="L41" s="253"/>
      <c r="M41" s="69"/>
      <c r="N41" s="137">
        <f t="shared" si="1"/>
        <v>250099.28000000003</v>
      </c>
    </row>
    <row r="42" spans="2:14" ht="15.75" x14ac:dyDescent="0.25">
      <c r="B42" s="796"/>
      <c r="C42" s="795"/>
      <c r="D42" s="794"/>
      <c r="E42" s="253"/>
      <c r="F42" s="69"/>
      <c r="G42" s="111">
        <f t="shared" si="0"/>
        <v>0</v>
      </c>
      <c r="I42" s="934"/>
      <c r="J42" s="935"/>
      <c r="K42" s="69"/>
      <c r="L42" s="253"/>
      <c r="M42" s="69"/>
      <c r="N42" s="137">
        <f t="shared" si="1"/>
        <v>250099.28000000003</v>
      </c>
    </row>
    <row r="43" spans="2:14" ht="15.75" x14ac:dyDescent="0.25">
      <c r="B43" s="667"/>
      <c r="C43" s="668"/>
      <c r="D43" s="111"/>
      <c r="E43" s="253"/>
      <c r="F43" s="69"/>
      <c r="G43" s="111">
        <f t="shared" si="0"/>
        <v>0</v>
      </c>
      <c r="I43" s="134"/>
      <c r="J43" s="139"/>
      <c r="K43" s="69"/>
      <c r="L43" s="253"/>
      <c r="M43" s="69"/>
      <c r="N43" s="137">
        <f t="shared" si="1"/>
        <v>250099.28000000003</v>
      </c>
    </row>
    <row r="44" spans="2:14" ht="15.75" x14ac:dyDescent="0.25">
      <c r="B44" s="669"/>
      <c r="C44" s="668"/>
      <c r="D44" s="111"/>
      <c r="E44" s="253"/>
      <c r="F44" s="69"/>
      <c r="G44" s="111">
        <f t="shared" si="0"/>
        <v>0</v>
      </c>
      <c r="I44" s="134"/>
      <c r="J44" s="139"/>
      <c r="K44" s="69"/>
      <c r="L44" s="253"/>
      <c r="M44" s="69"/>
      <c r="N44" s="137">
        <f t="shared" si="1"/>
        <v>250099.28000000003</v>
      </c>
    </row>
    <row r="45" spans="2:14" ht="15.75" x14ac:dyDescent="0.25">
      <c r="B45" s="669"/>
      <c r="C45" s="668"/>
      <c r="D45" s="111"/>
      <c r="E45" s="253"/>
      <c r="F45" s="69"/>
      <c r="G45" s="111">
        <f t="shared" si="0"/>
        <v>0</v>
      </c>
      <c r="I45" s="134"/>
      <c r="J45" s="139"/>
      <c r="K45" s="69"/>
      <c r="L45" s="253"/>
      <c r="M45" s="69"/>
      <c r="N45" s="137">
        <f t="shared" si="1"/>
        <v>250099.28000000003</v>
      </c>
    </row>
    <row r="46" spans="2:14" ht="15.75" x14ac:dyDescent="0.25">
      <c r="B46" s="666"/>
      <c r="C46" s="664"/>
      <c r="D46" s="69"/>
      <c r="E46" s="253"/>
      <c r="F46" s="69"/>
      <c r="G46" s="111">
        <f t="shared" si="0"/>
        <v>0</v>
      </c>
      <c r="I46" s="134"/>
      <c r="J46" s="139"/>
      <c r="K46" s="69"/>
      <c r="L46" s="253"/>
      <c r="M46" s="69"/>
      <c r="N46" s="137">
        <f t="shared" si="1"/>
        <v>250099.28000000003</v>
      </c>
    </row>
    <row r="47" spans="2:14" ht="15.75" x14ac:dyDescent="0.25">
      <c r="B47" s="134"/>
      <c r="C47" s="664"/>
      <c r="D47" s="69"/>
      <c r="E47" s="253"/>
      <c r="F47" s="69"/>
      <c r="G47" s="111">
        <f t="shared" si="0"/>
        <v>0</v>
      </c>
      <c r="I47" s="134"/>
      <c r="J47" s="139"/>
      <c r="K47" s="69"/>
      <c r="L47" s="253"/>
      <c r="M47" s="69"/>
      <c r="N47" s="137">
        <f t="shared" si="1"/>
        <v>250099.28000000003</v>
      </c>
    </row>
    <row r="48" spans="2:14" ht="15.75" x14ac:dyDescent="0.25">
      <c r="B48" s="134"/>
      <c r="C48" s="664"/>
      <c r="D48" s="69"/>
      <c r="E48" s="253"/>
      <c r="F48" s="69"/>
      <c r="G48" s="111">
        <f t="shared" si="0"/>
        <v>0</v>
      </c>
      <c r="I48" s="134"/>
      <c r="J48" s="139"/>
      <c r="K48" s="69"/>
      <c r="L48" s="253"/>
      <c r="M48" s="69"/>
      <c r="N48" s="137">
        <f t="shared" si="1"/>
        <v>250099.28000000003</v>
      </c>
    </row>
    <row r="49" spans="2:14" ht="15.75" hidden="1" x14ac:dyDescent="0.25">
      <c r="B49" s="134"/>
      <c r="C49" s="665"/>
      <c r="D49" s="69"/>
      <c r="E49" s="253"/>
      <c r="F49" s="69"/>
      <c r="G49" s="111">
        <f t="shared" si="0"/>
        <v>0</v>
      </c>
      <c r="I49" s="134"/>
      <c r="J49" s="139"/>
      <c r="K49" s="69"/>
      <c r="L49" s="253"/>
      <c r="M49" s="69"/>
      <c r="N49" s="137">
        <f t="shared" si="1"/>
        <v>250099.28000000003</v>
      </c>
    </row>
    <row r="50" spans="2:14" ht="15.75" hidden="1" x14ac:dyDescent="0.25">
      <c r="B50" s="134"/>
      <c r="C50" s="139"/>
      <c r="D50" s="69"/>
      <c r="E50" s="254"/>
      <c r="F50" s="69"/>
      <c r="G50" s="111">
        <f t="shared" si="0"/>
        <v>0</v>
      </c>
      <c r="I50" s="356"/>
      <c r="J50" s="357"/>
      <c r="K50" s="34"/>
      <c r="L50" s="118"/>
      <c r="M50" s="34"/>
      <c r="N50" s="137">
        <f t="shared" si="1"/>
        <v>250099.28000000003</v>
      </c>
    </row>
    <row r="51" spans="2:14" ht="15.75" hidden="1" x14ac:dyDescent="0.25">
      <c r="B51" s="134"/>
      <c r="C51" s="139"/>
      <c r="D51" s="69"/>
      <c r="E51" s="254"/>
      <c r="F51" s="69"/>
      <c r="G51" s="111">
        <f t="shared" si="0"/>
        <v>0</v>
      </c>
      <c r="I51" s="356"/>
      <c r="J51" s="357"/>
      <c r="K51" s="34"/>
      <c r="L51" s="118"/>
      <c r="M51" s="34"/>
      <c r="N51" s="137">
        <f t="shared" si="1"/>
        <v>250099.28000000003</v>
      </c>
    </row>
    <row r="52" spans="2:14" ht="15.75" hidden="1" x14ac:dyDescent="0.25">
      <c r="B52" s="134"/>
      <c r="C52" s="139"/>
      <c r="D52" s="69"/>
      <c r="E52" s="254"/>
      <c r="F52" s="69"/>
      <c r="G52" s="111">
        <f t="shared" si="0"/>
        <v>0</v>
      </c>
      <c r="I52" s="356"/>
      <c r="J52" s="357"/>
      <c r="K52" s="34"/>
      <c r="L52" s="118"/>
      <c r="M52" s="34"/>
      <c r="N52" s="137">
        <f t="shared" si="1"/>
        <v>250099.28000000003</v>
      </c>
    </row>
    <row r="53" spans="2:14" ht="15.75" hidden="1" x14ac:dyDescent="0.25">
      <c r="B53" s="134"/>
      <c r="C53" s="139"/>
      <c r="D53" s="69"/>
      <c r="E53" s="254"/>
      <c r="F53" s="69"/>
      <c r="G53" s="111">
        <f t="shared" si="0"/>
        <v>0</v>
      </c>
      <c r="I53" s="356"/>
      <c r="J53" s="357"/>
      <c r="K53" s="34"/>
      <c r="L53" s="118"/>
      <c r="M53" s="34"/>
      <c r="N53" s="137">
        <f t="shared" si="1"/>
        <v>250099.28000000003</v>
      </c>
    </row>
    <row r="54" spans="2:14" ht="15.75" hidden="1" x14ac:dyDescent="0.25">
      <c r="B54" s="134"/>
      <c r="C54" s="139"/>
      <c r="D54" s="69"/>
      <c r="E54" s="254"/>
      <c r="F54" s="69"/>
      <c r="G54" s="111">
        <f t="shared" si="0"/>
        <v>0</v>
      </c>
      <c r="I54" s="356"/>
      <c r="J54" s="357"/>
      <c r="K54" s="34"/>
      <c r="L54" s="118"/>
      <c r="M54" s="34"/>
      <c r="N54" s="137">
        <f t="shared" si="1"/>
        <v>250099.28000000003</v>
      </c>
    </row>
    <row r="55" spans="2:14" ht="15.75" hidden="1" x14ac:dyDescent="0.25">
      <c r="B55" s="356"/>
      <c r="C55" s="357"/>
      <c r="D55" s="34"/>
      <c r="E55" s="118"/>
      <c r="F55" s="34"/>
      <c r="G55" s="111">
        <f t="shared" si="0"/>
        <v>0</v>
      </c>
      <c r="I55" s="356"/>
      <c r="J55" s="357"/>
      <c r="K55" s="34"/>
      <c r="L55" s="118"/>
      <c r="M55" s="34"/>
      <c r="N55" s="137">
        <f t="shared" si="1"/>
        <v>250099.28000000003</v>
      </c>
    </row>
    <row r="56" spans="2:14" ht="15.75" hidden="1" x14ac:dyDescent="0.25">
      <c r="B56" s="134"/>
      <c r="C56" s="139"/>
      <c r="D56" s="69"/>
      <c r="E56" s="254"/>
      <c r="F56" s="69"/>
      <c r="G56" s="111">
        <f t="shared" si="0"/>
        <v>0</v>
      </c>
      <c r="I56" s="134"/>
      <c r="J56" s="139"/>
      <c r="K56" s="69"/>
      <c r="L56" s="254"/>
      <c r="M56" s="69"/>
      <c r="N56" s="137">
        <f t="shared" si="1"/>
        <v>250099.28000000003</v>
      </c>
    </row>
    <row r="57" spans="2:14" ht="15.75" hidden="1" x14ac:dyDescent="0.25">
      <c r="B57" s="134"/>
      <c r="C57" s="139"/>
      <c r="D57" s="69"/>
      <c r="E57" s="254"/>
      <c r="F57" s="69"/>
      <c r="G57" s="111">
        <f t="shared" si="0"/>
        <v>0</v>
      </c>
      <c r="I57" s="134"/>
      <c r="J57" s="139"/>
      <c r="K57" s="69"/>
      <c r="L57" s="254"/>
      <c r="M57" s="69"/>
      <c r="N57" s="137">
        <f t="shared" si="1"/>
        <v>250099.28000000003</v>
      </c>
    </row>
    <row r="58" spans="2:14" ht="15.75" hidden="1" x14ac:dyDescent="0.25">
      <c r="B58" s="134"/>
      <c r="C58" s="139"/>
      <c r="D58" s="69"/>
      <c r="E58" s="254"/>
      <c r="F58" s="69"/>
      <c r="G58" s="111">
        <f t="shared" si="0"/>
        <v>0</v>
      </c>
      <c r="I58" s="134"/>
      <c r="J58" s="139"/>
      <c r="K58" s="69"/>
      <c r="L58" s="254"/>
      <c r="M58" s="69"/>
      <c r="N58" s="137">
        <f t="shared" si="1"/>
        <v>250099.28000000003</v>
      </c>
    </row>
    <row r="59" spans="2:14" ht="15.75" hidden="1" x14ac:dyDescent="0.25">
      <c r="B59" s="134"/>
      <c r="C59" s="139"/>
      <c r="D59" s="69"/>
      <c r="E59" s="254"/>
      <c r="F59" s="69"/>
      <c r="G59" s="111">
        <f t="shared" si="0"/>
        <v>0</v>
      </c>
      <c r="I59" s="134"/>
      <c r="J59" s="139"/>
      <c r="K59" s="69"/>
      <c r="L59" s="254"/>
      <c r="M59" s="69"/>
      <c r="N59" s="137">
        <f t="shared" si="1"/>
        <v>250099.28000000003</v>
      </c>
    </row>
    <row r="60" spans="2:14" ht="15.75" hidden="1" x14ac:dyDescent="0.25">
      <c r="B60" s="134"/>
      <c r="C60" s="139"/>
      <c r="D60" s="69"/>
      <c r="E60" s="254"/>
      <c r="F60" s="69"/>
      <c r="G60" s="111">
        <f t="shared" si="0"/>
        <v>0</v>
      </c>
      <c r="I60" s="134"/>
      <c r="J60" s="139"/>
      <c r="K60" s="69"/>
      <c r="L60" s="254"/>
      <c r="M60" s="69"/>
      <c r="N60" s="137">
        <f t="shared" si="1"/>
        <v>250099.28000000003</v>
      </c>
    </row>
    <row r="61" spans="2:14" ht="15.75" hidden="1" x14ac:dyDescent="0.25">
      <c r="B61" s="134"/>
      <c r="C61" s="139"/>
      <c r="D61" s="69"/>
      <c r="E61" s="254"/>
      <c r="F61" s="69"/>
      <c r="G61" s="111">
        <f t="shared" si="0"/>
        <v>0</v>
      </c>
      <c r="I61" s="134"/>
      <c r="J61" s="139"/>
      <c r="K61" s="69"/>
      <c r="L61" s="254"/>
      <c r="M61" s="69"/>
      <c r="N61" s="137">
        <f t="shared" si="1"/>
        <v>250099.28000000003</v>
      </c>
    </row>
    <row r="62" spans="2:14" ht="15.75" hidden="1" x14ac:dyDescent="0.25">
      <c r="B62" s="134"/>
      <c r="C62" s="139"/>
      <c r="D62" s="69"/>
      <c r="E62" s="254"/>
      <c r="F62" s="69"/>
      <c r="G62" s="111">
        <f t="shared" si="0"/>
        <v>0</v>
      </c>
      <c r="I62" s="134"/>
      <c r="J62" s="139"/>
      <c r="K62" s="69"/>
      <c r="L62" s="254"/>
      <c r="M62" s="69"/>
      <c r="N62" s="137">
        <f t="shared" si="1"/>
        <v>250099.28000000003</v>
      </c>
    </row>
    <row r="63" spans="2:14" ht="15.75" hidden="1" x14ac:dyDescent="0.25">
      <c r="B63" s="134"/>
      <c r="C63" s="139"/>
      <c r="D63" s="69"/>
      <c r="E63" s="254"/>
      <c r="F63" s="69"/>
      <c r="G63" s="111">
        <f t="shared" si="0"/>
        <v>0</v>
      </c>
      <c r="I63" s="134"/>
      <c r="J63" s="139"/>
      <c r="K63" s="69"/>
      <c r="L63" s="254"/>
      <c r="M63" s="69"/>
      <c r="N63" s="137">
        <f t="shared" si="1"/>
        <v>250099.28000000003</v>
      </c>
    </row>
    <row r="64" spans="2:14" ht="15.75" hidden="1" x14ac:dyDescent="0.25">
      <c r="B64" s="134"/>
      <c r="C64" s="139"/>
      <c r="D64" s="69"/>
      <c r="E64" s="254"/>
      <c r="F64" s="69"/>
      <c r="G64" s="111">
        <f t="shared" si="0"/>
        <v>0</v>
      </c>
      <c r="I64" s="134"/>
      <c r="J64" s="139"/>
      <c r="K64" s="69"/>
      <c r="L64" s="254"/>
      <c r="M64" s="69"/>
      <c r="N64" s="137">
        <f t="shared" si="1"/>
        <v>250099.28000000003</v>
      </c>
    </row>
    <row r="65" spans="2:14" ht="15.75" hidden="1" x14ac:dyDescent="0.25">
      <c r="B65" s="134"/>
      <c r="C65" s="139"/>
      <c r="D65" s="69"/>
      <c r="E65" s="254"/>
      <c r="F65" s="69"/>
      <c r="G65" s="111">
        <f t="shared" si="0"/>
        <v>0</v>
      </c>
      <c r="I65" s="134"/>
      <c r="J65" s="139"/>
      <c r="K65" s="69"/>
      <c r="L65" s="254"/>
      <c r="M65" s="69"/>
      <c r="N65" s="137">
        <f t="shared" si="1"/>
        <v>250099.28000000003</v>
      </c>
    </row>
    <row r="66" spans="2:14" ht="16.5" thickBot="1" x14ac:dyDescent="0.3">
      <c r="B66" s="149"/>
      <c r="C66" s="210"/>
      <c r="D66" s="34">
        <v>0</v>
      </c>
      <c r="E66" s="255"/>
      <c r="F66" s="151"/>
      <c r="G66" s="137">
        <v>0</v>
      </c>
      <c r="I66" s="149"/>
      <c r="J66" s="150"/>
      <c r="K66" s="151">
        <v>0</v>
      </c>
      <c r="L66" s="255"/>
      <c r="M66" s="151"/>
      <c r="N66" s="137"/>
    </row>
    <row r="67" spans="2:14" ht="21.75" thickTop="1" x14ac:dyDescent="0.35">
      <c r="C67" s="440"/>
      <c r="D67" s="212">
        <f>SUM(D3:D66)</f>
        <v>2600214.79</v>
      </c>
      <c r="E67" s="407"/>
      <c r="F67" s="395">
        <f>SUM(F3:F66)</f>
        <v>0</v>
      </c>
      <c r="G67" s="153">
        <f>SUM(G3:G66)</f>
        <v>2600214.79</v>
      </c>
      <c r="I67" s="926" t="s">
        <v>594</v>
      </c>
      <c r="J67" s="927"/>
      <c r="K67" s="642">
        <f>SUM(K3:K66)</f>
        <v>250099.28000000003</v>
      </c>
      <c r="L67" s="713"/>
      <c r="M67" s="209">
        <f>SUM(M3:M66)</f>
        <v>0</v>
      </c>
      <c r="N67" s="153">
        <f>N66</f>
        <v>0</v>
      </c>
    </row>
    <row r="68" spans="2:14" ht="15.75" thickBot="1" x14ac:dyDescent="0.3">
      <c r="C68" s="441"/>
      <c r="D68" s="214"/>
      <c r="E68" s="256"/>
      <c r="F68" s="3"/>
      <c r="G68" s="888" t="s">
        <v>207</v>
      </c>
      <c r="I68" s="928"/>
      <c r="J68" s="929"/>
      <c r="K68" s="1"/>
      <c r="L68" s="256"/>
      <c r="M68" s="3"/>
      <c r="N68" s="1"/>
    </row>
    <row r="69" spans="2:14" x14ac:dyDescent="0.25">
      <c r="C69" s="163"/>
      <c r="D69" s="1"/>
      <c r="E69" s="256"/>
      <c r="F69" s="3"/>
      <c r="G69" s="889"/>
      <c r="K69" s="1"/>
      <c r="L69" s="256"/>
      <c r="M69" s="3"/>
      <c r="N69" s="1"/>
    </row>
    <row r="70" spans="2:14" ht="15.75" x14ac:dyDescent="0.25">
      <c r="B70" s="511"/>
      <c r="C70" s="512"/>
      <c r="D70" s="233"/>
      <c r="F70"/>
      <c r="J70" s="194"/>
      <c r="M70"/>
    </row>
    <row r="71" spans="2:14" ht="15.75" x14ac:dyDescent="0.25">
      <c r="B71" s="511"/>
      <c r="C71" s="512"/>
      <c r="D71" s="233"/>
      <c r="F71"/>
      <c r="H71" s="2"/>
      <c r="I71" s="426"/>
      <c r="J71" s="503"/>
      <c r="K71" s="6"/>
      <c r="L71" s="714"/>
      <c r="M71"/>
    </row>
    <row r="72" spans="2:14" ht="15" customHeight="1" x14ac:dyDescent="0.25">
      <c r="C72" s="194"/>
      <c r="E72" s="456"/>
      <c r="F72"/>
      <c r="H72" s="2"/>
      <c r="I72" s="792"/>
      <c r="J72" s="793"/>
      <c r="K72" s="794"/>
      <c r="L72" s="794"/>
      <c r="M72"/>
      <c r="N72"/>
    </row>
    <row r="73" spans="2:14" ht="15.75" customHeight="1" x14ac:dyDescent="0.25">
      <c r="C73" s="194"/>
      <c r="E73" s="456"/>
      <c r="F73"/>
      <c r="H73" s="2"/>
      <c r="I73" s="792"/>
      <c r="J73" s="793"/>
      <c r="K73" s="794"/>
      <c r="L73" s="794"/>
      <c r="M73"/>
      <c r="N73"/>
    </row>
    <row r="74" spans="2:14" x14ac:dyDescent="0.25">
      <c r="C74" s="194"/>
      <c r="D74" s="129"/>
      <c r="E74" s="456"/>
      <c r="F74"/>
      <c r="H74" s="2"/>
      <c r="I74" s="792"/>
      <c r="J74" s="793"/>
      <c r="K74" s="794"/>
      <c r="L74" s="794"/>
      <c r="M74"/>
      <c r="N74"/>
    </row>
    <row r="75" spans="2:14" ht="15.75" x14ac:dyDescent="0.25">
      <c r="C75" s="194"/>
      <c r="D75" s="233"/>
      <c r="E75" s="456"/>
      <c r="H75" s="2"/>
      <c r="I75" s="2"/>
      <c r="J75" s="2"/>
      <c r="K75" s="2"/>
      <c r="L75" s="714"/>
      <c r="M75"/>
      <c r="N75"/>
    </row>
    <row r="76" spans="2:14" ht="15.75" x14ac:dyDescent="0.25">
      <c r="C76" s="194"/>
      <c r="D76" s="233"/>
      <c r="E76" s="456"/>
      <c r="H76" s="2"/>
      <c r="I76" s="2"/>
      <c r="J76" s="2"/>
      <c r="K76" s="2"/>
      <c r="L76" s="714"/>
      <c r="M76"/>
      <c r="N76"/>
    </row>
    <row r="77" spans="2:14" ht="15.75" x14ac:dyDescent="0.25">
      <c r="C77" s="194"/>
      <c r="D77" s="233"/>
      <c r="E77" s="456"/>
      <c r="I77"/>
      <c r="J77"/>
      <c r="K77"/>
      <c r="M77"/>
      <c r="N77"/>
    </row>
    <row r="78" spans="2:14" ht="15.75" x14ac:dyDescent="0.25">
      <c r="C78" s="194"/>
      <c r="D78" s="233"/>
      <c r="E78" s="456"/>
      <c r="I78"/>
      <c r="J78"/>
      <c r="K78"/>
      <c r="M78"/>
      <c r="N78"/>
    </row>
    <row r="79" spans="2:14" ht="15.75" x14ac:dyDescent="0.25">
      <c r="C79" s="194"/>
      <c r="D79" s="233"/>
      <c r="E79" s="456"/>
      <c r="I79"/>
      <c r="J79"/>
      <c r="K79"/>
      <c r="M79"/>
      <c r="N79"/>
    </row>
    <row r="80" spans="2:14" ht="15.75" x14ac:dyDescent="0.25">
      <c r="C80" s="194"/>
      <c r="D80" s="233"/>
      <c r="E80" s="456"/>
      <c r="I80"/>
      <c r="J80"/>
      <c r="K80"/>
      <c r="M80"/>
      <c r="N80"/>
    </row>
    <row r="81" spans="3:14" ht="15.75" x14ac:dyDescent="0.25">
      <c r="C81" s="116"/>
      <c r="D81" s="233"/>
      <c r="E81" s="456"/>
      <c r="I81"/>
      <c r="J81"/>
      <c r="K81"/>
      <c r="M81"/>
      <c r="N81"/>
    </row>
    <row r="82" spans="3:14" ht="15.75" x14ac:dyDescent="0.25">
      <c r="C82" s="116"/>
      <c r="D82" s="233"/>
      <c r="E82" s="456"/>
      <c r="I82"/>
      <c r="J82"/>
      <c r="K82"/>
      <c r="M82"/>
      <c r="N82"/>
    </row>
    <row r="83" spans="3:14" ht="15.75" x14ac:dyDescent="0.25">
      <c r="C83" s="116"/>
      <c r="D83" s="233"/>
      <c r="E83" s="456"/>
      <c r="I83"/>
      <c r="J83"/>
      <c r="K83"/>
      <c r="M83"/>
      <c r="N83"/>
    </row>
    <row r="84" spans="3:14" ht="15.75" x14ac:dyDescent="0.25">
      <c r="C84" s="116"/>
      <c r="D84" s="233"/>
      <c r="E84" s="456"/>
      <c r="I84"/>
      <c r="J84"/>
      <c r="K84"/>
      <c r="M84"/>
      <c r="N84"/>
    </row>
    <row r="85" spans="3:14" ht="15.75" x14ac:dyDescent="0.25">
      <c r="C85" s="116"/>
      <c r="D85" s="233"/>
      <c r="E85" s="456"/>
      <c r="I85"/>
      <c r="J85"/>
      <c r="K85"/>
      <c r="M85"/>
      <c r="N85"/>
    </row>
    <row r="86" spans="3:14" ht="15.75" x14ac:dyDescent="0.25">
      <c r="C86" s="116"/>
      <c r="D86" s="233"/>
      <c r="E86" s="456"/>
      <c r="I86"/>
      <c r="J86"/>
      <c r="K86"/>
      <c r="M86"/>
      <c r="N86"/>
    </row>
    <row r="87" spans="3:14" ht="15.75" x14ac:dyDescent="0.25">
      <c r="C87" s="116"/>
      <c r="D87" s="233"/>
      <c r="E87" s="456"/>
      <c r="I87"/>
      <c r="J87"/>
      <c r="K87"/>
      <c r="M87"/>
      <c r="N87"/>
    </row>
    <row r="88" spans="3:14" ht="15.75" x14ac:dyDescent="0.25">
      <c r="C88" s="116"/>
      <c r="D88" s="233"/>
      <c r="E88" s="456"/>
      <c r="I88"/>
      <c r="J88"/>
      <c r="K88"/>
      <c r="M88"/>
      <c r="N88"/>
    </row>
    <row r="89" spans="3:14" ht="15.75" x14ac:dyDescent="0.25">
      <c r="C89" s="116"/>
      <c r="D89" s="233"/>
      <c r="E89" s="456"/>
      <c r="I89"/>
      <c r="J89"/>
      <c r="K89"/>
      <c r="M89"/>
      <c r="N89"/>
    </row>
    <row r="90" spans="3:14" ht="15.75" x14ac:dyDescent="0.25">
      <c r="C90" s="116"/>
      <c r="D90" s="233"/>
      <c r="E90" s="456"/>
      <c r="I90"/>
      <c r="J90"/>
      <c r="K90"/>
      <c r="M90"/>
      <c r="N90"/>
    </row>
    <row r="91" spans="3:14" ht="15.75" x14ac:dyDescent="0.25">
      <c r="C91" s="116"/>
      <c r="D91" s="233"/>
      <c r="E91" s="456"/>
      <c r="I91"/>
      <c r="J91"/>
      <c r="K91"/>
      <c r="M91"/>
      <c r="N91"/>
    </row>
    <row r="92" spans="3:14" ht="15.75" x14ac:dyDescent="0.25">
      <c r="C92" s="116"/>
      <c r="D92" s="233"/>
      <c r="E92" s="456"/>
      <c r="I92"/>
      <c r="J92"/>
      <c r="K92"/>
      <c r="M92"/>
      <c r="N92"/>
    </row>
    <row r="93" spans="3:14" ht="15.75" x14ac:dyDescent="0.25">
      <c r="C93" s="116"/>
      <c r="D93" s="233"/>
      <c r="E93" s="456"/>
      <c r="I93"/>
      <c r="J93"/>
      <c r="K93"/>
      <c r="M93"/>
      <c r="N93"/>
    </row>
    <row r="94" spans="3:14" ht="15.75" x14ac:dyDescent="0.25">
      <c r="C94" s="116"/>
      <c r="D94" s="233"/>
      <c r="E94" s="456"/>
      <c r="I94"/>
      <c r="J94"/>
      <c r="K94"/>
      <c r="M94"/>
      <c r="N94"/>
    </row>
    <row r="95" spans="3:14" ht="15.75" x14ac:dyDescent="0.25">
      <c r="C95" s="116"/>
      <c r="D95" s="233"/>
      <c r="E95" s="456"/>
      <c r="I95"/>
      <c r="J95"/>
      <c r="K95"/>
      <c r="M95"/>
      <c r="N95"/>
    </row>
    <row r="96" spans="3:14" ht="15.75" x14ac:dyDescent="0.25">
      <c r="C96" s="116"/>
      <c r="D96" s="233"/>
      <c r="E96" s="456"/>
      <c r="I96"/>
      <c r="J96"/>
      <c r="K96"/>
      <c r="M96"/>
      <c r="N96"/>
    </row>
    <row r="97" spans="3:14" x14ac:dyDescent="0.25">
      <c r="C97" s="116"/>
      <c r="D97" s="129"/>
      <c r="E97" s="456"/>
      <c r="I97"/>
      <c r="J97"/>
      <c r="K97"/>
      <c r="M97"/>
      <c r="N97"/>
    </row>
    <row r="98" spans="3:14" x14ac:dyDescent="0.25">
      <c r="C98" s="116"/>
      <c r="D98" s="129"/>
      <c r="E98" s="456"/>
      <c r="I98"/>
      <c r="J98"/>
      <c r="K98"/>
      <c r="M98"/>
      <c r="N98"/>
    </row>
    <row r="99" spans="3:14" x14ac:dyDescent="0.25">
      <c r="C99" s="116"/>
      <c r="D99" s="129"/>
      <c r="E99" s="456"/>
      <c r="I99"/>
      <c r="J99"/>
      <c r="K99"/>
      <c r="M99"/>
      <c r="N99"/>
    </row>
    <row r="100" spans="3:14" x14ac:dyDescent="0.25">
      <c r="C100" s="116"/>
      <c r="D100" s="129"/>
      <c r="E100" s="456"/>
      <c r="I100"/>
      <c r="J100"/>
      <c r="K100"/>
      <c r="M100"/>
      <c r="N100"/>
    </row>
    <row r="101" spans="3:14" x14ac:dyDescent="0.25">
      <c r="C101" s="116"/>
      <c r="D101" s="129"/>
      <c r="E101" s="456"/>
      <c r="I101"/>
      <c r="J101"/>
      <c r="K101"/>
      <c r="M101"/>
      <c r="N101"/>
    </row>
    <row r="102" spans="3:14" x14ac:dyDescent="0.25">
      <c r="C102" s="116"/>
      <c r="E102" s="456"/>
      <c r="I102"/>
      <c r="J102"/>
      <c r="K102"/>
      <c r="M102"/>
      <c r="N102"/>
    </row>
    <row r="103" spans="3:14" x14ac:dyDescent="0.25">
      <c r="C103" s="116"/>
      <c r="E103" s="456"/>
      <c r="I103"/>
      <c r="J103"/>
      <c r="K103"/>
      <c r="M103"/>
      <c r="N103"/>
    </row>
    <row r="104" spans="3:14" x14ac:dyDescent="0.25">
      <c r="C104" s="116"/>
      <c r="E104" s="456"/>
      <c r="I104"/>
      <c r="J104"/>
      <c r="K104"/>
      <c r="M104"/>
      <c r="N104"/>
    </row>
    <row r="105" spans="3:14" x14ac:dyDescent="0.25">
      <c r="C105" s="116"/>
      <c r="E105" s="456"/>
      <c r="I105"/>
      <c r="J105"/>
      <c r="K105"/>
      <c r="M105"/>
      <c r="N105"/>
    </row>
    <row r="106" spans="3:14" x14ac:dyDescent="0.25">
      <c r="C106" s="116"/>
      <c r="E106" s="456"/>
      <c r="I106"/>
      <c r="J106"/>
      <c r="K106"/>
      <c r="M106"/>
      <c r="N106"/>
    </row>
    <row r="107" spans="3:14" x14ac:dyDescent="0.25">
      <c r="C107" s="116"/>
      <c r="E107" s="456"/>
      <c r="I107"/>
      <c r="J107"/>
      <c r="K107"/>
      <c r="M107"/>
      <c r="N107"/>
    </row>
    <row r="108" spans="3:14" x14ac:dyDescent="0.25">
      <c r="C108" s="116"/>
      <c r="E108" s="456"/>
      <c r="I108"/>
      <c r="J108"/>
      <c r="K108"/>
      <c r="M108"/>
      <c r="N108"/>
    </row>
    <row r="109" spans="3:14" x14ac:dyDescent="0.25">
      <c r="C109" s="116"/>
      <c r="E109" s="456"/>
      <c r="I109"/>
      <c r="J109"/>
      <c r="K109"/>
      <c r="M109"/>
      <c r="N109"/>
    </row>
    <row r="110" spans="3:14" x14ac:dyDescent="0.25">
      <c r="C110" s="116"/>
      <c r="E110" s="456"/>
      <c r="I110"/>
      <c r="J110"/>
      <c r="K110"/>
      <c r="M110"/>
      <c r="N110"/>
    </row>
    <row r="111" spans="3:14" x14ac:dyDescent="0.25">
      <c r="C111" s="116"/>
      <c r="E111" s="456"/>
      <c r="I111"/>
      <c r="J111"/>
      <c r="K111"/>
      <c r="M111"/>
      <c r="N111"/>
    </row>
    <row r="112" spans="3:14" x14ac:dyDescent="0.25">
      <c r="C112" s="116"/>
      <c r="E112" s="456"/>
      <c r="I112"/>
      <c r="J112"/>
      <c r="K112"/>
      <c r="M112"/>
      <c r="N112"/>
    </row>
    <row r="113" spans="3:14" x14ac:dyDescent="0.25">
      <c r="C113" s="116"/>
      <c r="E113" s="456"/>
      <c r="I113"/>
      <c r="J113"/>
      <c r="K113"/>
      <c r="M113"/>
      <c r="N113"/>
    </row>
    <row r="114" spans="3:14" x14ac:dyDescent="0.25">
      <c r="C114" s="116"/>
      <c r="E114" s="456"/>
      <c r="I114"/>
      <c r="J114"/>
      <c r="K114"/>
      <c r="M114"/>
      <c r="N114"/>
    </row>
    <row r="115" spans="3:14" x14ac:dyDescent="0.25">
      <c r="C115" s="116"/>
      <c r="E115" s="456"/>
      <c r="I115"/>
      <c r="J115"/>
      <c r="K115"/>
      <c r="M115"/>
      <c r="N115"/>
    </row>
    <row r="116" spans="3:14" x14ac:dyDescent="0.25">
      <c r="C116" s="116"/>
      <c r="E116" s="456"/>
      <c r="I116"/>
      <c r="J116"/>
      <c r="K116"/>
      <c r="M116"/>
      <c r="N116"/>
    </row>
    <row r="117" spans="3:14" x14ac:dyDescent="0.25">
      <c r="C117" s="116"/>
      <c r="E117" s="456"/>
      <c r="I117"/>
      <c r="J117"/>
      <c r="K117"/>
      <c r="M117"/>
      <c r="N117"/>
    </row>
    <row r="118" spans="3:14" x14ac:dyDescent="0.25">
      <c r="C118" s="116"/>
      <c r="E118" s="456"/>
      <c r="I118"/>
      <c r="J118"/>
      <c r="K118"/>
      <c r="M118"/>
      <c r="N118"/>
    </row>
    <row r="119" spans="3:14" x14ac:dyDescent="0.25">
      <c r="C119" s="116"/>
      <c r="E119" s="456"/>
      <c r="I119"/>
      <c r="J119"/>
      <c r="K119"/>
      <c r="M119"/>
      <c r="N119"/>
    </row>
    <row r="120" spans="3:14" x14ac:dyDescent="0.25">
      <c r="C120" s="116"/>
      <c r="E120" s="456"/>
      <c r="I120"/>
      <c r="J120"/>
      <c r="K120"/>
      <c r="M120"/>
      <c r="N120"/>
    </row>
    <row r="121" spans="3:14" x14ac:dyDescent="0.25">
      <c r="C121" s="116"/>
      <c r="E121" s="456"/>
      <c r="I121"/>
      <c r="J121"/>
      <c r="K121"/>
      <c r="M121"/>
      <c r="N121"/>
    </row>
    <row r="122" spans="3:14" x14ac:dyDescent="0.25">
      <c r="C122" s="116"/>
      <c r="E122" s="456"/>
      <c r="I122"/>
      <c r="J122"/>
      <c r="K122"/>
      <c r="M122"/>
      <c r="N122"/>
    </row>
    <row r="123" spans="3:14" x14ac:dyDescent="0.25">
      <c r="C123" s="116"/>
      <c r="E123" s="456"/>
      <c r="I123"/>
      <c r="J123"/>
      <c r="K123"/>
      <c r="M123"/>
      <c r="N123"/>
    </row>
  </sheetData>
  <mergeCells count="3">
    <mergeCell ref="I40:J42"/>
    <mergeCell ref="I67:J68"/>
    <mergeCell ref="G68:G69"/>
  </mergeCells>
  <pageMargins left="0.25" right="0.25" top="0.75" bottom="0.75" header="0.3" footer="0.3"/>
  <pageSetup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CFF66"/>
  </sheetPr>
  <dimension ref="A1:R97"/>
  <sheetViews>
    <sheetView tabSelected="1" topLeftCell="D1" workbookViewId="0">
      <selection activeCell="Q8" sqref="Q8"/>
    </sheetView>
  </sheetViews>
  <sheetFormatPr baseColWidth="10" defaultRowHeight="15.75" x14ac:dyDescent="0.25"/>
  <cols>
    <col min="1" max="1" width="11" customWidth="1"/>
    <col min="2" max="2" width="12.42578125" style="551" customWidth="1"/>
    <col min="3" max="3" width="15.5703125" style="4" bestFit="1" customWidth="1"/>
    <col min="4" max="4" width="15.28515625" customWidth="1"/>
    <col min="5" max="5" width="11.42578125" style="552"/>
    <col min="6" max="6" width="15.28515625" style="4" customWidth="1"/>
    <col min="7" max="7" width="1.85546875" style="552" customWidth="1"/>
    <col min="8" max="8" width="11.85546875" style="552" customWidth="1"/>
    <col min="9" max="9" width="15.7109375" style="4" customWidth="1"/>
    <col min="10" max="10" width="11.7109375" style="12" customWidth="1"/>
    <col min="11" max="11" width="14.42578125" style="561" customWidth="1"/>
    <col min="12" max="12" width="14.5703125" style="3" customWidth="1"/>
    <col min="13" max="13" width="17.85546875" style="4" customWidth="1"/>
    <col min="14" max="14" width="17.5703125" style="1" bestFit="1" customWidth="1"/>
    <col min="15" max="15" width="8.85546875" style="176" bestFit="1" customWidth="1"/>
    <col min="16" max="16" width="16.85546875" customWidth="1"/>
    <col min="17" max="17" width="21.28515625" style="225" customWidth="1"/>
    <col min="18" max="18" width="15.28515625" style="227" customWidth="1"/>
  </cols>
  <sheetData>
    <row r="1" spans="1:18" ht="23.25" x14ac:dyDescent="0.35">
      <c r="B1" s="826"/>
      <c r="C1" s="892" t="s">
        <v>1378</v>
      </c>
      <c r="D1" s="893"/>
      <c r="E1" s="893"/>
      <c r="F1" s="893"/>
      <c r="G1" s="893"/>
      <c r="H1" s="893"/>
      <c r="I1" s="893"/>
      <c r="J1" s="893"/>
      <c r="K1" s="893"/>
      <c r="L1" s="893"/>
      <c r="M1" s="893"/>
    </row>
    <row r="2" spans="1:18" ht="16.5" thickBot="1" x14ac:dyDescent="0.3">
      <c r="B2" s="827"/>
      <c r="C2" s="3"/>
      <c r="H2" s="5"/>
      <c r="I2" s="6"/>
      <c r="J2" s="7"/>
      <c r="L2" s="8"/>
      <c r="M2" s="6"/>
      <c r="N2" s="9"/>
    </row>
    <row r="3" spans="1:18" ht="21.75" thickBot="1" x14ac:dyDescent="0.35">
      <c r="B3" s="830" t="s">
        <v>0</v>
      </c>
      <c r="C3" s="831"/>
      <c r="D3" s="10"/>
      <c r="E3" s="553"/>
      <c r="F3" s="11"/>
      <c r="H3" s="832" t="s">
        <v>26</v>
      </c>
      <c r="I3" s="832"/>
      <c r="K3" s="165"/>
      <c r="L3" s="13"/>
      <c r="M3" s="14"/>
      <c r="P3" s="869" t="s">
        <v>6</v>
      </c>
      <c r="R3" s="890" t="s">
        <v>216</v>
      </c>
    </row>
    <row r="4" spans="1:18" ht="32.25" thickTop="1" thickBot="1" x14ac:dyDescent="0.35">
      <c r="A4" s="15" t="s">
        <v>1</v>
      </c>
      <c r="B4" s="16"/>
      <c r="C4" s="17">
        <v>3773503.4</v>
      </c>
      <c r="D4" s="18">
        <v>44836</v>
      </c>
      <c r="E4" s="833" t="s">
        <v>2</v>
      </c>
      <c r="F4" s="834"/>
      <c r="H4" s="835" t="s">
        <v>3</v>
      </c>
      <c r="I4" s="836"/>
      <c r="J4" s="556"/>
      <c r="K4" s="562"/>
      <c r="L4" s="563"/>
      <c r="M4" s="21" t="s">
        <v>4</v>
      </c>
      <c r="N4" s="22" t="s">
        <v>5</v>
      </c>
      <c r="P4" s="870"/>
      <c r="Q4" s="322" t="s">
        <v>217</v>
      </c>
      <c r="R4" s="891"/>
    </row>
    <row r="5" spans="1:18" ht="18" thickBot="1" x14ac:dyDescent="0.35">
      <c r="A5" s="23" t="s">
        <v>7</v>
      </c>
      <c r="B5" s="24">
        <v>44837</v>
      </c>
      <c r="C5" s="25">
        <v>10621</v>
      </c>
      <c r="D5" s="26" t="s">
        <v>1379</v>
      </c>
      <c r="E5" s="27">
        <v>44837</v>
      </c>
      <c r="F5" s="28">
        <v>177072</v>
      </c>
      <c r="G5" s="572"/>
      <c r="H5" s="29">
        <v>44837</v>
      </c>
      <c r="I5" s="30">
        <v>2133</v>
      </c>
      <c r="J5" s="37">
        <v>44837</v>
      </c>
      <c r="K5" s="31" t="s">
        <v>1380</v>
      </c>
      <c r="L5" s="9">
        <v>9674</v>
      </c>
      <c r="M5" s="32">
        <f>14500+23884.2+71222</f>
        <v>109606.2</v>
      </c>
      <c r="N5" s="33">
        <v>45038</v>
      </c>
      <c r="O5" s="176" t="s">
        <v>937</v>
      </c>
      <c r="P5" s="34">
        <f>N5+M5+L5+I5+C5</f>
        <v>177072.2</v>
      </c>
      <c r="Q5" s="325">
        <f>P5-F5</f>
        <v>0.20000000001164153</v>
      </c>
      <c r="R5" s="379">
        <v>0</v>
      </c>
    </row>
    <row r="6" spans="1:18" ht="18" thickBot="1" x14ac:dyDescent="0.35">
      <c r="A6" s="23"/>
      <c r="B6" s="24">
        <v>44838</v>
      </c>
      <c r="C6" s="25">
        <v>25523</v>
      </c>
      <c r="D6" s="35" t="s">
        <v>1381</v>
      </c>
      <c r="E6" s="27">
        <v>44838</v>
      </c>
      <c r="F6" s="28">
        <v>139649</v>
      </c>
      <c r="G6" s="572"/>
      <c r="H6" s="29">
        <v>44838</v>
      </c>
      <c r="I6" s="30">
        <v>1352</v>
      </c>
      <c r="J6" s="37"/>
      <c r="K6" s="38"/>
      <c r="L6" s="39"/>
      <c r="M6" s="32">
        <f>49691+19668.6</f>
        <v>69359.600000000006</v>
      </c>
      <c r="N6" s="33">
        <v>43414</v>
      </c>
      <c r="O6" s="176" t="s">
        <v>937</v>
      </c>
      <c r="P6" s="39">
        <f>N6+M6+L6+I6+C6</f>
        <v>139648.6</v>
      </c>
      <c r="Q6" s="325">
        <f t="shared" ref="Q6:Q40" si="0">P6-F6</f>
        <v>-0.39999999999417923</v>
      </c>
      <c r="R6" s="319">
        <v>0</v>
      </c>
    </row>
    <row r="7" spans="1:18" ht="18" thickBot="1" x14ac:dyDescent="0.35">
      <c r="A7" s="23"/>
      <c r="B7" s="24">
        <v>44839</v>
      </c>
      <c r="C7" s="25">
        <v>29776</v>
      </c>
      <c r="D7" s="40" t="s">
        <v>1382</v>
      </c>
      <c r="E7" s="27">
        <v>44839</v>
      </c>
      <c r="F7" s="28">
        <v>143376</v>
      </c>
      <c r="G7" s="572"/>
      <c r="H7" s="29">
        <v>44839</v>
      </c>
      <c r="I7" s="30">
        <v>6147</v>
      </c>
      <c r="J7" s="37"/>
      <c r="K7" s="38"/>
      <c r="L7" s="39"/>
      <c r="M7" s="32">
        <f>77200+32243</f>
        <v>109443</v>
      </c>
      <c r="N7" s="33">
        <v>34322</v>
      </c>
      <c r="O7" s="176" t="s">
        <v>937</v>
      </c>
      <c r="P7" s="39">
        <f>N7+M7+L7+I7+C7</f>
        <v>179688</v>
      </c>
      <c r="Q7" s="325">
        <v>0</v>
      </c>
      <c r="R7" s="319">
        <v>0</v>
      </c>
    </row>
    <row r="8" spans="1:18" ht="18" thickBot="1" x14ac:dyDescent="0.35">
      <c r="A8" s="23"/>
      <c r="B8" s="24">
        <v>44840</v>
      </c>
      <c r="C8" s="25">
        <v>9121.5</v>
      </c>
      <c r="D8" s="42" t="s">
        <v>1383</v>
      </c>
      <c r="E8" s="27">
        <v>44840</v>
      </c>
      <c r="F8" s="28">
        <v>111729</v>
      </c>
      <c r="G8" s="572"/>
      <c r="H8" s="29">
        <v>44840</v>
      </c>
      <c r="I8" s="30">
        <v>1250</v>
      </c>
      <c r="J8" s="43"/>
      <c r="K8" s="38"/>
      <c r="L8" s="39"/>
      <c r="M8" s="32">
        <f>72500+2464</f>
        <v>74964</v>
      </c>
      <c r="N8" s="33">
        <v>26399</v>
      </c>
      <c r="O8" s="176" t="s">
        <v>937</v>
      </c>
      <c r="P8" s="39">
        <f t="shared" ref="P8:P39" si="1">N8+M8+L8+I8+C8</f>
        <v>111734.5</v>
      </c>
      <c r="Q8" s="325">
        <f t="shared" si="0"/>
        <v>5.5</v>
      </c>
      <c r="R8" s="319">
        <v>0</v>
      </c>
    </row>
    <row r="9" spans="1:18" ht="18" thickBot="1" x14ac:dyDescent="0.35">
      <c r="A9" s="23"/>
      <c r="B9" s="24">
        <v>44841</v>
      </c>
      <c r="C9" s="25"/>
      <c r="D9" s="42"/>
      <c r="E9" s="27">
        <v>44841</v>
      </c>
      <c r="F9" s="28"/>
      <c r="G9" s="572"/>
      <c r="H9" s="29">
        <v>44841</v>
      </c>
      <c r="I9" s="30"/>
      <c r="J9" s="37" t="s">
        <v>7</v>
      </c>
      <c r="K9" s="223"/>
      <c r="L9" s="39"/>
      <c r="M9" s="32">
        <v>0</v>
      </c>
      <c r="N9" s="33">
        <v>0</v>
      </c>
      <c r="P9" s="39">
        <f t="shared" si="1"/>
        <v>0</v>
      </c>
      <c r="Q9" s="325">
        <f t="shared" si="0"/>
        <v>0</v>
      </c>
      <c r="R9" s="319">
        <v>0</v>
      </c>
    </row>
    <row r="10" spans="1:18" ht="18" thickBot="1" x14ac:dyDescent="0.35">
      <c r="A10" s="23"/>
      <c r="B10" s="24">
        <v>44842</v>
      </c>
      <c r="C10" s="25"/>
      <c r="D10" s="40"/>
      <c r="E10" s="27">
        <v>44842</v>
      </c>
      <c r="F10" s="28"/>
      <c r="G10" s="572"/>
      <c r="H10" s="29">
        <v>44842</v>
      </c>
      <c r="I10" s="30"/>
      <c r="J10" s="37"/>
      <c r="K10" s="167"/>
      <c r="L10" s="45"/>
      <c r="M10" s="32">
        <v>0</v>
      </c>
      <c r="N10" s="33">
        <v>0</v>
      </c>
      <c r="P10" s="39">
        <f>N10+M10+L10+I10+C10</f>
        <v>0</v>
      </c>
      <c r="Q10" s="325">
        <f t="shared" si="0"/>
        <v>0</v>
      </c>
      <c r="R10" s="319">
        <v>0</v>
      </c>
    </row>
    <row r="11" spans="1:18" ht="18" thickBot="1" x14ac:dyDescent="0.35">
      <c r="A11" s="23"/>
      <c r="B11" s="24">
        <v>44843</v>
      </c>
      <c r="C11" s="25"/>
      <c r="D11" s="35"/>
      <c r="E11" s="27">
        <v>44843</v>
      </c>
      <c r="F11" s="28"/>
      <c r="G11" s="572"/>
      <c r="H11" s="29">
        <v>44843</v>
      </c>
      <c r="I11" s="30"/>
      <c r="J11" s="43"/>
      <c r="K11" s="168"/>
      <c r="L11" s="39"/>
      <c r="M11" s="32">
        <v>0</v>
      </c>
      <c r="N11" s="33">
        <v>0</v>
      </c>
      <c r="P11" s="39">
        <f t="shared" si="1"/>
        <v>0</v>
      </c>
      <c r="Q11" s="325">
        <f t="shared" si="0"/>
        <v>0</v>
      </c>
      <c r="R11" s="319">
        <v>0</v>
      </c>
    </row>
    <row r="12" spans="1:18" ht="18" thickBot="1" x14ac:dyDescent="0.35">
      <c r="A12" s="23"/>
      <c r="B12" s="24">
        <v>44844</v>
      </c>
      <c r="C12" s="25"/>
      <c r="D12" s="35"/>
      <c r="E12" s="27">
        <v>44844</v>
      </c>
      <c r="F12" s="28"/>
      <c r="G12" s="572"/>
      <c r="H12" s="29">
        <v>44844</v>
      </c>
      <c r="I12" s="30"/>
      <c r="J12" s="37"/>
      <c r="K12" s="169"/>
      <c r="L12" s="39"/>
      <c r="M12" s="32">
        <v>0</v>
      </c>
      <c r="N12" s="33">
        <v>0</v>
      </c>
      <c r="P12" s="39">
        <f t="shared" si="1"/>
        <v>0</v>
      </c>
      <c r="Q12" s="325">
        <f t="shared" si="0"/>
        <v>0</v>
      </c>
      <c r="R12" s="319">
        <v>0</v>
      </c>
    </row>
    <row r="13" spans="1:18" ht="18" thickBot="1" x14ac:dyDescent="0.35">
      <c r="A13" s="23"/>
      <c r="B13" s="24">
        <v>44845</v>
      </c>
      <c r="C13" s="25"/>
      <c r="D13" s="42"/>
      <c r="E13" s="27">
        <v>44845</v>
      </c>
      <c r="F13" s="28"/>
      <c r="G13" s="572"/>
      <c r="H13" s="29">
        <v>44845</v>
      </c>
      <c r="I13" s="30"/>
      <c r="J13" s="37"/>
      <c r="K13" s="38"/>
      <c r="L13" s="39"/>
      <c r="M13" s="32">
        <v>0</v>
      </c>
      <c r="N13" s="33">
        <v>0</v>
      </c>
      <c r="P13" s="39">
        <f>N13+M13+L13+I13+C13</f>
        <v>0</v>
      </c>
      <c r="Q13" s="325">
        <f t="shared" si="0"/>
        <v>0</v>
      </c>
      <c r="R13" s="319">
        <v>0</v>
      </c>
    </row>
    <row r="14" spans="1:18" ht="18" thickBot="1" x14ac:dyDescent="0.35">
      <c r="A14" s="23"/>
      <c r="B14" s="24">
        <v>44846</v>
      </c>
      <c r="C14" s="25"/>
      <c r="D14" s="40"/>
      <c r="E14" s="27">
        <v>44846</v>
      </c>
      <c r="F14" s="28"/>
      <c r="G14" s="572"/>
      <c r="H14" s="29">
        <v>44846</v>
      </c>
      <c r="I14" s="30"/>
      <c r="J14" s="37"/>
      <c r="K14" s="38"/>
      <c r="L14" s="39"/>
      <c r="M14" s="32">
        <v>0</v>
      </c>
      <c r="N14" s="33">
        <v>0</v>
      </c>
      <c r="P14" s="39">
        <f t="shared" si="1"/>
        <v>0</v>
      </c>
      <c r="Q14" s="325">
        <f t="shared" si="0"/>
        <v>0</v>
      </c>
      <c r="R14" s="319">
        <v>0</v>
      </c>
    </row>
    <row r="15" spans="1:18" ht="18" thickBot="1" x14ac:dyDescent="0.35">
      <c r="A15" s="23"/>
      <c r="B15" s="24">
        <v>44847</v>
      </c>
      <c r="C15" s="25"/>
      <c r="D15" s="40"/>
      <c r="E15" s="27">
        <v>44847</v>
      </c>
      <c r="F15" s="28"/>
      <c r="G15" s="572"/>
      <c r="H15" s="29">
        <v>44847</v>
      </c>
      <c r="I15" s="30"/>
      <c r="J15" s="37"/>
      <c r="K15" s="38"/>
      <c r="L15" s="39"/>
      <c r="M15" s="32">
        <v>0</v>
      </c>
      <c r="N15" s="33">
        <v>0</v>
      </c>
      <c r="P15" s="39">
        <f t="shared" si="1"/>
        <v>0</v>
      </c>
      <c r="Q15" s="325">
        <f t="shared" si="0"/>
        <v>0</v>
      </c>
      <c r="R15" s="319">
        <v>0</v>
      </c>
    </row>
    <row r="16" spans="1:18" ht="18" thickBot="1" x14ac:dyDescent="0.35">
      <c r="A16" s="23"/>
      <c r="B16" s="24">
        <v>44848</v>
      </c>
      <c r="C16" s="25"/>
      <c r="D16" s="35"/>
      <c r="E16" s="27">
        <v>44848</v>
      </c>
      <c r="F16" s="28"/>
      <c r="G16" s="572"/>
      <c r="H16" s="29">
        <v>44848</v>
      </c>
      <c r="I16" s="30"/>
      <c r="J16" s="37"/>
      <c r="K16" s="169"/>
      <c r="L16" s="9"/>
      <c r="M16" s="32">
        <v>0</v>
      </c>
      <c r="N16" s="33">
        <v>0</v>
      </c>
      <c r="P16" s="39">
        <f t="shared" si="1"/>
        <v>0</v>
      </c>
      <c r="Q16" s="325">
        <f t="shared" si="0"/>
        <v>0</v>
      </c>
      <c r="R16" s="319">
        <v>0</v>
      </c>
    </row>
    <row r="17" spans="1:18" ht="18" thickBot="1" x14ac:dyDescent="0.35">
      <c r="A17" s="23"/>
      <c r="B17" s="24">
        <v>44849</v>
      </c>
      <c r="C17" s="25"/>
      <c r="D17" s="42"/>
      <c r="E17" s="27">
        <v>44849</v>
      </c>
      <c r="F17" s="28"/>
      <c r="G17" s="572"/>
      <c r="H17" s="29">
        <v>44849</v>
      </c>
      <c r="I17" s="30"/>
      <c r="J17" s="37"/>
      <c r="K17" s="38"/>
      <c r="L17" s="45"/>
      <c r="M17" s="32">
        <v>0</v>
      </c>
      <c r="N17" s="33">
        <v>0</v>
      </c>
      <c r="P17" s="39">
        <f t="shared" si="1"/>
        <v>0</v>
      </c>
      <c r="Q17" s="325">
        <f t="shared" si="0"/>
        <v>0</v>
      </c>
      <c r="R17" s="319">
        <v>0</v>
      </c>
    </row>
    <row r="18" spans="1:18" ht="18" thickBot="1" x14ac:dyDescent="0.35">
      <c r="A18" s="23"/>
      <c r="B18" s="24">
        <v>44850</v>
      </c>
      <c r="C18" s="25"/>
      <c r="D18" s="35"/>
      <c r="E18" s="27">
        <v>44850</v>
      </c>
      <c r="F18" s="28"/>
      <c r="G18" s="572"/>
      <c r="H18" s="29">
        <v>44850</v>
      </c>
      <c r="I18" s="30"/>
      <c r="J18" s="37"/>
      <c r="K18" s="564"/>
      <c r="L18" s="39"/>
      <c r="M18" s="32">
        <v>0</v>
      </c>
      <c r="N18" s="33">
        <v>0</v>
      </c>
      <c r="P18" s="39">
        <f t="shared" si="1"/>
        <v>0</v>
      </c>
      <c r="Q18" s="325">
        <f t="shared" si="0"/>
        <v>0</v>
      </c>
      <c r="R18" s="319">
        <v>0</v>
      </c>
    </row>
    <row r="19" spans="1:18" ht="18" customHeight="1" thickBot="1" x14ac:dyDescent="0.35">
      <c r="A19" s="23"/>
      <c r="B19" s="24">
        <v>44851</v>
      </c>
      <c r="C19" s="25"/>
      <c r="D19" s="35"/>
      <c r="E19" s="27">
        <v>44851</v>
      </c>
      <c r="F19" s="28"/>
      <c r="G19" s="572"/>
      <c r="H19" s="29">
        <v>44851</v>
      </c>
      <c r="I19" s="30"/>
      <c r="J19" s="37"/>
      <c r="K19" s="46"/>
      <c r="L19" s="47"/>
      <c r="M19" s="32">
        <v>0</v>
      </c>
      <c r="N19" s="33">
        <v>0</v>
      </c>
      <c r="P19" s="39">
        <f t="shared" si="1"/>
        <v>0</v>
      </c>
      <c r="Q19" s="325">
        <f t="shared" si="0"/>
        <v>0</v>
      </c>
      <c r="R19" s="319">
        <v>0</v>
      </c>
    </row>
    <row r="20" spans="1:18" ht="18" customHeight="1" thickBot="1" x14ac:dyDescent="0.35">
      <c r="A20" s="23"/>
      <c r="B20" s="24">
        <v>44852</v>
      </c>
      <c r="C20" s="25"/>
      <c r="D20" s="35"/>
      <c r="E20" s="27">
        <v>44852</v>
      </c>
      <c r="F20" s="28"/>
      <c r="G20" s="572"/>
      <c r="H20" s="29">
        <v>44852</v>
      </c>
      <c r="I20" s="30"/>
      <c r="J20" s="37"/>
      <c r="K20" s="171"/>
      <c r="L20" s="45"/>
      <c r="M20" s="32">
        <v>0</v>
      </c>
      <c r="N20" s="33">
        <v>0</v>
      </c>
      <c r="P20" s="39">
        <f t="shared" si="1"/>
        <v>0</v>
      </c>
      <c r="Q20" s="325">
        <f t="shared" si="0"/>
        <v>0</v>
      </c>
      <c r="R20" s="319">
        <v>0</v>
      </c>
    </row>
    <row r="21" spans="1:18" ht="18" thickBot="1" x14ac:dyDescent="0.35">
      <c r="A21" s="23"/>
      <c r="B21" s="24">
        <v>44853</v>
      </c>
      <c r="C21" s="25"/>
      <c r="D21" s="35"/>
      <c r="E21" s="27">
        <v>44853</v>
      </c>
      <c r="F21" s="28"/>
      <c r="G21" s="572"/>
      <c r="H21" s="29">
        <v>44853</v>
      </c>
      <c r="I21" s="30"/>
      <c r="J21" s="37"/>
      <c r="K21" s="565"/>
      <c r="L21" s="45"/>
      <c r="M21" s="32">
        <v>0</v>
      </c>
      <c r="N21" s="33">
        <v>0</v>
      </c>
      <c r="P21" s="39">
        <f t="shared" si="1"/>
        <v>0</v>
      </c>
      <c r="Q21" s="325">
        <f t="shared" si="0"/>
        <v>0</v>
      </c>
      <c r="R21" s="319">
        <v>0</v>
      </c>
    </row>
    <row r="22" spans="1:18" ht="18" thickBot="1" x14ac:dyDescent="0.35">
      <c r="A22" s="23"/>
      <c r="B22" s="24">
        <v>44854</v>
      </c>
      <c r="C22" s="25"/>
      <c r="D22" s="35"/>
      <c r="E22" s="27">
        <v>44854</v>
      </c>
      <c r="F22" s="28"/>
      <c r="G22" s="572"/>
      <c r="H22" s="29">
        <v>44854</v>
      </c>
      <c r="I22" s="30"/>
      <c r="J22" s="37"/>
      <c r="K22" s="773"/>
      <c r="L22" s="49"/>
      <c r="M22" s="32">
        <v>0</v>
      </c>
      <c r="N22" s="33">
        <v>0</v>
      </c>
      <c r="P22" s="39">
        <f t="shared" si="1"/>
        <v>0</v>
      </c>
      <c r="Q22" s="325">
        <f t="shared" si="0"/>
        <v>0</v>
      </c>
      <c r="R22" s="319">
        <v>0</v>
      </c>
    </row>
    <row r="23" spans="1:18" ht="18" customHeight="1" thickBot="1" x14ac:dyDescent="0.35">
      <c r="A23" s="23"/>
      <c r="B23" s="24">
        <v>44855</v>
      </c>
      <c r="C23" s="25"/>
      <c r="D23" s="35"/>
      <c r="E23" s="27">
        <v>44855</v>
      </c>
      <c r="F23" s="28"/>
      <c r="G23" s="572"/>
      <c r="H23" s="29">
        <v>44855</v>
      </c>
      <c r="I23" s="30"/>
      <c r="J23" s="50"/>
      <c r="K23" s="172"/>
      <c r="L23" s="45"/>
      <c r="M23" s="32">
        <v>0</v>
      </c>
      <c r="N23" s="33">
        <v>0</v>
      </c>
      <c r="P23" s="39">
        <f t="shared" si="1"/>
        <v>0</v>
      </c>
      <c r="Q23" s="325">
        <f t="shared" si="0"/>
        <v>0</v>
      </c>
      <c r="R23" s="319">
        <v>0</v>
      </c>
    </row>
    <row r="24" spans="1:18" ht="18" customHeight="1" thickBot="1" x14ac:dyDescent="0.35">
      <c r="A24" s="23"/>
      <c r="B24" s="24">
        <v>44856</v>
      </c>
      <c r="C24" s="25"/>
      <c r="D24" s="42"/>
      <c r="E24" s="27">
        <v>44856</v>
      </c>
      <c r="F24" s="28"/>
      <c r="G24" s="572"/>
      <c r="H24" s="29">
        <v>44856</v>
      </c>
      <c r="I24" s="30"/>
      <c r="J24" s="51"/>
      <c r="K24" s="172"/>
      <c r="L24" s="52"/>
      <c r="M24" s="32">
        <v>0</v>
      </c>
      <c r="N24" s="33">
        <v>0</v>
      </c>
      <c r="P24" s="39">
        <f>N24+M24+L24+I24+C24</f>
        <v>0</v>
      </c>
      <c r="Q24" s="325">
        <f t="shared" si="0"/>
        <v>0</v>
      </c>
      <c r="R24" s="319">
        <v>0</v>
      </c>
    </row>
    <row r="25" spans="1:18" ht="18" thickBot="1" x14ac:dyDescent="0.35">
      <c r="A25" s="23"/>
      <c r="B25" s="24">
        <v>44857</v>
      </c>
      <c r="C25" s="25"/>
      <c r="D25" s="35"/>
      <c r="E25" s="27">
        <v>44857</v>
      </c>
      <c r="F25" s="28"/>
      <c r="G25" s="572"/>
      <c r="H25" s="29">
        <v>44857</v>
      </c>
      <c r="I25" s="30"/>
      <c r="J25" s="50"/>
      <c r="K25" s="38"/>
      <c r="L25" s="54"/>
      <c r="M25" s="32">
        <v>0</v>
      </c>
      <c r="N25" s="33">
        <v>0</v>
      </c>
      <c r="P25" s="283">
        <f t="shared" si="1"/>
        <v>0</v>
      </c>
      <c r="Q25" s="325">
        <f t="shared" si="0"/>
        <v>0</v>
      </c>
      <c r="R25" s="319">
        <v>0</v>
      </c>
    </row>
    <row r="26" spans="1:18" ht="18" thickBot="1" x14ac:dyDescent="0.35">
      <c r="A26" s="23"/>
      <c r="B26" s="24">
        <v>44858</v>
      </c>
      <c r="C26" s="25"/>
      <c r="D26" s="35"/>
      <c r="E26" s="27">
        <v>44858</v>
      </c>
      <c r="F26" s="28"/>
      <c r="G26" s="572"/>
      <c r="H26" s="29">
        <v>44858</v>
      </c>
      <c r="I26" s="30"/>
      <c r="J26" s="37"/>
      <c r="K26" s="728"/>
      <c r="L26" s="729"/>
      <c r="M26" s="32">
        <v>0</v>
      </c>
      <c r="N26" s="33">
        <v>0</v>
      </c>
      <c r="P26" s="283">
        <f t="shared" si="1"/>
        <v>0</v>
      </c>
      <c r="Q26" s="325">
        <f t="shared" si="0"/>
        <v>0</v>
      </c>
      <c r="R26" s="319">
        <v>0</v>
      </c>
    </row>
    <row r="27" spans="1:18" ht="18" customHeight="1" thickBot="1" x14ac:dyDescent="0.35">
      <c r="A27" s="23"/>
      <c r="B27" s="24">
        <v>44859</v>
      </c>
      <c r="C27" s="25"/>
      <c r="D27" s="42"/>
      <c r="E27" s="27">
        <v>44859</v>
      </c>
      <c r="F27" s="28"/>
      <c r="G27" s="572"/>
      <c r="H27" s="29">
        <v>44859</v>
      </c>
      <c r="I27" s="30"/>
      <c r="J27" s="55"/>
      <c r="K27" s="174"/>
      <c r="L27" s="54"/>
      <c r="M27" s="32">
        <v>0</v>
      </c>
      <c r="N27" s="33">
        <v>0</v>
      </c>
      <c r="P27" s="283">
        <f t="shared" si="1"/>
        <v>0</v>
      </c>
      <c r="Q27" s="325">
        <f t="shared" si="0"/>
        <v>0</v>
      </c>
      <c r="R27" s="319">
        <v>0</v>
      </c>
    </row>
    <row r="28" spans="1:18" ht="18" customHeight="1" thickBot="1" x14ac:dyDescent="0.35">
      <c r="A28" s="23"/>
      <c r="B28" s="24">
        <v>44860</v>
      </c>
      <c r="C28" s="25"/>
      <c r="D28" s="42"/>
      <c r="E28" s="27">
        <v>44860</v>
      </c>
      <c r="F28" s="28"/>
      <c r="G28" s="572"/>
      <c r="H28" s="29">
        <v>44860</v>
      </c>
      <c r="I28" s="30"/>
      <c r="J28" s="56"/>
      <c r="K28" s="57"/>
      <c r="L28" s="54"/>
      <c r="M28" s="32">
        <v>0</v>
      </c>
      <c r="N28" s="33">
        <v>0</v>
      </c>
      <c r="P28" s="283">
        <f t="shared" si="1"/>
        <v>0</v>
      </c>
      <c r="Q28" s="325">
        <f t="shared" si="0"/>
        <v>0</v>
      </c>
      <c r="R28" s="319">
        <v>0</v>
      </c>
    </row>
    <row r="29" spans="1:18" ht="18" thickBot="1" x14ac:dyDescent="0.35">
      <c r="A29" s="23"/>
      <c r="B29" s="24">
        <v>44861</v>
      </c>
      <c r="C29" s="25"/>
      <c r="D29" s="58"/>
      <c r="E29" s="27">
        <v>44861</v>
      </c>
      <c r="F29" s="28"/>
      <c r="G29" s="572"/>
      <c r="H29" s="29">
        <v>44861</v>
      </c>
      <c r="I29" s="30"/>
      <c r="J29" s="59"/>
      <c r="K29" s="175"/>
      <c r="L29" s="54"/>
      <c r="M29" s="32">
        <v>0</v>
      </c>
      <c r="N29" s="33">
        <v>0</v>
      </c>
      <c r="P29" s="283">
        <f t="shared" si="1"/>
        <v>0</v>
      </c>
      <c r="Q29" s="325">
        <f t="shared" si="0"/>
        <v>0</v>
      </c>
      <c r="R29" s="319">
        <v>0</v>
      </c>
    </row>
    <row r="30" spans="1:18" ht="18" thickBot="1" x14ac:dyDescent="0.35">
      <c r="A30" s="23"/>
      <c r="B30" s="24">
        <v>44862</v>
      </c>
      <c r="C30" s="25"/>
      <c r="D30" s="58"/>
      <c r="E30" s="27">
        <v>44862</v>
      </c>
      <c r="F30" s="28"/>
      <c r="G30" s="572"/>
      <c r="H30" s="29">
        <v>44862</v>
      </c>
      <c r="I30" s="30"/>
      <c r="J30" s="56"/>
      <c r="K30" s="38"/>
      <c r="L30" s="39"/>
      <c r="M30" s="32">
        <v>0</v>
      </c>
      <c r="N30" s="33">
        <v>0</v>
      </c>
      <c r="P30" s="283">
        <f t="shared" si="1"/>
        <v>0</v>
      </c>
      <c r="Q30" s="325">
        <f t="shared" si="0"/>
        <v>0</v>
      </c>
      <c r="R30" s="319">
        <v>0</v>
      </c>
    </row>
    <row r="31" spans="1:18" ht="18" thickBot="1" x14ac:dyDescent="0.35">
      <c r="A31" s="23"/>
      <c r="B31" s="24">
        <v>44863</v>
      </c>
      <c r="C31" s="25"/>
      <c r="D31" s="67"/>
      <c r="E31" s="27">
        <v>44863</v>
      </c>
      <c r="F31" s="28"/>
      <c r="G31" s="572"/>
      <c r="H31" s="29">
        <v>44863</v>
      </c>
      <c r="I31" s="30"/>
      <c r="J31" s="56"/>
      <c r="K31" s="821"/>
      <c r="L31" s="54"/>
      <c r="M31" s="32">
        <v>0</v>
      </c>
      <c r="N31" s="33">
        <v>0</v>
      </c>
      <c r="P31" s="34">
        <f t="shared" si="1"/>
        <v>0</v>
      </c>
      <c r="Q31" s="325">
        <f t="shared" si="0"/>
        <v>0</v>
      </c>
      <c r="R31" s="319">
        <v>0</v>
      </c>
    </row>
    <row r="32" spans="1:18" ht="18" thickBot="1" x14ac:dyDescent="0.35">
      <c r="A32" s="23"/>
      <c r="B32" s="24">
        <v>44864</v>
      </c>
      <c r="C32" s="25"/>
      <c r="D32" s="64"/>
      <c r="E32" s="27">
        <v>44864</v>
      </c>
      <c r="F32" s="28"/>
      <c r="G32" s="572"/>
      <c r="H32" s="29">
        <v>44864</v>
      </c>
      <c r="I32" s="30"/>
      <c r="J32" s="56"/>
      <c r="K32" s="38"/>
      <c r="L32" s="39"/>
      <c r="M32" s="32">
        <v>0</v>
      </c>
      <c r="N32" s="33">
        <v>0</v>
      </c>
      <c r="P32" s="34">
        <f t="shared" si="1"/>
        <v>0</v>
      </c>
      <c r="Q32" s="325">
        <f t="shared" si="0"/>
        <v>0</v>
      </c>
      <c r="R32" s="319">
        <v>0</v>
      </c>
    </row>
    <row r="33" spans="1:18" ht="18" thickBot="1" x14ac:dyDescent="0.35">
      <c r="A33" s="23"/>
      <c r="B33" s="24"/>
      <c r="C33" s="25"/>
      <c r="D33" s="64"/>
      <c r="E33" s="27"/>
      <c r="F33" s="28"/>
      <c r="G33" s="572"/>
      <c r="H33" s="29"/>
      <c r="I33" s="30"/>
      <c r="J33" s="56"/>
      <c r="K33" s="223"/>
      <c r="L33" s="69"/>
      <c r="M33" s="32">
        <v>0</v>
      </c>
      <c r="N33" s="33">
        <v>0</v>
      </c>
      <c r="P33" s="34">
        <f t="shared" si="1"/>
        <v>0</v>
      </c>
      <c r="Q33" s="325">
        <f t="shared" si="0"/>
        <v>0</v>
      </c>
      <c r="R33" s="319">
        <v>0</v>
      </c>
    </row>
    <row r="34" spans="1:18" ht="18" thickBot="1" x14ac:dyDescent="0.35">
      <c r="A34" s="23"/>
      <c r="B34" s="24"/>
      <c r="C34" s="25"/>
      <c r="D34" s="64"/>
      <c r="E34" s="27"/>
      <c r="F34" s="28"/>
      <c r="G34" s="572"/>
      <c r="H34" s="29"/>
      <c r="I34" s="30"/>
      <c r="J34" s="56"/>
      <c r="K34" s="751"/>
      <c r="L34" s="39"/>
      <c r="M34" s="32">
        <v>0</v>
      </c>
      <c r="N34" s="33">
        <v>0</v>
      </c>
      <c r="P34" s="34">
        <f t="shared" si="1"/>
        <v>0</v>
      </c>
      <c r="Q34" s="325">
        <f t="shared" si="0"/>
        <v>0</v>
      </c>
      <c r="R34" s="319">
        <v>0</v>
      </c>
    </row>
    <row r="35" spans="1:18" ht="18" thickBot="1" x14ac:dyDescent="0.35">
      <c r="A35" s="23"/>
      <c r="B35" s="24"/>
      <c r="C35" s="690"/>
      <c r="D35" s="67"/>
      <c r="E35" s="27"/>
      <c r="F35" s="28"/>
      <c r="G35" s="572"/>
      <c r="H35" s="29"/>
      <c r="I35" s="30"/>
      <c r="J35" s="698"/>
      <c r="K35" s="752"/>
      <c r="L35" s="702"/>
      <c r="M35" s="32">
        <v>0</v>
      </c>
      <c r="N35" s="33">
        <v>0</v>
      </c>
      <c r="P35" s="34">
        <f t="shared" si="1"/>
        <v>0</v>
      </c>
      <c r="Q35" s="325">
        <f t="shared" si="0"/>
        <v>0</v>
      </c>
      <c r="R35" s="319">
        <v>0</v>
      </c>
    </row>
    <row r="36" spans="1:18" ht="18" customHeight="1" thickTop="1" thickBot="1" x14ac:dyDescent="0.35">
      <c r="A36" s="23"/>
      <c r="B36" s="24"/>
      <c r="C36" s="693"/>
      <c r="D36" s="786"/>
      <c r="E36" s="27"/>
      <c r="F36" s="28"/>
      <c r="G36" s="662"/>
      <c r="H36" s="29"/>
      <c r="I36" s="30"/>
      <c r="J36" s="56"/>
      <c r="K36" s="751"/>
      <c r="L36" s="39"/>
      <c r="M36" s="32">
        <v>0</v>
      </c>
      <c r="N36" s="33">
        <v>0</v>
      </c>
      <c r="P36" s="34">
        <f t="shared" si="1"/>
        <v>0</v>
      </c>
      <c r="Q36" s="325">
        <f t="shared" si="0"/>
        <v>0</v>
      </c>
      <c r="R36" s="319">
        <v>0</v>
      </c>
    </row>
    <row r="37" spans="1:18" ht="18" customHeight="1" thickBot="1" x14ac:dyDescent="0.35">
      <c r="A37" s="23"/>
      <c r="B37" s="24"/>
      <c r="C37" s="692"/>
      <c r="D37" s="742"/>
      <c r="E37" s="27"/>
      <c r="F37" s="28"/>
      <c r="G37" s="662"/>
      <c r="H37" s="29"/>
      <c r="I37" s="30"/>
      <c r="J37" s="56"/>
      <c r="K37" s="751"/>
      <c r="L37" s="39"/>
      <c r="M37" s="32">
        <v>0</v>
      </c>
      <c r="N37" s="33">
        <v>0</v>
      </c>
      <c r="P37" s="34">
        <f t="shared" si="1"/>
        <v>0</v>
      </c>
      <c r="Q37" s="325">
        <f t="shared" si="0"/>
        <v>0</v>
      </c>
      <c r="R37" s="319">
        <v>0</v>
      </c>
    </row>
    <row r="38" spans="1:18" ht="18" thickBot="1" x14ac:dyDescent="0.35">
      <c r="A38" s="23"/>
      <c r="B38" s="24"/>
      <c r="C38" s="692"/>
      <c r="D38" s="742"/>
      <c r="E38" s="27"/>
      <c r="F38" s="28"/>
      <c r="G38" s="662"/>
      <c r="H38" s="29"/>
      <c r="I38" s="30"/>
      <c r="J38" s="56"/>
      <c r="K38" s="663"/>
      <c r="L38" s="39"/>
      <c r="M38" s="32">
        <v>0</v>
      </c>
      <c r="N38" s="33">
        <v>0</v>
      </c>
      <c r="P38" s="34">
        <f t="shared" si="1"/>
        <v>0</v>
      </c>
      <c r="Q38" s="325">
        <f t="shared" si="0"/>
        <v>0</v>
      </c>
      <c r="R38" s="319">
        <v>0</v>
      </c>
    </row>
    <row r="39" spans="1:18" ht="18" thickBot="1" x14ac:dyDescent="0.35">
      <c r="A39" s="23"/>
      <c r="B39" s="24"/>
      <c r="C39" s="692"/>
      <c r="D39" s="695"/>
      <c r="E39" s="27"/>
      <c r="F39" s="508"/>
      <c r="G39" s="662"/>
      <c r="H39" s="29"/>
      <c r="I39" s="71"/>
      <c r="J39" s="56"/>
      <c r="K39" s="663"/>
      <c r="L39" s="39"/>
      <c r="M39" s="32">
        <v>0</v>
      </c>
      <c r="N39" s="33">
        <v>0</v>
      </c>
      <c r="P39" s="34">
        <f t="shared" si="1"/>
        <v>0</v>
      </c>
      <c r="Q39" s="325">
        <f t="shared" si="0"/>
        <v>0</v>
      </c>
      <c r="R39" s="319">
        <v>0</v>
      </c>
    </row>
    <row r="40" spans="1:18" ht="18" thickBot="1" x14ac:dyDescent="0.35">
      <c r="A40" s="23"/>
      <c r="B40" s="24"/>
      <c r="C40" s="692"/>
      <c r="D40" s="696"/>
      <c r="E40" s="27"/>
      <c r="F40" s="70"/>
      <c r="G40" s="572"/>
      <c r="H40" s="36"/>
      <c r="I40" s="71"/>
      <c r="J40" s="56"/>
      <c r="K40" s="38"/>
      <c r="L40" s="39"/>
      <c r="M40" s="267">
        <v>0</v>
      </c>
      <c r="N40" s="268">
        <v>0</v>
      </c>
      <c r="P40" s="34">
        <v>0</v>
      </c>
      <c r="Q40" s="111">
        <f t="shared" si="0"/>
        <v>0</v>
      </c>
      <c r="R40" s="319">
        <v>0</v>
      </c>
    </row>
    <row r="41" spans="1:18" ht="18" thickBot="1" x14ac:dyDescent="0.35">
      <c r="A41" s="23"/>
      <c r="B41" s="24"/>
      <c r="C41" s="692"/>
      <c r="D41" s="697"/>
      <c r="E41" s="74"/>
      <c r="F41" s="75"/>
      <c r="G41" s="572"/>
      <c r="H41" s="76"/>
      <c r="I41" s="77"/>
      <c r="J41" s="56"/>
      <c r="K41" s="751"/>
      <c r="L41" s="39"/>
      <c r="M41" s="871">
        <f>SUM(M5:M40)</f>
        <v>363372.79999999999</v>
      </c>
      <c r="N41" s="871">
        <f>SUM(N5:N40)</f>
        <v>149173</v>
      </c>
      <c r="P41" s="505">
        <f>SUM(P5:P40)</f>
        <v>608143.30000000005</v>
      </c>
      <c r="Q41" s="936">
        <f>SUM(Q5:Q40)</f>
        <v>5.3000000000174623</v>
      </c>
      <c r="R41" s="319">
        <v>0</v>
      </c>
    </row>
    <row r="42" spans="1:18" ht="18" thickBot="1" x14ac:dyDescent="0.35">
      <c r="A42" s="23"/>
      <c r="B42" s="24"/>
      <c r="C42" s="692"/>
      <c r="D42" s="697"/>
      <c r="E42" s="74"/>
      <c r="F42" s="75"/>
      <c r="G42" s="572"/>
      <c r="H42" s="76"/>
      <c r="I42" s="77"/>
      <c r="J42" s="698"/>
      <c r="K42" s="752"/>
      <c r="L42" s="702"/>
      <c r="M42" s="872"/>
      <c r="N42" s="872"/>
      <c r="P42" s="34"/>
      <c r="Q42" s="937"/>
      <c r="R42" s="788">
        <f>SUM(R5:R41)</f>
        <v>0</v>
      </c>
    </row>
    <row r="43" spans="1:18" ht="18" thickBot="1" x14ac:dyDescent="0.35">
      <c r="A43" s="23"/>
      <c r="B43" s="24"/>
      <c r="C43" s="692"/>
      <c r="D43" s="697"/>
      <c r="E43" s="74"/>
      <c r="F43" s="75"/>
      <c r="G43" s="572"/>
      <c r="H43" s="76"/>
      <c r="I43" s="77"/>
      <c r="J43" s="56"/>
      <c r="K43" s="751"/>
      <c r="L43" s="39"/>
      <c r="M43" s="820"/>
      <c r="N43" s="820"/>
      <c r="P43" s="34"/>
      <c r="Q43" s="13"/>
    </row>
    <row r="44" spans="1:18" ht="18" thickBot="1" x14ac:dyDescent="0.35">
      <c r="A44" s="23"/>
      <c r="B44" s="24"/>
      <c r="C44" s="692"/>
      <c r="D44" s="697"/>
      <c r="E44" s="74"/>
      <c r="F44" s="75"/>
      <c r="G44" s="572"/>
      <c r="H44" s="76"/>
      <c r="I44" s="77"/>
      <c r="J44" s="56"/>
      <c r="K44" s="38"/>
      <c r="L44" s="39"/>
      <c r="M44" s="820"/>
      <c r="N44" s="820"/>
      <c r="P44" s="34"/>
      <c r="Q44" s="13"/>
    </row>
    <row r="45" spans="1:18" ht="18" thickBot="1" x14ac:dyDescent="0.35">
      <c r="A45" s="23"/>
      <c r="B45" s="24"/>
      <c r="C45" s="692"/>
      <c r="D45" s="73"/>
      <c r="E45" s="74"/>
      <c r="F45" s="75"/>
      <c r="G45" s="572"/>
      <c r="H45" s="76"/>
      <c r="I45" s="77"/>
      <c r="J45" s="56"/>
      <c r="K45" s="38"/>
      <c r="L45" s="39"/>
      <c r="M45" s="938">
        <f>M41+N41</f>
        <v>512545.8</v>
      </c>
      <c r="N45" s="939"/>
      <c r="P45" s="34"/>
      <c r="Q45" s="13"/>
    </row>
    <row r="46" spans="1:18" ht="18" thickBot="1" x14ac:dyDescent="0.35">
      <c r="A46" s="23"/>
      <c r="B46" s="24"/>
      <c r="C46" s="692"/>
      <c r="D46" s="73"/>
      <c r="E46" s="74"/>
      <c r="F46" s="75"/>
      <c r="G46" s="572"/>
      <c r="H46" s="76"/>
      <c r="I46" s="77"/>
      <c r="J46" s="56"/>
      <c r="K46" s="38"/>
      <c r="L46" s="39"/>
      <c r="M46" s="820"/>
      <c r="N46" s="820"/>
      <c r="P46" s="34"/>
      <c r="Q46" s="13"/>
    </row>
    <row r="47" spans="1:18" ht="18" thickBot="1" x14ac:dyDescent="0.35">
      <c r="A47" s="23"/>
      <c r="B47" s="24"/>
      <c r="C47" s="692"/>
      <c r="D47" s="73"/>
      <c r="E47" s="74"/>
      <c r="F47" s="75"/>
      <c r="G47" s="572"/>
      <c r="H47" s="76"/>
      <c r="I47" s="77"/>
      <c r="J47" s="622"/>
      <c r="K47" s="804"/>
      <c r="L47" s="624"/>
      <c r="M47" s="820"/>
      <c r="N47" s="820"/>
      <c r="P47" s="34"/>
      <c r="Q47" s="13"/>
    </row>
    <row r="48" spans="1:18" ht="18" thickBot="1" x14ac:dyDescent="0.35">
      <c r="A48" s="23"/>
      <c r="B48" s="24"/>
      <c r="C48" s="692"/>
      <c r="D48" s="73"/>
      <c r="E48" s="74"/>
      <c r="F48" s="75"/>
      <c r="G48" s="572"/>
      <c r="H48" s="76"/>
      <c r="I48" s="77"/>
      <c r="J48" s="466"/>
      <c r="K48" s="805"/>
      <c r="L48" s="54"/>
      <c r="M48" s="820"/>
      <c r="N48" s="820"/>
      <c r="P48" s="34"/>
      <c r="Q48" s="13"/>
    </row>
    <row r="49" spans="1:17" ht="18" thickBot="1" x14ac:dyDescent="0.35">
      <c r="A49" s="23"/>
      <c r="B49" s="24"/>
      <c r="C49" s="692"/>
      <c r="D49" s="73"/>
      <c r="E49" s="74"/>
      <c r="F49" s="75"/>
      <c r="G49" s="572"/>
      <c r="H49" s="76"/>
      <c r="I49" s="77"/>
      <c r="J49" s="601"/>
      <c r="K49" s="803"/>
      <c r="L49" s="69"/>
      <c r="M49" s="820"/>
      <c r="N49" s="820"/>
      <c r="P49" s="34"/>
      <c r="Q49" s="13"/>
    </row>
    <row r="50" spans="1:17" ht="18" thickBot="1" x14ac:dyDescent="0.35">
      <c r="A50" s="23"/>
      <c r="B50" s="24"/>
      <c r="C50" s="692"/>
      <c r="D50" s="73"/>
      <c r="E50" s="74"/>
      <c r="F50" s="75"/>
      <c r="G50" s="572"/>
      <c r="H50" s="76"/>
      <c r="I50" s="77"/>
      <c r="J50" s="601"/>
      <c r="K50" s="803"/>
      <c r="L50" s="69"/>
      <c r="M50" s="820"/>
      <c r="N50" s="820"/>
      <c r="P50" s="34"/>
      <c r="Q50" s="13"/>
    </row>
    <row r="51" spans="1:17" ht="18" thickBot="1" x14ac:dyDescent="0.35">
      <c r="A51" s="23"/>
      <c r="B51" s="24"/>
      <c r="C51" s="692"/>
      <c r="D51" s="73"/>
      <c r="E51" s="74"/>
      <c r="F51" s="75"/>
      <c r="G51" s="572"/>
      <c r="H51" s="76"/>
      <c r="I51" s="77"/>
      <c r="J51" s="601"/>
      <c r="K51" s="803"/>
      <c r="L51" s="69"/>
      <c r="M51" s="820"/>
      <c r="N51" s="820"/>
      <c r="P51" s="34"/>
      <c r="Q51" s="13"/>
    </row>
    <row r="52" spans="1:17" ht="18" thickBot="1" x14ac:dyDescent="0.35">
      <c r="A52" s="23"/>
      <c r="B52" s="24"/>
      <c r="C52" s="692"/>
      <c r="D52" s="73"/>
      <c r="E52" s="74"/>
      <c r="F52" s="75"/>
      <c r="G52" s="572"/>
      <c r="H52" s="76"/>
      <c r="I52" s="77"/>
      <c r="J52" s="601"/>
      <c r="K52" s="803"/>
      <c r="L52" s="69"/>
      <c r="M52" s="820"/>
      <c r="N52" s="820"/>
      <c r="P52" s="34"/>
      <c r="Q52" s="13"/>
    </row>
    <row r="53" spans="1:17" ht="18" thickBot="1" x14ac:dyDescent="0.35">
      <c r="A53" s="23"/>
      <c r="B53" s="24"/>
      <c r="C53" s="692"/>
      <c r="D53" s="73"/>
      <c r="E53" s="74"/>
      <c r="F53" s="75"/>
      <c r="G53" s="572"/>
      <c r="H53" s="76"/>
      <c r="I53" s="77"/>
      <c r="J53" s="601"/>
      <c r="K53" s="803"/>
      <c r="L53" s="69"/>
      <c r="M53" s="820"/>
      <c r="N53" s="820"/>
      <c r="P53" s="34"/>
      <c r="Q53" s="13"/>
    </row>
    <row r="54" spans="1:17" ht="18" thickBot="1" x14ac:dyDescent="0.35">
      <c r="A54" s="23"/>
      <c r="B54" s="24"/>
      <c r="C54" s="694"/>
      <c r="D54" s="73"/>
      <c r="E54" s="74"/>
      <c r="F54" s="75"/>
      <c r="G54" s="572"/>
      <c r="H54" s="76"/>
      <c r="I54" s="77"/>
      <c r="J54" s="601"/>
      <c r="K54" s="802"/>
      <c r="L54" s="69"/>
      <c r="M54" s="820"/>
      <c r="N54" s="820"/>
      <c r="P54" s="34"/>
      <c r="Q54" s="13"/>
    </row>
    <row r="55" spans="1:17" ht="18.75" thickTop="1" thickBot="1" x14ac:dyDescent="0.35">
      <c r="A55" s="23"/>
      <c r="B55" s="24"/>
      <c r="C55" s="691"/>
      <c r="D55" s="73"/>
      <c r="E55" s="74"/>
      <c r="F55" s="75"/>
      <c r="G55" s="572"/>
      <c r="H55" s="76"/>
      <c r="I55" s="77"/>
      <c r="J55" s="601"/>
      <c r="K55" s="803"/>
      <c r="L55" s="69"/>
      <c r="M55" s="820"/>
      <c r="N55" s="820"/>
      <c r="P55" s="34"/>
      <c r="Q55" s="13"/>
    </row>
    <row r="56" spans="1:17" ht="18" thickBot="1" x14ac:dyDescent="0.35">
      <c r="A56" s="23"/>
      <c r="B56" s="24"/>
      <c r="C56" s="25"/>
      <c r="D56" s="73"/>
      <c r="E56" s="74"/>
      <c r="F56" s="75"/>
      <c r="G56" s="572"/>
      <c r="H56" s="76"/>
      <c r="I56" s="77"/>
      <c r="J56" s="601"/>
      <c r="K56" s="802"/>
      <c r="L56" s="69"/>
      <c r="M56" s="820"/>
      <c r="N56" s="820"/>
      <c r="P56" s="34"/>
      <c r="Q56" s="13"/>
    </row>
    <row r="57" spans="1:17" ht="18" thickBot="1" x14ac:dyDescent="0.35">
      <c r="A57" s="23"/>
      <c r="B57" s="24"/>
      <c r="C57" s="25"/>
      <c r="D57" s="73"/>
      <c r="E57" s="74"/>
      <c r="F57" s="75"/>
      <c r="G57" s="572"/>
      <c r="H57" s="76"/>
      <c r="I57" s="77"/>
      <c r="J57" s="601"/>
      <c r="K57" s="803"/>
      <c r="L57" s="69"/>
      <c r="M57" s="820"/>
      <c r="N57" s="820"/>
      <c r="P57" s="34"/>
      <c r="Q57" s="13"/>
    </row>
    <row r="58" spans="1:17" ht="18" thickBot="1" x14ac:dyDescent="0.35">
      <c r="A58" s="23"/>
      <c r="B58" s="24"/>
      <c r="C58" s="25"/>
      <c r="D58" s="73"/>
      <c r="E58" s="74"/>
      <c r="F58" s="75"/>
      <c r="G58" s="572"/>
      <c r="H58" s="76"/>
      <c r="I58" s="77"/>
      <c r="J58" s="601"/>
      <c r="K58" s="803"/>
      <c r="L58" s="69"/>
      <c r="M58" s="820"/>
      <c r="N58" s="820"/>
      <c r="P58" s="34"/>
      <c r="Q58" s="13"/>
    </row>
    <row r="59" spans="1:17" ht="18" thickBot="1" x14ac:dyDescent="0.35">
      <c r="A59" s="23"/>
      <c r="B59" s="24"/>
      <c r="C59" s="25"/>
      <c r="D59" s="73"/>
      <c r="E59" s="74"/>
      <c r="F59" s="75"/>
      <c r="G59" s="572"/>
      <c r="H59" s="76"/>
      <c r="I59" s="77"/>
      <c r="J59" s="601"/>
      <c r="K59" s="671"/>
      <c r="L59" s="69"/>
      <c r="M59" s="820"/>
      <c r="N59" s="820"/>
      <c r="P59" s="34"/>
      <c r="Q59" s="13"/>
    </row>
    <row r="60" spans="1:17" ht="16.5" thickBot="1" x14ac:dyDescent="0.3">
      <c r="A60" s="23"/>
      <c r="B60" s="24"/>
      <c r="C60" s="25"/>
      <c r="D60" s="822"/>
      <c r="E60" s="74"/>
      <c r="F60" s="72"/>
      <c r="G60" s="572"/>
      <c r="H60" s="823"/>
      <c r="I60" s="77"/>
      <c r="J60" s="801"/>
      <c r="K60" s="174"/>
      <c r="L60" s="69"/>
      <c r="M60" s="34"/>
      <c r="N60" s="34"/>
      <c r="P60" s="34"/>
      <c r="Q60" s="13"/>
    </row>
    <row r="61" spans="1:17" ht="16.5" thickBot="1" x14ac:dyDescent="0.3">
      <c r="A61" s="23"/>
      <c r="B61" s="824"/>
      <c r="C61" s="596"/>
      <c r="D61" s="822"/>
      <c r="E61" s="825"/>
      <c r="F61" s="34"/>
      <c r="G61" s="572"/>
      <c r="H61" s="76"/>
      <c r="I61" s="34"/>
      <c r="J61" s="557"/>
      <c r="K61" s="671"/>
      <c r="L61" s="69"/>
      <c r="M61" s="34"/>
      <c r="N61" s="34"/>
      <c r="P61" s="34"/>
      <c r="Q61" s="13"/>
    </row>
    <row r="62" spans="1:17" ht="16.5" hidden="1" thickBot="1" x14ac:dyDescent="0.3">
      <c r="A62" s="23"/>
      <c r="B62" s="595"/>
      <c r="C62" s="596"/>
      <c r="D62" s="81"/>
      <c r="E62" s="597"/>
      <c r="F62" s="34"/>
      <c r="H62" s="598"/>
      <c r="I62" s="34"/>
      <c r="J62" s="557"/>
      <c r="K62" s="671"/>
      <c r="L62" s="69"/>
      <c r="M62" s="34"/>
      <c r="N62" s="34"/>
      <c r="P62" s="34"/>
      <c r="Q62" s="13"/>
    </row>
    <row r="63" spans="1:17" ht="16.5" hidden="1" thickBot="1" x14ac:dyDescent="0.3">
      <c r="A63" s="23"/>
      <c r="B63" s="595"/>
      <c r="C63" s="596"/>
      <c r="D63" s="81"/>
      <c r="E63" s="597"/>
      <c r="F63" s="34"/>
      <c r="H63" s="598"/>
      <c r="I63" s="34"/>
      <c r="J63" s="557"/>
      <c r="K63" s="671"/>
      <c r="L63" s="69"/>
      <c r="M63" s="34"/>
      <c r="N63" s="34"/>
      <c r="P63" s="34"/>
      <c r="Q63" s="13"/>
    </row>
    <row r="64" spans="1:17" ht="16.5" hidden="1" thickBot="1" x14ac:dyDescent="0.3">
      <c r="A64" s="23"/>
      <c r="B64" s="595"/>
      <c r="C64" s="596"/>
      <c r="D64" s="81"/>
      <c r="E64" s="597"/>
      <c r="F64" s="34"/>
      <c r="H64" s="598"/>
      <c r="I64" s="34"/>
      <c r="J64" s="557"/>
      <c r="K64" s="671"/>
      <c r="L64" s="69"/>
      <c r="M64" s="34"/>
      <c r="N64" s="34"/>
      <c r="P64" s="34"/>
      <c r="Q64" s="13"/>
    </row>
    <row r="65" spans="1:17" ht="16.5" hidden="1" thickBot="1" x14ac:dyDescent="0.3">
      <c r="A65" s="23"/>
      <c r="B65" s="595"/>
      <c r="C65" s="596"/>
      <c r="D65" s="81"/>
      <c r="E65" s="597"/>
      <c r="F65" s="34"/>
      <c r="H65" s="598"/>
      <c r="I65" s="34"/>
      <c r="J65" s="557"/>
      <c r="K65" s="671"/>
      <c r="L65" s="69"/>
      <c r="M65" s="34"/>
      <c r="N65" s="34"/>
      <c r="P65" s="34"/>
      <c r="Q65" s="13"/>
    </row>
    <row r="66" spans="1:17" ht="16.5" thickBot="1" x14ac:dyDescent="0.3">
      <c r="A66" s="23"/>
      <c r="B66" s="595"/>
      <c r="C66" s="596"/>
      <c r="D66" s="81"/>
      <c r="E66" s="597"/>
      <c r="F66" s="34"/>
      <c r="H66" s="598"/>
      <c r="I66" s="34"/>
      <c r="J66" s="670"/>
      <c r="K66" s="164"/>
      <c r="L66" s="9"/>
      <c r="M66" s="34"/>
      <c r="N66" s="34"/>
      <c r="P66" s="34"/>
      <c r="Q66" s="13"/>
    </row>
    <row r="67" spans="1:17" ht="16.5" thickBot="1" x14ac:dyDescent="0.3">
      <c r="B67" s="550" t="s">
        <v>8</v>
      </c>
      <c r="C67" s="87">
        <f>SUM(C5:C60)</f>
        <v>75041.5</v>
      </c>
      <c r="D67" s="88"/>
      <c r="E67" s="91" t="s">
        <v>8</v>
      </c>
      <c r="F67" s="90">
        <f>SUM(F5:F60)</f>
        <v>571826</v>
      </c>
      <c r="G67" s="573"/>
      <c r="H67" s="91" t="s">
        <v>9</v>
      </c>
      <c r="I67" s="92">
        <f>SUM(I5:I60)</f>
        <v>10882</v>
      </c>
      <c r="J67" s="93"/>
      <c r="K67" s="94" t="s">
        <v>10</v>
      </c>
      <c r="L67" s="95">
        <f>SUM(L5:L65)-L26</f>
        <v>9674</v>
      </c>
      <c r="M67" s="96"/>
      <c r="N67" s="96"/>
      <c r="P67" s="34"/>
      <c r="Q67" s="13"/>
    </row>
    <row r="68" spans="1:17" ht="16.5" thickTop="1" x14ac:dyDescent="0.25">
      <c r="C68" s="3" t="s">
        <v>7</v>
      </c>
      <c r="P68" s="34"/>
      <c r="Q68" s="13"/>
    </row>
    <row r="69" spans="1:17" ht="18.75" x14ac:dyDescent="0.25">
      <c r="A69" s="98"/>
      <c r="B69" s="99"/>
      <c r="C69" s="1"/>
      <c r="H69" s="848" t="s">
        <v>11</v>
      </c>
      <c r="I69" s="849"/>
      <c r="J69" s="559"/>
      <c r="K69" s="973">
        <f>I67+L67</f>
        <v>20556</v>
      </c>
      <c r="L69" s="974"/>
      <c r="M69" s="272"/>
      <c r="N69" s="272"/>
      <c r="P69" s="34"/>
      <c r="Q69" s="13"/>
    </row>
    <row r="70" spans="1:17" x14ac:dyDescent="0.25">
      <c r="D70" s="854" t="s">
        <v>12</v>
      </c>
      <c r="E70" s="854"/>
      <c r="F70" s="312">
        <f>F67-K69-C67</f>
        <v>476228.5</v>
      </c>
      <c r="I70" s="102"/>
      <c r="J70" s="560"/>
    </row>
    <row r="71" spans="1:17" ht="18.75" x14ac:dyDescent="0.3">
      <c r="D71" s="878" t="s">
        <v>95</v>
      </c>
      <c r="E71" s="878"/>
      <c r="F71" s="111">
        <v>0</v>
      </c>
      <c r="I71" s="855" t="s">
        <v>13</v>
      </c>
      <c r="J71" s="856"/>
      <c r="K71" s="857">
        <f>F73+F74+F75</f>
        <v>476228.5</v>
      </c>
      <c r="L71" s="857"/>
      <c r="M71" s="404"/>
      <c r="N71" s="404"/>
      <c r="O71" s="1000"/>
      <c r="P71" s="404"/>
      <c r="Q71" s="404"/>
    </row>
    <row r="72" spans="1:17" ht="19.5" thickBot="1" x14ac:dyDescent="0.35">
      <c r="D72" s="313" t="s">
        <v>94</v>
      </c>
      <c r="E72" s="314"/>
      <c r="F72" s="315">
        <v>0</v>
      </c>
      <c r="I72" s="105"/>
      <c r="J72" s="106"/>
      <c r="K72" s="571"/>
      <c r="L72" s="154"/>
      <c r="M72" s="404"/>
      <c r="N72" s="404"/>
      <c r="O72" s="1000"/>
      <c r="P72" s="404"/>
      <c r="Q72" s="404"/>
    </row>
    <row r="73" spans="1:17" ht="19.5" thickTop="1" x14ac:dyDescent="0.3">
      <c r="C73" s="4" t="s">
        <v>7</v>
      </c>
      <c r="E73" s="98" t="s">
        <v>14</v>
      </c>
      <c r="F73" s="96">
        <f>SUM(F70:F72)</f>
        <v>476228.5</v>
      </c>
      <c r="H73" s="555"/>
      <c r="I73" s="108" t="s">
        <v>15</v>
      </c>
      <c r="J73" s="109"/>
      <c r="K73" s="969">
        <f>-C4</f>
        <v>-3773503.4</v>
      </c>
      <c r="L73" s="857"/>
    </row>
    <row r="74" spans="1:17" ht="16.5" thickBot="1" x14ac:dyDescent="0.3">
      <c r="D74" s="110" t="s">
        <v>16</v>
      </c>
      <c r="E74" s="98" t="s">
        <v>17</v>
      </c>
      <c r="F74" s="111">
        <v>0</v>
      </c>
    </row>
    <row r="75" spans="1:17" ht="20.25" thickTop="1" thickBot="1" x14ac:dyDescent="0.35">
      <c r="C75" s="112"/>
      <c r="D75" s="837" t="s">
        <v>18</v>
      </c>
      <c r="E75" s="838"/>
      <c r="F75" s="113">
        <v>0</v>
      </c>
      <c r="I75" s="997" t="s">
        <v>198</v>
      </c>
      <c r="J75" s="998"/>
      <c r="K75" s="999">
        <f>K71+K73</f>
        <v>-3297274.9</v>
      </c>
      <c r="L75" s="999"/>
    </row>
    <row r="76" spans="1:17" ht="17.25" x14ac:dyDescent="0.3">
      <c r="C76" s="114"/>
      <c r="D76" s="115"/>
      <c r="E76" s="98"/>
      <c r="F76" s="117"/>
      <c r="J76" s="118"/>
    </row>
    <row r="77" spans="1:17" ht="20.25" customHeight="1" x14ac:dyDescent="0.25">
      <c r="I77" s="119"/>
      <c r="J77" s="119"/>
      <c r="K77" s="179"/>
      <c r="L77" s="120"/>
    </row>
    <row r="78" spans="1:17" ht="16.5" customHeight="1" x14ac:dyDescent="0.25">
      <c r="B78" s="121"/>
      <c r="C78" s="122"/>
      <c r="D78" s="123"/>
      <c r="E78" s="34"/>
      <c r="I78" s="119"/>
      <c r="J78" s="119"/>
      <c r="K78" s="179"/>
      <c r="L78" s="120"/>
      <c r="M78" s="124"/>
      <c r="N78" s="98"/>
    </row>
    <row r="79" spans="1:17" x14ac:dyDescent="0.25">
      <c r="B79" s="121"/>
      <c r="C79" s="125"/>
      <c r="E79" s="34"/>
      <c r="M79" s="124"/>
      <c r="N79" s="98"/>
    </row>
    <row r="80" spans="1:17" x14ac:dyDescent="0.25">
      <c r="B80" s="121"/>
      <c r="C80" s="125"/>
      <c r="E80" s="34"/>
      <c r="F80" s="126"/>
      <c r="L80" s="127"/>
      <c r="M80" s="1"/>
    </row>
    <row r="81" spans="2:13" x14ac:dyDescent="0.25">
      <c r="B81" s="121"/>
      <c r="C81" s="125"/>
      <c r="E81" s="34"/>
      <c r="M81" s="1"/>
    </row>
    <row r="82" spans="2:13" x14ac:dyDescent="0.25">
      <c r="B82" s="121"/>
      <c r="C82" s="125"/>
      <c r="D82" s="128"/>
      <c r="E82" s="34"/>
      <c r="F82" s="129"/>
      <c r="M82" s="1"/>
    </row>
    <row r="83" spans="2:13" x14ac:dyDescent="0.25">
      <c r="D83" s="128"/>
      <c r="E83" s="130"/>
      <c r="F83" s="34"/>
      <c r="M83" s="1"/>
    </row>
    <row r="84" spans="2:13" x14ac:dyDescent="0.25">
      <c r="D84" s="128"/>
      <c r="E84" s="130"/>
      <c r="F84" s="34"/>
      <c r="M84" s="1"/>
    </row>
    <row r="85" spans="2:13" x14ac:dyDescent="0.25">
      <c r="D85" s="128"/>
      <c r="E85" s="130"/>
      <c r="F85" s="34"/>
      <c r="M85" s="1"/>
    </row>
    <row r="86" spans="2:13" x14ac:dyDescent="0.25">
      <c r="D86" s="128"/>
      <c r="E86" s="130"/>
      <c r="F86" s="34"/>
      <c r="M86" s="1"/>
    </row>
    <row r="87" spans="2:13" x14ac:dyDescent="0.25">
      <c r="D87" s="128"/>
      <c r="E87" s="130"/>
      <c r="F87" s="34"/>
      <c r="M87" s="1"/>
    </row>
    <row r="88" spans="2:13" x14ac:dyDescent="0.25">
      <c r="D88" s="128"/>
      <c r="E88" s="130"/>
      <c r="F88" s="34"/>
      <c r="M88" s="1"/>
    </row>
    <row r="89" spans="2:13" x14ac:dyDescent="0.25">
      <c r="D89" s="128"/>
      <c r="E89" s="130"/>
      <c r="F89" s="34"/>
      <c r="M89" s="1"/>
    </row>
    <row r="90" spans="2:13" x14ac:dyDescent="0.25">
      <c r="D90" s="128"/>
      <c r="E90" s="130"/>
      <c r="F90" s="34"/>
      <c r="M90" s="1"/>
    </row>
    <row r="91" spans="2:13" x14ac:dyDescent="0.25">
      <c r="D91" s="128"/>
      <c r="E91" s="130"/>
      <c r="F91" s="34"/>
      <c r="M91" s="1"/>
    </row>
    <row r="92" spans="2:13" x14ac:dyDescent="0.25">
      <c r="D92" s="128"/>
      <c r="E92" s="130"/>
      <c r="F92" s="34"/>
      <c r="M92" s="1"/>
    </row>
    <row r="93" spans="2:13" x14ac:dyDescent="0.25">
      <c r="D93" s="128"/>
      <c r="E93" s="130"/>
      <c r="F93" s="34"/>
      <c r="M93" s="1"/>
    </row>
    <row r="94" spans="2:13" x14ac:dyDescent="0.25">
      <c r="D94" s="128"/>
      <c r="E94" s="130"/>
      <c r="F94" s="34"/>
    </row>
    <row r="95" spans="2:13" x14ac:dyDescent="0.25">
      <c r="D95" s="128"/>
      <c r="E95" s="554"/>
      <c r="F95" s="129"/>
    </row>
    <row r="96" spans="2:13" x14ac:dyDescent="0.25">
      <c r="D96" s="128"/>
      <c r="E96" s="554"/>
      <c r="F96" s="129"/>
    </row>
    <row r="97" spans="4:6" x14ac:dyDescent="0.25">
      <c r="D97" s="128"/>
      <c r="E97" s="554"/>
      <c r="F97" s="129"/>
    </row>
  </sheetData>
  <mergeCells count="22">
    <mergeCell ref="R3:R4"/>
    <mergeCell ref="E4:F4"/>
    <mergeCell ref="H4:I4"/>
    <mergeCell ref="Q41:Q42"/>
    <mergeCell ref="M45:N45"/>
    <mergeCell ref="H69:I69"/>
    <mergeCell ref="K69:L69"/>
    <mergeCell ref="B1:B2"/>
    <mergeCell ref="C1:M1"/>
    <mergeCell ref="B3:C3"/>
    <mergeCell ref="H3:I3"/>
    <mergeCell ref="P3:P4"/>
    <mergeCell ref="D75:E75"/>
    <mergeCell ref="I75:J75"/>
    <mergeCell ref="K75:L75"/>
    <mergeCell ref="M41:M42"/>
    <mergeCell ref="N41:N42"/>
    <mergeCell ref="D70:E70"/>
    <mergeCell ref="D71:E71"/>
    <mergeCell ref="I71:J71"/>
    <mergeCell ref="K71:L71"/>
    <mergeCell ref="K73:L73"/>
  </mergeCells>
  <pageMargins left="0.25" right="0.25" top="0.35" bottom="0.35" header="0.3" footer="0.3"/>
  <pageSetup paperSize="5" orientation="landscape" horizontalDpi="0" verticalDpi="0" r:id="rId1"/>
  <drawing r:id="rId2"/>
  <legacyDrawing r:id="rId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FF66"/>
  </sheetPr>
  <dimension ref="B1:N123"/>
  <sheetViews>
    <sheetView topLeftCell="A34" workbookViewId="0">
      <selection activeCell="I74" sqref="I74"/>
    </sheetView>
  </sheetViews>
  <sheetFormatPr baseColWidth="10" defaultRowHeight="15" x14ac:dyDescent="0.25"/>
  <cols>
    <col min="1" max="1" width="3.85546875" customWidth="1"/>
    <col min="2" max="2" width="13.42578125" style="455" bestFit="1" customWidth="1"/>
    <col min="3" max="3" width="14.7109375" style="162" customWidth="1"/>
    <col min="4" max="4" width="17.5703125" style="4" bestFit="1" customWidth="1"/>
    <col min="5" max="5" width="12.42578125" style="257" bestFit="1" customWidth="1"/>
    <col min="6" max="6" width="15.5703125" style="4" bestFit="1" customWidth="1"/>
    <col min="7" max="7" width="19.5703125" style="3" bestFit="1" customWidth="1"/>
    <col min="8" max="8" width="8.42578125" customWidth="1"/>
    <col min="9" max="9" width="14.5703125" style="98" customWidth="1"/>
    <col min="10" max="10" width="13.28515625" style="116" customWidth="1"/>
    <col min="11" max="11" width="18.85546875" style="4" bestFit="1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2:14" ht="43.5" thickTop="1" thickBot="1" x14ac:dyDescent="0.3">
      <c r="B1" s="450" t="s">
        <v>317</v>
      </c>
      <c r="C1" s="436"/>
      <c r="D1" s="292"/>
      <c r="E1" s="371"/>
      <c r="F1" s="292"/>
      <c r="G1" s="378" t="s">
        <v>314</v>
      </c>
      <c r="I1" s="301" t="s">
        <v>318</v>
      </c>
      <c r="J1" s="302"/>
      <c r="K1" s="303"/>
      <c r="L1" s="367"/>
      <c r="M1" s="303"/>
      <c r="N1" s="377" t="s">
        <v>314</v>
      </c>
    </row>
    <row r="2" spans="2:14" ht="21.75" customHeight="1" thickTop="1" thickBot="1" x14ac:dyDescent="0.35">
      <c r="B2" s="545" t="s">
        <v>19</v>
      </c>
      <c r="C2" s="546" t="s">
        <v>20</v>
      </c>
      <c r="D2" s="547" t="s">
        <v>21</v>
      </c>
      <c r="E2" s="548" t="s">
        <v>22</v>
      </c>
      <c r="F2" s="549" t="s">
        <v>23</v>
      </c>
      <c r="G2" s="289" t="s">
        <v>210</v>
      </c>
      <c r="I2" s="297" t="s">
        <v>19</v>
      </c>
      <c r="J2" s="308" t="s">
        <v>265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2:14" ht="24" customHeight="1" x14ac:dyDescent="0.3">
      <c r="B3" s="454"/>
      <c r="C3" s="246"/>
      <c r="D3" s="111"/>
      <c r="E3" s="412"/>
      <c r="F3" s="111"/>
      <c r="G3" s="410">
        <f>D3-F3</f>
        <v>0</v>
      </c>
      <c r="I3" s="789"/>
      <c r="J3" s="790"/>
      <c r="K3" s="791"/>
      <c r="L3" s="732"/>
      <c r="M3" s="706"/>
      <c r="N3" s="183">
        <f>K3-M3</f>
        <v>0</v>
      </c>
    </row>
    <row r="4" spans="2:14" ht="18.75" x14ac:dyDescent="0.3">
      <c r="B4" s="454"/>
      <c r="C4" s="246"/>
      <c r="D4" s="111"/>
      <c r="E4" s="412"/>
      <c r="F4" s="111"/>
      <c r="G4" s="544">
        <f t="shared" ref="G4:G65" si="0">D4-F4</f>
        <v>0</v>
      </c>
      <c r="H4" s="138"/>
      <c r="I4" s="500"/>
      <c r="J4" s="501"/>
      <c r="K4" s="502"/>
      <c r="L4" s="732"/>
      <c r="M4" s="706"/>
      <c r="N4" s="137">
        <f>N3+K4-M4</f>
        <v>0</v>
      </c>
    </row>
    <row r="5" spans="2:14" ht="17.25" x14ac:dyDescent="0.3">
      <c r="B5" s="454"/>
      <c r="C5" s="246"/>
      <c r="D5" s="111"/>
      <c r="E5" s="412"/>
      <c r="F5" s="111"/>
      <c r="G5" s="544">
        <f t="shared" si="0"/>
        <v>0</v>
      </c>
      <c r="I5" s="500"/>
      <c r="J5" s="501"/>
      <c r="K5" s="502"/>
      <c r="L5" s="732"/>
      <c r="M5" s="706"/>
      <c r="N5" s="137">
        <f t="shared" ref="N5:N65" si="1">N4+K5-M5</f>
        <v>0</v>
      </c>
    </row>
    <row r="6" spans="2:14" ht="17.25" x14ac:dyDescent="0.3">
      <c r="B6" s="454"/>
      <c r="C6" s="246"/>
      <c r="D6" s="111"/>
      <c r="E6" s="412"/>
      <c r="F6" s="111"/>
      <c r="G6" s="544">
        <f t="shared" si="0"/>
        <v>0</v>
      </c>
      <c r="I6" s="500"/>
      <c r="J6" s="501"/>
      <c r="K6" s="502"/>
      <c r="L6" s="732"/>
      <c r="M6" s="706"/>
      <c r="N6" s="137">
        <f t="shared" si="1"/>
        <v>0</v>
      </c>
    </row>
    <row r="7" spans="2:14" ht="17.25" x14ac:dyDescent="0.3">
      <c r="B7" s="452"/>
      <c r="C7" s="437"/>
      <c r="D7" s="392"/>
      <c r="E7" s="412"/>
      <c r="F7" s="111"/>
      <c r="G7" s="544">
        <f t="shared" si="0"/>
        <v>0</v>
      </c>
      <c r="I7" s="497"/>
      <c r="J7" s="498"/>
      <c r="K7" s="499"/>
      <c r="L7" s="732"/>
      <c r="M7" s="706"/>
      <c r="N7" s="137">
        <f t="shared" si="1"/>
        <v>0</v>
      </c>
    </row>
    <row r="8" spans="2:14" ht="17.25" x14ac:dyDescent="0.3">
      <c r="B8" s="452"/>
      <c r="C8" s="437"/>
      <c r="D8" s="392"/>
      <c r="E8" s="412"/>
      <c r="F8" s="111"/>
      <c r="G8" s="544">
        <f t="shared" si="0"/>
        <v>0</v>
      </c>
      <c r="I8" s="497"/>
      <c r="J8" s="498"/>
      <c r="K8" s="499"/>
      <c r="L8" s="732"/>
      <c r="M8" s="706"/>
      <c r="N8" s="137">
        <f t="shared" si="1"/>
        <v>0</v>
      </c>
    </row>
    <row r="9" spans="2:14" ht="17.25" x14ac:dyDescent="0.3">
      <c r="B9" s="452"/>
      <c r="C9" s="437"/>
      <c r="D9" s="392"/>
      <c r="E9" s="412"/>
      <c r="F9" s="111"/>
      <c r="G9" s="544">
        <f t="shared" si="0"/>
        <v>0</v>
      </c>
      <c r="I9" s="500"/>
      <c r="J9" s="501"/>
      <c r="K9" s="502"/>
      <c r="L9" s="732"/>
      <c r="M9" s="706"/>
      <c r="N9" s="137">
        <f t="shared" si="1"/>
        <v>0</v>
      </c>
    </row>
    <row r="10" spans="2:14" ht="18.75" x14ac:dyDescent="0.3">
      <c r="B10" s="452"/>
      <c r="C10" s="437"/>
      <c r="D10" s="392"/>
      <c r="E10" s="412"/>
      <c r="F10" s="111"/>
      <c r="G10" s="544">
        <f t="shared" si="0"/>
        <v>0</v>
      </c>
      <c r="H10" s="138"/>
      <c r="I10" s="500"/>
      <c r="J10" s="501"/>
      <c r="K10" s="502"/>
      <c r="L10" s="732"/>
      <c r="M10" s="706"/>
      <c r="N10" s="137">
        <f t="shared" si="1"/>
        <v>0</v>
      </c>
    </row>
    <row r="11" spans="2:14" ht="17.25" x14ac:dyDescent="0.3">
      <c r="B11" s="452"/>
      <c r="C11" s="437"/>
      <c r="D11" s="392"/>
      <c r="E11" s="412"/>
      <c r="F11" s="111"/>
      <c r="G11" s="544">
        <f t="shared" si="0"/>
        <v>0</v>
      </c>
      <c r="I11" s="500"/>
      <c r="J11" s="501"/>
      <c r="K11" s="502"/>
      <c r="L11" s="732"/>
      <c r="M11" s="706"/>
      <c r="N11" s="137">
        <f t="shared" si="1"/>
        <v>0</v>
      </c>
    </row>
    <row r="12" spans="2:14" ht="17.25" x14ac:dyDescent="0.3">
      <c r="B12" s="452"/>
      <c r="C12" s="437"/>
      <c r="D12" s="392"/>
      <c r="E12" s="412"/>
      <c r="F12" s="111"/>
      <c r="G12" s="544">
        <f t="shared" si="0"/>
        <v>0</v>
      </c>
      <c r="I12" s="497"/>
      <c r="J12" s="498"/>
      <c r="K12" s="499"/>
      <c r="L12" s="732"/>
      <c r="M12" s="706"/>
      <c r="N12" s="137">
        <f t="shared" si="1"/>
        <v>0</v>
      </c>
    </row>
    <row r="13" spans="2:14" ht="17.25" x14ac:dyDescent="0.3">
      <c r="B13" s="452"/>
      <c r="C13" s="437"/>
      <c r="D13" s="392"/>
      <c r="E13" s="412"/>
      <c r="F13" s="111"/>
      <c r="G13" s="544">
        <f t="shared" si="0"/>
        <v>0</v>
      </c>
      <c r="I13" s="500"/>
      <c r="J13" s="501"/>
      <c r="K13" s="502"/>
      <c r="L13" s="732"/>
      <c r="M13" s="706"/>
      <c r="N13" s="137">
        <f t="shared" si="1"/>
        <v>0</v>
      </c>
    </row>
    <row r="14" spans="2:14" ht="17.25" x14ac:dyDescent="0.3">
      <c r="B14" s="452"/>
      <c r="C14" s="437"/>
      <c r="D14" s="392"/>
      <c r="E14" s="412"/>
      <c r="F14" s="111"/>
      <c r="G14" s="544">
        <f t="shared" si="0"/>
        <v>0</v>
      </c>
      <c r="I14" s="497"/>
      <c r="J14" s="498"/>
      <c r="K14" s="499"/>
      <c r="L14" s="732"/>
      <c r="M14" s="706"/>
      <c r="N14" s="137">
        <f t="shared" si="1"/>
        <v>0</v>
      </c>
    </row>
    <row r="15" spans="2:14" ht="17.25" x14ac:dyDescent="0.3">
      <c r="B15" s="452"/>
      <c r="C15" s="437"/>
      <c r="D15" s="392"/>
      <c r="E15" s="412"/>
      <c r="F15" s="111"/>
      <c r="G15" s="544">
        <f t="shared" si="0"/>
        <v>0</v>
      </c>
      <c r="I15" s="497"/>
      <c r="J15" s="498"/>
      <c r="K15" s="499"/>
      <c r="L15" s="732"/>
      <c r="M15" s="706"/>
      <c r="N15" s="137">
        <f t="shared" si="1"/>
        <v>0</v>
      </c>
    </row>
    <row r="16" spans="2:14" ht="17.25" x14ac:dyDescent="0.3">
      <c r="B16" s="452"/>
      <c r="C16" s="437"/>
      <c r="D16" s="392"/>
      <c r="E16" s="412"/>
      <c r="F16" s="111"/>
      <c r="G16" s="544">
        <f t="shared" si="0"/>
        <v>0</v>
      </c>
      <c r="I16" s="500"/>
      <c r="J16" s="501"/>
      <c r="K16" s="502"/>
      <c r="L16" s="732"/>
      <c r="M16" s="706"/>
      <c r="N16" s="137">
        <f t="shared" si="1"/>
        <v>0</v>
      </c>
    </row>
    <row r="17" spans="2:14" ht="17.25" x14ac:dyDescent="0.3">
      <c r="B17" s="452"/>
      <c r="C17" s="437"/>
      <c r="D17" s="392"/>
      <c r="E17" s="412"/>
      <c r="F17" s="111"/>
      <c r="G17" s="544">
        <f t="shared" si="0"/>
        <v>0</v>
      </c>
      <c r="I17" s="500"/>
      <c r="J17" s="501"/>
      <c r="K17" s="502"/>
      <c r="L17" s="732"/>
      <c r="M17" s="706"/>
      <c r="N17" s="137">
        <f t="shared" si="1"/>
        <v>0</v>
      </c>
    </row>
    <row r="18" spans="2:14" ht="17.25" x14ac:dyDescent="0.3">
      <c r="B18" s="452"/>
      <c r="C18" s="437"/>
      <c r="D18" s="392"/>
      <c r="E18" s="412"/>
      <c r="F18" s="111"/>
      <c r="G18" s="544">
        <f t="shared" si="0"/>
        <v>0</v>
      </c>
      <c r="I18" s="497"/>
      <c r="J18" s="498"/>
      <c r="K18" s="499"/>
      <c r="L18" s="732"/>
      <c r="M18" s="706"/>
      <c r="N18" s="137">
        <f t="shared" si="1"/>
        <v>0</v>
      </c>
    </row>
    <row r="19" spans="2:14" ht="17.25" x14ac:dyDescent="0.3">
      <c r="B19" s="452"/>
      <c r="C19" s="437"/>
      <c r="D19" s="392"/>
      <c r="E19" s="412"/>
      <c r="F19" s="111"/>
      <c r="G19" s="544">
        <f t="shared" si="0"/>
        <v>0</v>
      </c>
      <c r="I19" s="497"/>
      <c r="J19" s="498"/>
      <c r="K19" s="499"/>
      <c r="L19" s="732"/>
      <c r="M19" s="706"/>
      <c r="N19" s="137">
        <f t="shared" si="1"/>
        <v>0</v>
      </c>
    </row>
    <row r="20" spans="2:14" ht="17.25" x14ac:dyDescent="0.3">
      <c r="B20" s="452"/>
      <c r="C20" s="437"/>
      <c r="D20" s="392"/>
      <c r="E20" s="412"/>
      <c r="F20" s="111"/>
      <c r="G20" s="544">
        <f t="shared" si="0"/>
        <v>0</v>
      </c>
      <c r="I20" s="500"/>
      <c r="J20" s="501"/>
      <c r="K20" s="502"/>
      <c r="L20" s="732"/>
      <c r="M20" s="706"/>
      <c r="N20" s="137">
        <f t="shared" si="1"/>
        <v>0</v>
      </c>
    </row>
    <row r="21" spans="2:14" ht="17.25" x14ac:dyDescent="0.3">
      <c r="B21" s="452"/>
      <c r="C21" s="437"/>
      <c r="D21" s="392"/>
      <c r="E21" s="412"/>
      <c r="F21" s="111"/>
      <c r="G21" s="544">
        <f t="shared" si="0"/>
        <v>0</v>
      </c>
      <c r="I21" s="497"/>
      <c r="J21" s="498"/>
      <c r="K21" s="499"/>
      <c r="L21" s="732"/>
      <c r="M21" s="706"/>
      <c r="N21" s="137">
        <f t="shared" si="1"/>
        <v>0</v>
      </c>
    </row>
    <row r="22" spans="2:14" ht="18.75" x14ac:dyDescent="0.3">
      <c r="B22" s="452"/>
      <c r="C22" s="437"/>
      <c r="D22" s="392"/>
      <c r="E22" s="412"/>
      <c r="F22" s="111"/>
      <c r="G22" s="544">
        <f t="shared" si="0"/>
        <v>0</v>
      </c>
      <c r="H22" s="644"/>
      <c r="I22" s="500"/>
      <c r="J22" s="501"/>
      <c r="K22" s="502"/>
      <c r="L22" s="732"/>
      <c r="M22" s="706"/>
      <c r="N22" s="137">
        <f t="shared" si="1"/>
        <v>0</v>
      </c>
    </row>
    <row r="23" spans="2:14" ht="15.75" x14ac:dyDescent="0.25">
      <c r="B23" s="452"/>
      <c r="C23" s="437"/>
      <c r="D23" s="392"/>
      <c r="E23" s="412"/>
      <c r="F23" s="111"/>
      <c r="G23" s="544">
        <f t="shared" si="0"/>
        <v>0</v>
      </c>
      <c r="H23" s="2"/>
      <c r="I23" s="500"/>
      <c r="J23" s="501"/>
      <c r="K23" s="502"/>
      <c r="L23" s="412"/>
      <c r="M23" s="111"/>
      <c r="N23" s="137">
        <f t="shared" si="1"/>
        <v>0</v>
      </c>
    </row>
    <row r="24" spans="2:14" ht="21" customHeight="1" x14ac:dyDescent="0.25">
      <c r="B24" s="452"/>
      <c r="C24" s="437"/>
      <c r="D24" s="392"/>
      <c r="E24" s="412"/>
      <c r="F24" s="111"/>
      <c r="G24" s="544">
        <f t="shared" si="0"/>
        <v>0</v>
      </c>
      <c r="H24" s="2"/>
      <c r="I24" s="497"/>
      <c r="J24" s="498"/>
      <c r="K24" s="499"/>
      <c r="L24" s="412"/>
      <c r="M24" s="111"/>
      <c r="N24" s="137">
        <f t="shared" si="1"/>
        <v>0</v>
      </c>
    </row>
    <row r="25" spans="2:14" ht="15.75" x14ac:dyDescent="0.25">
      <c r="B25" s="452"/>
      <c r="C25" s="437"/>
      <c r="D25" s="392"/>
      <c r="E25" s="412"/>
      <c r="F25" s="111"/>
      <c r="G25" s="544">
        <f t="shared" si="0"/>
        <v>0</v>
      </c>
      <c r="H25" s="645"/>
      <c r="I25" s="500"/>
      <c r="J25" s="501"/>
      <c r="K25" s="502"/>
      <c r="L25" s="412"/>
      <c r="M25" s="111"/>
      <c r="N25" s="137">
        <f t="shared" si="1"/>
        <v>0</v>
      </c>
    </row>
    <row r="26" spans="2:14" ht="15.75" x14ac:dyDescent="0.25">
      <c r="B26" s="452"/>
      <c r="C26" s="437"/>
      <c r="D26" s="392"/>
      <c r="E26" s="412"/>
      <c r="F26" s="111"/>
      <c r="G26" s="544">
        <f t="shared" si="0"/>
        <v>0</v>
      </c>
      <c r="H26" s="645"/>
      <c r="I26" s="497"/>
      <c r="J26" s="498"/>
      <c r="K26" s="499"/>
      <c r="L26" s="412"/>
      <c r="M26" s="111"/>
      <c r="N26" s="137">
        <f t="shared" si="1"/>
        <v>0</v>
      </c>
    </row>
    <row r="27" spans="2:14" ht="15.75" x14ac:dyDescent="0.25">
      <c r="B27" s="452"/>
      <c r="C27" s="437"/>
      <c r="D27" s="392"/>
      <c r="E27" s="412"/>
      <c r="F27" s="111"/>
      <c r="G27" s="544">
        <f t="shared" si="0"/>
        <v>0</v>
      </c>
      <c r="H27" s="645"/>
      <c r="I27" s="500"/>
      <c r="J27" s="501"/>
      <c r="K27" s="502"/>
      <c r="L27" s="412"/>
      <c r="M27" s="111"/>
      <c r="N27" s="137">
        <f t="shared" si="1"/>
        <v>0</v>
      </c>
    </row>
    <row r="28" spans="2:14" ht="15.75" x14ac:dyDescent="0.25">
      <c r="B28" s="452"/>
      <c r="C28" s="437"/>
      <c r="D28" s="392"/>
      <c r="E28" s="412"/>
      <c r="F28" s="111"/>
      <c r="G28" s="544">
        <f t="shared" si="0"/>
        <v>0</v>
      </c>
      <c r="H28" s="645"/>
      <c r="I28" s="500"/>
      <c r="J28" s="501"/>
      <c r="K28" s="502"/>
      <c r="L28" s="412"/>
      <c r="M28" s="111"/>
      <c r="N28" s="137">
        <f t="shared" si="1"/>
        <v>0</v>
      </c>
    </row>
    <row r="29" spans="2:14" ht="15.75" x14ac:dyDescent="0.25">
      <c r="B29" s="452"/>
      <c r="C29" s="437"/>
      <c r="D29" s="392"/>
      <c r="E29" s="412"/>
      <c r="F29" s="111"/>
      <c r="G29" s="544">
        <f t="shared" si="0"/>
        <v>0</v>
      </c>
      <c r="H29" s="645"/>
      <c r="I29" s="500"/>
      <c r="J29" s="501"/>
      <c r="K29" s="502"/>
      <c r="L29" s="412"/>
      <c r="M29" s="111"/>
      <c r="N29" s="137">
        <f t="shared" si="1"/>
        <v>0</v>
      </c>
    </row>
    <row r="30" spans="2:14" ht="15.75" x14ac:dyDescent="0.25">
      <c r="B30" s="452"/>
      <c r="C30" s="437"/>
      <c r="D30" s="392"/>
      <c r="E30" s="412"/>
      <c r="F30" s="111"/>
      <c r="G30" s="544">
        <f t="shared" si="0"/>
        <v>0</v>
      </c>
      <c r="H30" s="645"/>
      <c r="I30" s="497"/>
      <c r="J30" s="498"/>
      <c r="K30" s="499"/>
      <c r="L30" s="412"/>
      <c r="M30" s="111"/>
      <c r="N30" s="137">
        <f t="shared" si="1"/>
        <v>0</v>
      </c>
    </row>
    <row r="31" spans="2:14" ht="15.75" x14ac:dyDescent="0.25">
      <c r="B31" s="452"/>
      <c r="C31" s="437"/>
      <c r="D31" s="392"/>
      <c r="E31" s="412"/>
      <c r="F31" s="111"/>
      <c r="G31" s="544">
        <f t="shared" si="0"/>
        <v>0</v>
      </c>
      <c r="H31" s="2"/>
      <c r="I31" s="497"/>
      <c r="J31" s="498"/>
      <c r="K31" s="499"/>
      <c r="L31" s="412"/>
      <c r="M31" s="111"/>
      <c r="N31" s="137">
        <f t="shared" si="1"/>
        <v>0</v>
      </c>
    </row>
    <row r="32" spans="2:14" ht="15.75" x14ac:dyDescent="0.25">
      <c r="B32" s="452"/>
      <c r="C32" s="437"/>
      <c r="D32" s="392"/>
      <c r="E32" s="412"/>
      <c r="F32" s="111"/>
      <c r="G32" s="544">
        <f t="shared" si="0"/>
        <v>0</v>
      </c>
      <c r="H32" s="2"/>
      <c r="I32" s="497"/>
      <c r="J32" s="498"/>
      <c r="K32" s="499"/>
      <c r="L32" s="412"/>
      <c r="M32" s="111"/>
      <c r="N32" s="137">
        <f t="shared" si="1"/>
        <v>0</v>
      </c>
    </row>
    <row r="33" spans="2:14" ht="15.75" x14ac:dyDescent="0.25">
      <c r="B33" s="452"/>
      <c r="C33" s="437"/>
      <c r="D33" s="392"/>
      <c r="E33" s="412"/>
      <c r="F33" s="111"/>
      <c r="G33" s="544">
        <f t="shared" si="0"/>
        <v>0</v>
      </c>
      <c r="I33" s="500"/>
      <c r="J33" s="501"/>
      <c r="K33" s="502"/>
      <c r="L33" s="412"/>
      <c r="M33" s="111"/>
      <c r="N33" s="137">
        <f t="shared" si="1"/>
        <v>0</v>
      </c>
    </row>
    <row r="34" spans="2:14" ht="15.75" x14ac:dyDescent="0.25">
      <c r="B34" s="452"/>
      <c r="C34" s="437"/>
      <c r="D34" s="392"/>
      <c r="E34" s="412"/>
      <c r="F34" s="111"/>
      <c r="G34" s="544">
        <f t="shared" si="0"/>
        <v>0</v>
      </c>
      <c r="I34" s="497"/>
      <c r="J34" s="498"/>
      <c r="K34" s="499"/>
      <c r="L34" s="412"/>
      <c r="M34" s="111"/>
      <c r="N34" s="137">
        <f t="shared" si="1"/>
        <v>0</v>
      </c>
    </row>
    <row r="35" spans="2:14" ht="15.75" x14ac:dyDescent="0.25">
      <c r="B35" s="452"/>
      <c r="C35" s="437"/>
      <c r="D35" s="392"/>
      <c r="E35" s="412"/>
      <c r="F35" s="111"/>
      <c r="G35" s="544">
        <f t="shared" si="0"/>
        <v>0</v>
      </c>
      <c r="I35" s="500"/>
      <c r="J35" s="501"/>
      <c r="K35" s="502"/>
      <c r="L35" s="412"/>
      <c r="M35" s="111"/>
      <c r="N35" s="137">
        <f t="shared" si="1"/>
        <v>0</v>
      </c>
    </row>
    <row r="36" spans="2:14" ht="15.75" x14ac:dyDescent="0.25">
      <c r="B36" s="452"/>
      <c r="C36" s="437"/>
      <c r="D36" s="392"/>
      <c r="E36" s="412"/>
      <c r="F36" s="111"/>
      <c r="G36" s="544">
        <f t="shared" si="0"/>
        <v>0</v>
      </c>
      <c r="I36" s="497"/>
      <c r="J36" s="498"/>
      <c r="K36" s="499"/>
      <c r="L36" s="412"/>
      <c r="M36" s="111"/>
      <c r="N36" s="137">
        <f t="shared" si="1"/>
        <v>0</v>
      </c>
    </row>
    <row r="37" spans="2:14" ht="15.75" x14ac:dyDescent="0.25">
      <c r="B37" s="452"/>
      <c r="C37" s="437"/>
      <c r="D37" s="392"/>
      <c r="E37" s="412"/>
      <c r="F37" s="111"/>
      <c r="G37" s="544">
        <f t="shared" si="0"/>
        <v>0</v>
      </c>
      <c r="I37" s="500"/>
      <c r="J37" s="501"/>
      <c r="K37" s="502"/>
      <c r="L37" s="412"/>
      <c r="M37" s="111"/>
      <c r="N37" s="137">
        <f t="shared" si="1"/>
        <v>0</v>
      </c>
    </row>
    <row r="38" spans="2:14" ht="15.75" x14ac:dyDescent="0.25">
      <c r="B38" s="452"/>
      <c r="C38" s="437"/>
      <c r="D38" s="392"/>
      <c r="E38" s="412"/>
      <c r="F38" s="111"/>
      <c r="G38" s="544">
        <f t="shared" si="0"/>
        <v>0</v>
      </c>
      <c r="I38" s="500"/>
      <c r="J38" s="501"/>
      <c r="K38" s="502"/>
      <c r="L38" s="412"/>
      <c r="M38" s="111"/>
      <c r="N38" s="137">
        <f t="shared" si="1"/>
        <v>0</v>
      </c>
    </row>
    <row r="39" spans="2:14" ht="15.75" x14ac:dyDescent="0.25">
      <c r="B39" s="452"/>
      <c r="C39" s="437"/>
      <c r="D39" s="392"/>
      <c r="E39" s="253"/>
      <c r="F39" s="69"/>
      <c r="G39" s="111">
        <f t="shared" si="0"/>
        <v>0</v>
      </c>
      <c r="I39" s="134"/>
      <c r="J39" s="139"/>
      <c r="K39" s="69"/>
      <c r="L39" s="253"/>
      <c r="M39" s="69"/>
      <c r="N39" s="137">
        <f t="shared" si="1"/>
        <v>0</v>
      </c>
    </row>
    <row r="40" spans="2:14" ht="15.75" x14ac:dyDescent="0.25">
      <c r="B40" s="452"/>
      <c r="C40" s="437"/>
      <c r="D40" s="392"/>
      <c r="E40" s="253"/>
      <c r="F40" s="69"/>
      <c r="G40" s="111">
        <f t="shared" si="0"/>
        <v>0</v>
      </c>
      <c r="I40" s="930" t="s">
        <v>594</v>
      </c>
      <c r="J40" s="931"/>
      <c r="K40" s="69"/>
      <c r="L40" s="253"/>
      <c r="M40" s="69"/>
      <c r="N40" s="137">
        <f t="shared" si="1"/>
        <v>0</v>
      </c>
    </row>
    <row r="41" spans="2:14" ht="15.75" x14ac:dyDescent="0.25">
      <c r="B41" s="796"/>
      <c r="C41" s="795"/>
      <c r="D41" s="794"/>
      <c r="E41" s="253"/>
      <c r="F41" s="69"/>
      <c r="G41" s="111">
        <f t="shared" si="0"/>
        <v>0</v>
      </c>
      <c r="I41" s="932"/>
      <c r="J41" s="933"/>
      <c r="K41" s="69"/>
      <c r="L41" s="253"/>
      <c r="M41" s="69"/>
      <c r="N41" s="137">
        <f t="shared" si="1"/>
        <v>0</v>
      </c>
    </row>
    <row r="42" spans="2:14" ht="15.75" x14ac:dyDescent="0.25">
      <c r="B42" s="796"/>
      <c r="C42" s="795"/>
      <c r="D42" s="794"/>
      <c r="E42" s="253"/>
      <c r="F42" s="69"/>
      <c r="G42" s="111">
        <f t="shared" si="0"/>
        <v>0</v>
      </c>
      <c r="I42" s="934"/>
      <c r="J42" s="935"/>
      <c r="K42" s="69"/>
      <c r="L42" s="253"/>
      <c r="M42" s="69"/>
      <c r="N42" s="137">
        <f t="shared" si="1"/>
        <v>0</v>
      </c>
    </row>
    <row r="43" spans="2:14" ht="15.75" x14ac:dyDescent="0.25">
      <c r="B43" s="667"/>
      <c r="C43" s="668"/>
      <c r="D43" s="111"/>
      <c r="E43" s="253"/>
      <c r="F43" s="69"/>
      <c r="G43" s="111">
        <f t="shared" si="0"/>
        <v>0</v>
      </c>
      <c r="I43" s="134"/>
      <c r="J43" s="139"/>
      <c r="K43" s="69"/>
      <c r="L43" s="253"/>
      <c r="M43" s="69"/>
      <c r="N43" s="137">
        <f t="shared" si="1"/>
        <v>0</v>
      </c>
    </row>
    <row r="44" spans="2:14" ht="15.75" x14ac:dyDescent="0.25">
      <c r="B44" s="669"/>
      <c r="C44" s="668"/>
      <c r="D44" s="111"/>
      <c r="E44" s="253"/>
      <c r="F44" s="69"/>
      <c r="G44" s="111">
        <f t="shared" si="0"/>
        <v>0</v>
      </c>
      <c r="I44" s="134"/>
      <c r="J44" s="139"/>
      <c r="K44" s="69"/>
      <c r="L44" s="253"/>
      <c r="M44" s="69"/>
      <c r="N44" s="137">
        <f t="shared" si="1"/>
        <v>0</v>
      </c>
    </row>
    <row r="45" spans="2:14" ht="15.75" x14ac:dyDescent="0.25">
      <c r="B45" s="669"/>
      <c r="C45" s="668"/>
      <c r="D45" s="111"/>
      <c r="E45" s="253"/>
      <c r="F45" s="69"/>
      <c r="G45" s="111">
        <f t="shared" si="0"/>
        <v>0</v>
      </c>
      <c r="I45" s="134"/>
      <c r="J45" s="139"/>
      <c r="K45" s="69"/>
      <c r="L45" s="253"/>
      <c r="M45" s="69"/>
      <c r="N45" s="137">
        <f t="shared" si="1"/>
        <v>0</v>
      </c>
    </row>
    <row r="46" spans="2:14" ht="15.75" x14ac:dyDescent="0.25">
      <c r="B46" s="666"/>
      <c r="C46" s="664"/>
      <c r="D46" s="69"/>
      <c r="E46" s="253"/>
      <c r="F46" s="69"/>
      <c r="G46" s="111">
        <f t="shared" si="0"/>
        <v>0</v>
      </c>
      <c r="I46" s="134"/>
      <c r="J46" s="139"/>
      <c r="K46" s="69"/>
      <c r="L46" s="253"/>
      <c r="M46" s="69"/>
      <c r="N46" s="137">
        <f t="shared" si="1"/>
        <v>0</v>
      </c>
    </row>
    <row r="47" spans="2:14" ht="15.75" x14ac:dyDescent="0.25">
      <c r="B47" s="134"/>
      <c r="C47" s="664"/>
      <c r="D47" s="69"/>
      <c r="E47" s="253"/>
      <c r="F47" s="69"/>
      <c r="G47" s="111">
        <f t="shared" si="0"/>
        <v>0</v>
      </c>
      <c r="I47" s="134"/>
      <c r="J47" s="139"/>
      <c r="K47" s="69"/>
      <c r="L47" s="253"/>
      <c r="M47" s="69"/>
      <c r="N47" s="137">
        <f t="shared" si="1"/>
        <v>0</v>
      </c>
    </row>
    <row r="48" spans="2:14" ht="15.75" x14ac:dyDescent="0.25">
      <c r="B48" s="134"/>
      <c r="C48" s="664"/>
      <c r="D48" s="69"/>
      <c r="E48" s="253"/>
      <c r="F48" s="69"/>
      <c r="G48" s="111">
        <f t="shared" si="0"/>
        <v>0</v>
      </c>
      <c r="I48" s="134"/>
      <c r="J48" s="139"/>
      <c r="K48" s="69"/>
      <c r="L48" s="253"/>
      <c r="M48" s="69"/>
      <c r="N48" s="137">
        <f t="shared" si="1"/>
        <v>0</v>
      </c>
    </row>
    <row r="49" spans="2:14" ht="15.75" hidden="1" x14ac:dyDescent="0.25">
      <c r="B49" s="134"/>
      <c r="C49" s="665"/>
      <c r="D49" s="69"/>
      <c r="E49" s="253"/>
      <c r="F49" s="69"/>
      <c r="G49" s="111">
        <f t="shared" si="0"/>
        <v>0</v>
      </c>
      <c r="I49" s="134"/>
      <c r="J49" s="139"/>
      <c r="K49" s="69"/>
      <c r="L49" s="253"/>
      <c r="M49" s="69"/>
      <c r="N49" s="137">
        <f t="shared" si="1"/>
        <v>0</v>
      </c>
    </row>
    <row r="50" spans="2:14" ht="15.75" hidden="1" x14ac:dyDescent="0.25">
      <c r="B50" s="134"/>
      <c r="C50" s="139"/>
      <c r="D50" s="69"/>
      <c r="E50" s="254"/>
      <c r="F50" s="69"/>
      <c r="G50" s="111">
        <f t="shared" si="0"/>
        <v>0</v>
      </c>
      <c r="I50" s="356"/>
      <c r="J50" s="357"/>
      <c r="K50" s="34"/>
      <c r="L50" s="118"/>
      <c r="M50" s="34"/>
      <c r="N50" s="137">
        <f t="shared" si="1"/>
        <v>0</v>
      </c>
    </row>
    <row r="51" spans="2:14" ht="15.75" hidden="1" x14ac:dyDescent="0.25">
      <c r="B51" s="134"/>
      <c r="C51" s="139"/>
      <c r="D51" s="69"/>
      <c r="E51" s="254"/>
      <c r="F51" s="69"/>
      <c r="G51" s="111">
        <f t="shared" si="0"/>
        <v>0</v>
      </c>
      <c r="I51" s="356"/>
      <c r="J51" s="357"/>
      <c r="K51" s="34"/>
      <c r="L51" s="118"/>
      <c r="M51" s="34"/>
      <c r="N51" s="137">
        <f t="shared" si="1"/>
        <v>0</v>
      </c>
    </row>
    <row r="52" spans="2:14" ht="15.75" hidden="1" x14ac:dyDescent="0.25">
      <c r="B52" s="134"/>
      <c r="C52" s="139"/>
      <c r="D52" s="69"/>
      <c r="E52" s="254"/>
      <c r="F52" s="69"/>
      <c r="G52" s="111">
        <f t="shared" si="0"/>
        <v>0</v>
      </c>
      <c r="I52" s="356"/>
      <c r="J52" s="357"/>
      <c r="K52" s="34"/>
      <c r="L52" s="118"/>
      <c r="M52" s="34"/>
      <c r="N52" s="137">
        <f t="shared" si="1"/>
        <v>0</v>
      </c>
    </row>
    <row r="53" spans="2:14" ht="15.75" hidden="1" x14ac:dyDescent="0.25">
      <c r="B53" s="134"/>
      <c r="C53" s="139"/>
      <c r="D53" s="69"/>
      <c r="E53" s="254"/>
      <c r="F53" s="69"/>
      <c r="G53" s="111">
        <f t="shared" si="0"/>
        <v>0</v>
      </c>
      <c r="I53" s="356"/>
      <c r="J53" s="357"/>
      <c r="K53" s="34"/>
      <c r="L53" s="118"/>
      <c r="M53" s="34"/>
      <c r="N53" s="137">
        <f t="shared" si="1"/>
        <v>0</v>
      </c>
    </row>
    <row r="54" spans="2:14" ht="15.75" hidden="1" x14ac:dyDescent="0.25">
      <c r="B54" s="134"/>
      <c r="C54" s="139"/>
      <c r="D54" s="69"/>
      <c r="E54" s="254"/>
      <c r="F54" s="69"/>
      <c r="G54" s="111">
        <f t="shared" si="0"/>
        <v>0</v>
      </c>
      <c r="I54" s="356"/>
      <c r="J54" s="357"/>
      <c r="K54" s="34"/>
      <c r="L54" s="118"/>
      <c r="M54" s="34"/>
      <c r="N54" s="137">
        <f t="shared" si="1"/>
        <v>0</v>
      </c>
    </row>
    <row r="55" spans="2:14" ht="15.75" hidden="1" x14ac:dyDescent="0.25">
      <c r="B55" s="356"/>
      <c r="C55" s="357"/>
      <c r="D55" s="34"/>
      <c r="E55" s="118"/>
      <c r="F55" s="34"/>
      <c r="G55" s="111">
        <f t="shared" si="0"/>
        <v>0</v>
      </c>
      <c r="I55" s="356"/>
      <c r="J55" s="357"/>
      <c r="K55" s="34"/>
      <c r="L55" s="118"/>
      <c r="M55" s="34"/>
      <c r="N55" s="137">
        <f t="shared" si="1"/>
        <v>0</v>
      </c>
    </row>
    <row r="56" spans="2:14" ht="15.75" hidden="1" x14ac:dyDescent="0.25">
      <c r="B56" s="134"/>
      <c r="C56" s="139"/>
      <c r="D56" s="69"/>
      <c r="E56" s="254"/>
      <c r="F56" s="69"/>
      <c r="G56" s="111">
        <f t="shared" si="0"/>
        <v>0</v>
      </c>
      <c r="I56" s="134"/>
      <c r="J56" s="139"/>
      <c r="K56" s="69"/>
      <c r="L56" s="254"/>
      <c r="M56" s="69"/>
      <c r="N56" s="137">
        <f t="shared" si="1"/>
        <v>0</v>
      </c>
    </row>
    <row r="57" spans="2:14" ht="15.75" hidden="1" x14ac:dyDescent="0.25">
      <c r="B57" s="134"/>
      <c r="C57" s="139"/>
      <c r="D57" s="69"/>
      <c r="E57" s="254"/>
      <c r="F57" s="69"/>
      <c r="G57" s="111">
        <f t="shared" si="0"/>
        <v>0</v>
      </c>
      <c r="I57" s="134"/>
      <c r="J57" s="139"/>
      <c r="K57" s="69"/>
      <c r="L57" s="254"/>
      <c r="M57" s="69"/>
      <c r="N57" s="137">
        <f t="shared" si="1"/>
        <v>0</v>
      </c>
    </row>
    <row r="58" spans="2:14" ht="15.75" hidden="1" x14ac:dyDescent="0.25">
      <c r="B58" s="134"/>
      <c r="C58" s="139"/>
      <c r="D58" s="69"/>
      <c r="E58" s="254"/>
      <c r="F58" s="69"/>
      <c r="G58" s="111">
        <f t="shared" si="0"/>
        <v>0</v>
      </c>
      <c r="I58" s="134"/>
      <c r="J58" s="139"/>
      <c r="K58" s="69"/>
      <c r="L58" s="254"/>
      <c r="M58" s="69"/>
      <c r="N58" s="137">
        <f t="shared" si="1"/>
        <v>0</v>
      </c>
    </row>
    <row r="59" spans="2:14" ht="15.75" hidden="1" x14ac:dyDescent="0.25">
      <c r="B59" s="134"/>
      <c r="C59" s="139"/>
      <c r="D59" s="69"/>
      <c r="E59" s="254"/>
      <c r="F59" s="69"/>
      <c r="G59" s="111">
        <f t="shared" si="0"/>
        <v>0</v>
      </c>
      <c r="I59" s="134"/>
      <c r="J59" s="139"/>
      <c r="K59" s="69"/>
      <c r="L59" s="254"/>
      <c r="M59" s="69"/>
      <c r="N59" s="137">
        <f t="shared" si="1"/>
        <v>0</v>
      </c>
    </row>
    <row r="60" spans="2:14" ht="15.75" hidden="1" x14ac:dyDescent="0.25">
      <c r="B60" s="134"/>
      <c r="C60" s="139"/>
      <c r="D60" s="69"/>
      <c r="E60" s="254"/>
      <c r="F60" s="69"/>
      <c r="G60" s="111">
        <f t="shared" si="0"/>
        <v>0</v>
      </c>
      <c r="I60" s="134"/>
      <c r="J60" s="139"/>
      <c r="K60" s="69"/>
      <c r="L60" s="254"/>
      <c r="M60" s="69"/>
      <c r="N60" s="137">
        <f t="shared" si="1"/>
        <v>0</v>
      </c>
    </row>
    <row r="61" spans="2:14" ht="15.75" hidden="1" x14ac:dyDescent="0.25">
      <c r="B61" s="134"/>
      <c r="C61" s="139"/>
      <c r="D61" s="69"/>
      <c r="E61" s="254"/>
      <c r="F61" s="69"/>
      <c r="G61" s="111">
        <f t="shared" si="0"/>
        <v>0</v>
      </c>
      <c r="I61" s="134"/>
      <c r="J61" s="139"/>
      <c r="K61" s="69"/>
      <c r="L61" s="254"/>
      <c r="M61" s="69"/>
      <c r="N61" s="137">
        <f t="shared" si="1"/>
        <v>0</v>
      </c>
    </row>
    <row r="62" spans="2:14" ht="15.75" hidden="1" x14ac:dyDescent="0.25">
      <c r="B62" s="134"/>
      <c r="C62" s="139"/>
      <c r="D62" s="69"/>
      <c r="E62" s="254"/>
      <c r="F62" s="69"/>
      <c r="G62" s="111">
        <f t="shared" si="0"/>
        <v>0</v>
      </c>
      <c r="I62" s="134"/>
      <c r="J62" s="139"/>
      <c r="K62" s="69"/>
      <c r="L62" s="254"/>
      <c r="M62" s="69"/>
      <c r="N62" s="137">
        <f t="shared" si="1"/>
        <v>0</v>
      </c>
    </row>
    <row r="63" spans="2:14" ht="15.75" hidden="1" x14ac:dyDescent="0.25">
      <c r="B63" s="134"/>
      <c r="C63" s="139"/>
      <c r="D63" s="69"/>
      <c r="E63" s="254"/>
      <c r="F63" s="69"/>
      <c r="G63" s="111">
        <f t="shared" si="0"/>
        <v>0</v>
      </c>
      <c r="I63" s="134"/>
      <c r="J63" s="139"/>
      <c r="K63" s="69"/>
      <c r="L63" s="254"/>
      <c r="M63" s="69"/>
      <c r="N63" s="137">
        <f t="shared" si="1"/>
        <v>0</v>
      </c>
    </row>
    <row r="64" spans="2:14" ht="15.75" hidden="1" x14ac:dyDescent="0.25">
      <c r="B64" s="134"/>
      <c r="C64" s="139"/>
      <c r="D64" s="69"/>
      <c r="E64" s="254"/>
      <c r="F64" s="69"/>
      <c r="G64" s="111">
        <f t="shared" si="0"/>
        <v>0</v>
      </c>
      <c r="I64" s="134"/>
      <c r="J64" s="139"/>
      <c r="K64" s="69"/>
      <c r="L64" s="254"/>
      <c r="M64" s="69"/>
      <c r="N64" s="137">
        <f t="shared" si="1"/>
        <v>0</v>
      </c>
    </row>
    <row r="65" spans="2:14" ht="15.75" hidden="1" x14ac:dyDescent="0.25">
      <c r="B65" s="134"/>
      <c r="C65" s="139"/>
      <c r="D65" s="69"/>
      <c r="E65" s="254"/>
      <c r="F65" s="69"/>
      <c r="G65" s="111">
        <f t="shared" si="0"/>
        <v>0</v>
      </c>
      <c r="I65" s="134"/>
      <c r="J65" s="139"/>
      <c r="K65" s="69"/>
      <c r="L65" s="254"/>
      <c r="M65" s="69"/>
      <c r="N65" s="137">
        <f t="shared" si="1"/>
        <v>0</v>
      </c>
    </row>
    <row r="66" spans="2:14" ht="16.5" thickBot="1" x14ac:dyDescent="0.3">
      <c r="B66" s="149"/>
      <c r="C66" s="210"/>
      <c r="D66" s="34">
        <v>0</v>
      </c>
      <c r="E66" s="255"/>
      <c r="F66" s="151"/>
      <c r="G66" s="137">
        <v>0</v>
      </c>
      <c r="I66" s="149"/>
      <c r="J66" s="150"/>
      <c r="K66" s="151">
        <v>0</v>
      </c>
      <c r="L66" s="255"/>
      <c r="M66" s="151"/>
      <c r="N66" s="137"/>
    </row>
    <row r="67" spans="2:14" ht="21.75" thickTop="1" x14ac:dyDescent="0.35">
      <c r="C67" s="440"/>
      <c r="D67" s="212">
        <f>SUM(D3:D66)</f>
        <v>0</v>
      </c>
      <c r="E67" s="407"/>
      <c r="F67" s="395">
        <f>SUM(F3:F66)</f>
        <v>0</v>
      </c>
      <c r="G67" s="153">
        <f>SUM(G3:G66)</f>
        <v>0</v>
      </c>
      <c r="I67" s="926" t="s">
        <v>594</v>
      </c>
      <c r="J67" s="927"/>
      <c r="K67" s="642">
        <f>SUM(K3:K66)</f>
        <v>0</v>
      </c>
      <c r="L67" s="713"/>
      <c r="M67" s="209">
        <f>SUM(M3:M66)</f>
        <v>0</v>
      </c>
      <c r="N67" s="153">
        <f>N66</f>
        <v>0</v>
      </c>
    </row>
    <row r="68" spans="2:14" ht="15.75" thickBot="1" x14ac:dyDescent="0.3">
      <c r="C68" s="441"/>
      <c r="D68" s="214"/>
      <c r="E68" s="256"/>
      <c r="F68" s="3"/>
      <c r="G68" s="888" t="s">
        <v>207</v>
      </c>
      <c r="I68" s="928"/>
      <c r="J68" s="929"/>
      <c r="K68" s="1"/>
      <c r="L68" s="256"/>
      <c r="M68" s="3"/>
      <c r="N68" s="1"/>
    </row>
    <row r="69" spans="2:14" x14ac:dyDescent="0.25">
      <c r="C69" s="163"/>
      <c r="D69" s="1"/>
      <c r="E69" s="256"/>
      <c r="F69" s="3"/>
      <c r="G69" s="889"/>
      <c r="K69" s="1"/>
      <c r="L69" s="256"/>
      <c r="M69" s="3"/>
      <c r="N69" s="1"/>
    </row>
    <row r="70" spans="2:14" ht="15.75" x14ac:dyDescent="0.25">
      <c r="B70" s="511"/>
      <c r="C70" s="512"/>
      <c r="D70" s="233"/>
      <c r="F70"/>
      <c r="J70" s="194"/>
      <c r="M70"/>
    </row>
    <row r="71" spans="2:14" ht="15.75" x14ac:dyDescent="0.25">
      <c r="B71" s="511"/>
      <c r="C71" s="512"/>
      <c r="D71" s="233"/>
      <c r="F71"/>
      <c r="H71" s="2"/>
      <c r="I71" s="426"/>
      <c r="J71" s="503"/>
      <c r="K71" s="6"/>
      <c r="L71" s="714"/>
      <c r="M71"/>
    </row>
    <row r="72" spans="2:14" ht="15" customHeight="1" x14ac:dyDescent="0.25">
      <c r="C72" s="194"/>
      <c r="E72" s="456"/>
      <c r="F72"/>
      <c r="H72" s="2"/>
      <c r="I72" s="792"/>
      <c r="J72" s="793"/>
      <c r="K72" s="794"/>
      <c r="L72" s="794"/>
      <c r="M72"/>
      <c r="N72"/>
    </row>
    <row r="73" spans="2:14" ht="15.75" customHeight="1" x14ac:dyDescent="0.25">
      <c r="C73" s="194"/>
      <c r="E73" s="456"/>
      <c r="F73"/>
      <c r="H73" s="2"/>
      <c r="I73" s="792"/>
      <c r="J73" s="793"/>
      <c r="K73" s="794"/>
      <c r="L73" s="794"/>
      <c r="M73"/>
      <c r="N73"/>
    </row>
    <row r="74" spans="2:14" x14ac:dyDescent="0.25">
      <c r="C74" s="194"/>
      <c r="D74" s="129"/>
      <c r="E74" s="456"/>
      <c r="F74"/>
      <c r="H74" s="2"/>
      <c r="I74" s="792"/>
      <c r="J74" s="793"/>
      <c r="K74" s="794"/>
      <c r="L74" s="794"/>
      <c r="M74"/>
      <c r="N74"/>
    </row>
    <row r="75" spans="2:14" ht="15.75" x14ac:dyDescent="0.25">
      <c r="C75" s="194"/>
      <c r="D75" s="233"/>
      <c r="E75" s="456"/>
      <c r="H75" s="2"/>
      <c r="I75" s="2"/>
      <c r="J75" s="2"/>
      <c r="K75" s="2"/>
      <c r="L75" s="714"/>
      <c r="M75"/>
      <c r="N75"/>
    </row>
    <row r="76" spans="2:14" ht="15.75" x14ac:dyDescent="0.25">
      <c r="C76" s="194"/>
      <c r="D76" s="233"/>
      <c r="E76" s="456"/>
      <c r="H76" s="2"/>
      <c r="I76" s="2"/>
      <c r="J76" s="2"/>
      <c r="K76" s="2"/>
      <c r="L76" s="714"/>
      <c r="M76"/>
      <c r="N76"/>
    </row>
    <row r="77" spans="2:14" ht="15.75" x14ac:dyDescent="0.25">
      <c r="C77" s="194"/>
      <c r="D77" s="233"/>
      <c r="E77" s="456"/>
      <c r="I77"/>
      <c r="J77"/>
      <c r="K77"/>
      <c r="M77"/>
      <c r="N77"/>
    </row>
    <row r="78" spans="2:14" ht="15.75" x14ac:dyDescent="0.25">
      <c r="C78" s="194"/>
      <c r="D78" s="233"/>
      <c r="E78" s="456"/>
      <c r="I78"/>
      <c r="J78"/>
      <c r="K78"/>
      <c r="M78"/>
      <c r="N78"/>
    </row>
    <row r="79" spans="2:14" ht="15.75" x14ac:dyDescent="0.25">
      <c r="C79" s="194"/>
      <c r="D79" s="233"/>
      <c r="E79" s="456"/>
      <c r="I79"/>
      <c r="J79"/>
      <c r="K79"/>
      <c r="M79"/>
      <c r="N79"/>
    </row>
    <row r="80" spans="2:14" ht="15.75" x14ac:dyDescent="0.25">
      <c r="C80" s="194"/>
      <c r="D80" s="233"/>
      <c r="E80" s="456"/>
      <c r="I80"/>
      <c r="J80"/>
      <c r="K80"/>
      <c r="M80"/>
      <c r="N80"/>
    </row>
    <row r="81" spans="3:14" ht="15.75" x14ac:dyDescent="0.25">
      <c r="C81" s="116"/>
      <c r="D81" s="233"/>
      <c r="E81" s="456"/>
      <c r="I81"/>
      <c r="J81"/>
      <c r="K81"/>
      <c r="M81"/>
      <c r="N81"/>
    </row>
    <row r="82" spans="3:14" ht="15.75" x14ac:dyDescent="0.25">
      <c r="C82" s="116"/>
      <c r="D82" s="233"/>
      <c r="E82" s="456"/>
      <c r="I82"/>
      <c r="J82"/>
      <c r="K82"/>
      <c r="M82"/>
      <c r="N82"/>
    </row>
    <row r="83" spans="3:14" ht="15.75" x14ac:dyDescent="0.25">
      <c r="C83" s="116"/>
      <c r="D83" s="233"/>
      <c r="E83" s="456"/>
      <c r="I83"/>
      <c r="J83"/>
      <c r="K83"/>
      <c r="M83"/>
      <c r="N83"/>
    </row>
    <row r="84" spans="3:14" ht="15.75" x14ac:dyDescent="0.25">
      <c r="C84" s="116"/>
      <c r="D84" s="233"/>
      <c r="E84" s="456"/>
      <c r="I84"/>
      <c r="J84"/>
      <c r="K84"/>
      <c r="M84"/>
      <c r="N84"/>
    </row>
    <row r="85" spans="3:14" ht="15.75" x14ac:dyDescent="0.25">
      <c r="C85" s="116"/>
      <c r="D85" s="233"/>
      <c r="E85" s="456"/>
      <c r="I85"/>
      <c r="J85"/>
      <c r="K85"/>
      <c r="M85"/>
      <c r="N85"/>
    </row>
    <row r="86" spans="3:14" ht="15.75" x14ac:dyDescent="0.25">
      <c r="C86" s="116"/>
      <c r="D86" s="233"/>
      <c r="E86" s="456"/>
      <c r="I86"/>
      <c r="J86"/>
      <c r="K86"/>
      <c r="M86"/>
      <c r="N86"/>
    </row>
    <row r="87" spans="3:14" ht="15.75" x14ac:dyDescent="0.25">
      <c r="C87" s="116"/>
      <c r="D87" s="233"/>
      <c r="E87" s="456"/>
      <c r="I87"/>
      <c r="J87"/>
      <c r="K87"/>
      <c r="M87"/>
      <c r="N87"/>
    </row>
    <row r="88" spans="3:14" ht="15.75" x14ac:dyDescent="0.25">
      <c r="C88" s="116"/>
      <c r="D88" s="233"/>
      <c r="E88" s="456"/>
      <c r="I88"/>
      <c r="J88"/>
      <c r="K88"/>
      <c r="M88"/>
      <c r="N88"/>
    </row>
    <row r="89" spans="3:14" ht="15.75" x14ac:dyDescent="0.25">
      <c r="C89" s="116"/>
      <c r="D89" s="233"/>
      <c r="E89" s="456"/>
      <c r="I89"/>
      <c r="J89"/>
      <c r="K89"/>
      <c r="M89"/>
      <c r="N89"/>
    </row>
    <row r="90" spans="3:14" ht="15.75" x14ac:dyDescent="0.25">
      <c r="C90" s="116"/>
      <c r="D90" s="233"/>
      <c r="E90" s="456"/>
      <c r="I90"/>
      <c r="J90"/>
      <c r="K90"/>
      <c r="M90"/>
      <c r="N90"/>
    </row>
    <row r="91" spans="3:14" ht="15.75" x14ac:dyDescent="0.25">
      <c r="C91" s="116"/>
      <c r="D91" s="233"/>
      <c r="E91" s="456"/>
      <c r="I91"/>
      <c r="J91"/>
      <c r="K91"/>
      <c r="M91"/>
      <c r="N91"/>
    </row>
    <row r="92" spans="3:14" ht="15.75" x14ac:dyDescent="0.25">
      <c r="C92" s="116"/>
      <c r="D92" s="233"/>
      <c r="E92" s="456"/>
      <c r="I92"/>
      <c r="J92"/>
      <c r="K92"/>
      <c r="M92"/>
      <c r="N92"/>
    </row>
    <row r="93" spans="3:14" ht="15.75" x14ac:dyDescent="0.25">
      <c r="C93" s="116"/>
      <c r="D93" s="233"/>
      <c r="E93" s="456"/>
      <c r="I93"/>
      <c r="J93"/>
      <c r="K93"/>
      <c r="M93"/>
      <c r="N93"/>
    </row>
    <row r="94" spans="3:14" ht="15.75" x14ac:dyDescent="0.25">
      <c r="C94" s="116"/>
      <c r="D94" s="233"/>
      <c r="E94" s="456"/>
      <c r="I94"/>
      <c r="J94"/>
      <c r="K94"/>
      <c r="M94"/>
      <c r="N94"/>
    </row>
    <row r="95" spans="3:14" ht="15.75" x14ac:dyDescent="0.25">
      <c r="C95" s="116"/>
      <c r="D95" s="233"/>
      <c r="E95" s="456"/>
      <c r="I95"/>
      <c r="J95"/>
      <c r="K95"/>
      <c r="M95"/>
      <c r="N95"/>
    </row>
    <row r="96" spans="3:14" ht="15.75" x14ac:dyDescent="0.25">
      <c r="C96" s="116"/>
      <c r="D96" s="233"/>
      <c r="E96" s="456"/>
      <c r="I96"/>
      <c r="J96"/>
      <c r="K96"/>
      <c r="M96"/>
      <c r="N96"/>
    </row>
    <row r="97" spans="3:14" x14ac:dyDescent="0.25">
      <c r="C97" s="116"/>
      <c r="D97" s="129"/>
      <c r="E97" s="456"/>
      <c r="I97"/>
      <c r="J97"/>
      <c r="K97"/>
      <c r="M97"/>
      <c r="N97"/>
    </row>
    <row r="98" spans="3:14" x14ac:dyDescent="0.25">
      <c r="C98" s="116"/>
      <c r="D98" s="129"/>
      <c r="E98" s="456"/>
      <c r="I98"/>
      <c r="J98"/>
      <c r="K98"/>
      <c r="M98"/>
      <c r="N98"/>
    </row>
    <row r="99" spans="3:14" x14ac:dyDescent="0.25">
      <c r="C99" s="116"/>
      <c r="D99" s="129"/>
      <c r="E99" s="456"/>
      <c r="I99"/>
      <c r="J99"/>
      <c r="K99"/>
      <c r="M99"/>
      <c r="N99"/>
    </row>
    <row r="100" spans="3:14" x14ac:dyDescent="0.25">
      <c r="C100" s="116"/>
      <c r="D100" s="129"/>
      <c r="E100" s="456"/>
      <c r="I100"/>
      <c r="J100"/>
      <c r="K100"/>
      <c r="M100"/>
      <c r="N100"/>
    </row>
    <row r="101" spans="3:14" x14ac:dyDescent="0.25">
      <c r="C101" s="116"/>
      <c r="D101" s="129"/>
      <c r="E101" s="456"/>
      <c r="I101"/>
      <c r="J101"/>
      <c r="K101"/>
      <c r="M101"/>
      <c r="N101"/>
    </row>
    <row r="102" spans="3:14" x14ac:dyDescent="0.25">
      <c r="C102" s="116"/>
      <c r="E102" s="456"/>
      <c r="I102"/>
      <c r="J102"/>
      <c r="K102"/>
      <c r="M102"/>
      <c r="N102"/>
    </row>
    <row r="103" spans="3:14" x14ac:dyDescent="0.25">
      <c r="C103" s="116"/>
      <c r="E103" s="456"/>
      <c r="I103"/>
      <c r="J103"/>
      <c r="K103"/>
      <c r="M103"/>
      <c r="N103"/>
    </row>
    <row r="104" spans="3:14" x14ac:dyDescent="0.25">
      <c r="C104" s="116"/>
      <c r="E104" s="456"/>
      <c r="I104"/>
      <c r="J104"/>
      <c r="K104"/>
      <c r="M104"/>
      <c r="N104"/>
    </row>
    <row r="105" spans="3:14" x14ac:dyDescent="0.25">
      <c r="C105" s="116"/>
      <c r="E105" s="456"/>
      <c r="I105"/>
      <c r="J105"/>
      <c r="K105"/>
      <c r="M105"/>
      <c r="N105"/>
    </row>
    <row r="106" spans="3:14" x14ac:dyDescent="0.25">
      <c r="C106" s="116"/>
      <c r="E106" s="456"/>
      <c r="I106"/>
      <c r="J106"/>
      <c r="K106"/>
      <c r="M106"/>
      <c r="N106"/>
    </row>
    <row r="107" spans="3:14" x14ac:dyDescent="0.25">
      <c r="C107" s="116"/>
      <c r="E107" s="456"/>
      <c r="I107"/>
      <c r="J107"/>
      <c r="K107"/>
      <c r="M107"/>
      <c r="N107"/>
    </row>
    <row r="108" spans="3:14" x14ac:dyDescent="0.25">
      <c r="C108" s="116"/>
      <c r="E108" s="456"/>
      <c r="I108"/>
      <c r="J108"/>
      <c r="K108"/>
      <c r="M108"/>
      <c r="N108"/>
    </row>
    <row r="109" spans="3:14" x14ac:dyDescent="0.25">
      <c r="C109" s="116"/>
      <c r="E109" s="456"/>
      <c r="I109"/>
      <c r="J109"/>
      <c r="K109"/>
      <c r="M109"/>
      <c r="N109"/>
    </row>
    <row r="110" spans="3:14" x14ac:dyDescent="0.25">
      <c r="C110" s="116"/>
      <c r="E110" s="456"/>
      <c r="I110"/>
      <c r="J110"/>
      <c r="K110"/>
      <c r="M110"/>
      <c r="N110"/>
    </row>
    <row r="111" spans="3:14" x14ac:dyDescent="0.25">
      <c r="C111" s="116"/>
      <c r="E111" s="456"/>
      <c r="I111"/>
      <c r="J111"/>
      <c r="K111"/>
      <c r="M111"/>
      <c r="N111"/>
    </row>
    <row r="112" spans="3:14" x14ac:dyDescent="0.25">
      <c r="C112" s="116"/>
      <c r="E112" s="456"/>
      <c r="I112"/>
      <c r="J112"/>
      <c r="K112"/>
      <c r="M112"/>
      <c r="N112"/>
    </row>
    <row r="113" spans="3:14" x14ac:dyDescent="0.25">
      <c r="C113" s="116"/>
      <c r="E113" s="456"/>
      <c r="I113"/>
      <c r="J113"/>
      <c r="K113"/>
      <c r="M113"/>
      <c r="N113"/>
    </row>
    <row r="114" spans="3:14" x14ac:dyDescent="0.25">
      <c r="C114" s="116"/>
      <c r="E114" s="456"/>
      <c r="I114"/>
      <c r="J114"/>
      <c r="K114"/>
      <c r="M114"/>
      <c r="N114"/>
    </row>
    <row r="115" spans="3:14" x14ac:dyDescent="0.25">
      <c r="C115" s="116"/>
      <c r="E115" s="456"/>
      <c r="I115"/>
      <c r="J115"/>
      <c r="K115"/>
      <c r="M115"/>
      <c r="N115"/>
    </row>
    <row r="116" spans="3:14" x14ac:dyDescent="0.25">
      <c r="C116" s="116"/>
      <c r="E116" s="456"/>
      <c r="I116"/>
      <c r="J116"/>
      <c r="K116"/>
      <c r="M116"/>
      <c r="N116"/>
    </row>
    <row r="117" spans="3:14" x14ac:dyDescent="0.25">
      <c r="C117" s="116"/>
      <c r="E117" s="456"/>
      <c r="I117"/>
      <c r="J117"/>
      <c r="K117"/>
      <c r="M117"/>
      <c r="N117"/>
    </row>
    <row r="118" spans="3:14" x14ac:dyDescent="0.25">
      <c r="C118" s="116"/>
      <c r="E118" s="456"/>
      <c r="I118"/>
      <c r="J118"/>
      <c r="K118"/>
      <c r="M118"/>
      <c r="N118"/>
    </row>
    <row r="119" spans="3:14" x14ac:dyDescent="0.25">
      <c r="C119" s="116"/>
      <c r="E119" s="456"/>
      <c r="I119"/>
      <c r="J119"/>
      <c r="K119"/>
      <c r="M119"/>
      <c r="N119"/>
    </row>
    <row r="120" spans="3:14" x14ac:dyDescent="0.25">
      <c r="C120" s="116"/>
      <c r="E120" s="456"/>
      <c r="I120"/>
      <c r="J120"/>
      <c r="K120"/>
      <c r="M120"/>
      <c r="N120"/>
    </row>
    <row r="121" spans="3:14" x14ac:dyDescent="0.25">
      <c r="C121" s="116"/>
      <c r="E121" s="456"/>
      <c r="I121"/>
      <c r="J121"/>
      <c r="K121"/>
      <c r="M121"/>
      <c r="N121"/>
    </row>
    <row r="122" spans="3:14" x14ac:dyDescent="0.25">
      <c r="C122" s="116"/>
      <c r="E122" s="456"/>
      <c r="I122"/>
      <c r="J122"/>
      <c r="K122"/>
      <c r="M122"/>
      <c r="N122"/>
    </row>
    <row r="123" spans="3:14" x14ac:dyDescent="0.25">
      <c r="C123" s="116"/>
      <c r="E123" s="456"/>
      <c r="I123"/>
      <c r="J123"/>
      <c r="K123"/>
      <c r="M123"/>
      <c r="N123"/>
    </row>
  </sheetData>
  <mergeCells count="3">
    <mergeCell ref="I40:J42"/>
    <mergeCell ref="I67:J68"/>
    <mergeCell ref="G68:G69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2060"/>
  </sheetPr>
  <dimension ref="A1:Z80"/>
  <sheetViews>
    <sheetView topLeftCell="A22" workbookViewId="0">
      <selection activeCell="I20" sqref="I20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5.5703125" style="4" bestFit="1" customWidth="1"/>
    <col min="14" max="14" width="15.5703125" style="1" bestFit="1" customWidth="1"/>
    <col min="15" max="15" width="1.5703125" customWidth="1"/>
    <col min="16" max="16" width="16.85546875" hidden="1" customWidth="1"/>
    <col min="17" max="17" width="18.140625" style="225" customWidth="1"/>
    <col min="18" max="18" width="15.28515625" style="227" hidden="1" customWidth="1"/>
    <col min="19" max="21" width="0" hidden="1" customWidth="1"/>
    <col min="23" max="23" width="17.42578125" bestFit="1" customWidth="1"/>
    <col min="24" max="24" width="17.140625" customWidth="1"/>
  </cols>
  <sheetData>
    <row r="1" spans="1:25" ht="23.25" x14ac:dyDescent="0.35">
      <c r="B1" s="826"/>
      <c r="C1" s="828" t="s">
        <v>208</v>
      </c>
      <c r="D1" s="829"/>
      <c r="E1" s="829"/>
      <c r="F1" s="829"/>
      <c r="G1" s="829"/>
      <c r="H1" s="829"/>
      <c r="I1" s="829"/>
      <c r="J1" s="829"/>
      <c r="K1" s="829"/>
      <c r="L1" s="829"/>
      <c r="M1" s="829"/>
    </row>
    <row r="2" spans="1:25" ht="16.5" thickBot="1" x14ac:dyDescent="0.3">
      <c r="B2" s="827"/>
      <c r="C2" s="3"/>
      <c r="H2" s="5"/>
      <c r="I2" s="6"/>
      <c r="J2" s="7"/>
      <c r="L2" s="8"/>
      <c r="M2" s="6"/>
      <c r="N2" s="9"/>
    </row>
    <row r="3" spans="1:25" ht="21.75" thickBot="1" x14ac:dyDescent="0.35">
      <c r="B3" s="830" t="s">
        <v>0</v>
      </c>
      <c r="C3" s="831"/>
      <c r="D3" s="10"/>
      <c r="E3" s="11"/>
      <c r="F3" s="11"/>
      <c r="H3" s="832" t="s">
        <v>26</v>
      </c>
      <c r="I3" s="832"/>
      <c r="K3" s="165"/>
      <c r="L3" s="13"/>
      <c r="M3" s="14"/>
      <c r="P3" s="869" t="s">
        <v>6</v>
      </c>
    </row>
    <row r="4" spans="1:25" ht="20.25" thickTop="1" thickBot="1" x14ac:dyDescent="0.35">
      <c r="A4" s="15" t="s">
        <v>1</v>
      </c>
      <c r="B4" s="16"/>
      <c r="C4" s="17">
        <v>567389.35</v>
      </c>
      <c r="D4" s="18">
        <v>44507</v>
      </c>
      <c r="E4" s="833" t="s">
        <v>2</v>
      </c>
      <c r="F4" s="834"/>
      <c r="H4" s="835" t="s">
        <v>3</v>
      </c>
      <c r="I4" s="836"/>
      <c r="J4" s="19"/>
      <c r="K4" s="166"/>
      <c r="L4" s="20"/>
      <c r="M4" s="21" t="s">
        <v>4</v>
      </c>
      <c r="N4" s="22" t="s">
        <v>5</v>
      </c>
      <c r="P4" s="870"/>
      <c r="Q4" s="286" t="s">
        <v>209</v>
      </c>
      <c r="W4" s="879" t="s">
        <v>124</v>
      </c>
      <c r="X4" s="879"/>
      <c r="Y4" s="227"/>
    </row>
    <row r="5" spans="1:25" ht="18" thickBot="1" x14ac:dyDescent="0.35">
      <c r="A5" s="23" t="s">
        <v>7</v>
      </c>
      <c r="B5" s="24">
        <v>44508</v>
      </c>
      <c r="C5" s="25">
        <v>11855</v>
      </c>
      <c r="D5" s="26" t="s">
        <v>98</v>
      </c>
      <c r="E5" s="27">
        <v>44508</v>
      </c>
      <c r="F5" s="28">
        <v>55699</v>
      </c>
      <c r="G5" s="2"/>
      <c r="H5" s="29">
        <v>44508</v>
      </c>
      <c r="I5" s="30">
        <v>445</v>
      </c>
      <c r="J5" s="37"/>
      <c r="K5" s="31"/>
      <c r="L5" s="9"/>
      <c r="M5" s="32">
        <v>0</v>
      </c>
      <c r="N5" s="33">
        <v>15463</v>
      </c>
      <c r="O5" s="2"/>
      <c r="P5" s="34">
        <f>N5+M5+L5+I5+C5</f>
        <v>27763</v>
      </c>
      <c r="Q5" s="287">
        <f>P5-F5</f>
        <v>-27936</v>
      </c>
      <c r="R5" s="229">
        <f>20000+7936</f>
        <v>27936</v>
      </c>
      <c r="W5" s="879"/>
      <c r="X5" s="879"/>
      <c r="Y5" s="233"/>
    </row>
    <row r="6" spans="1:25" ht="18" thickBot="1" x14ac:dyDescent="0.35">
      <c r="A6" s="23"/>
      <c r="B6" s="24">
        <v>44509</v>
      </c>
      <c r="C6" s="25">
        <v>366</v>
      </c>
      <c r="D6" s="35" t="s">
        <v>99</v>
      </c>
      <c r="E6" s="27">
        <v>44509</v>
      </c>
      <c r="F6" s="28">
        <v>37647</v>
      </c>
      <c r="G6" s="2"/>
      <c r="H6" s="36">
        <v>44509</v>
      </c>
      <c r="I6" s="30">
        <v>243</v>
      </c>
      <c r="J6" s="37"/>
      <c r="K6" s="38"/>
      <c r="L6" s="39"/>
      <c r="M6" s="32">
        <v>0</v>
      </c>
      <c r="N6" s="33">
        <v>10660</v>
      </c>
      <c r="O6" s="2"/>
      <c r="P6" s="39">
        <f>N6+M6+L6+I6+C6</f>
        <v>11269</v>
      </c>
      <c r="Q6" s="287">
        <f>P6-F6</f>
        <v>-26378</v>
      </c>
      <c r="R6" s="285">
        <f>22000+4378</f>
        <v>26378</v>
      </c>
      <c r="S6" s="147"/>
      <c r="W6" s="234">
        <v>50000</v>
      </c>
      <c r="X6" s="237">
        <v>44505</v>
      </c>
      <c r="Y6" s="13"/>
    </row>
    <row r="7" spans="1:25" ht="18" thickBot="1" x14ac:dyDescent="0.35">
      <c r="A7" s="23"/>
      <c r="B7" s="24">
        <v>44510</v>
      </c>
      <c r="C7" s="25">
        <v>0</v>
      </c>
      <c r="D7" s="40"/>
      <c r="E7" s="27">
        <v>44510</v>
      </c>
      <c r="F7" s="28">
        <v>34995</v>
      </c>
      <c r="G7" s="2"/>
      <c r="H7" s="36">
        <v>44510</v>
      </c>
      <c r="I7" s="30">
        <v>64</v>
      </c>
      <c r="J7" s="37"/>
      <c r="K7" s="38"/>
      <c r="L7" s="39"/>
      <c r="M7" s="32">
        <v>0</v>
      </c>
      <c r="N7" s="33">
        <v>4538</v>
      </c>
      <c r="O7" s="224"/>
      <c r="P7" s="39">
        <f t="shared" ref="P7:P32" si="0">N7+M7+L7+I7+C7</f>
        <v>4602</v>
      </c>
      <c r="Q7" s="287">
        <f t="shared" ref="Q7:Q35" si="1">P7-F7</f>
        <v>-30393</v>
      </c>
      <c r="R7" s="285">
        <f>26000+4393</f>
        <v>30393</v>
      </c>
      <c r="S7" s="147"/>
      <c r="W7" s="234">
        <v>50000</v>
      </c>
      <c r="X7" s="237">
        <v>44505</v>
      </c>
      <c r="Y7" s="13"/>
    </row>
    <row r="8" spans="1:25" ht="18" thickBot="1" x14ac:dyDescent="0.35">
      <c r="A8" s="23"/>
      <c r="B8" s="24">
        <v>44511</v>
      </c>
      <c r="C8" s="25">
        <v>10911</v>
      </c>
      <c r="D8" s="42" t="s">
        <v>100</v>
      </c>
      <c r="E8" s="27">
        <v>44511</v>
      </c>
      <c r="F8" s="28">
        <v>42232</v>
      </c>
      <c r="G8" s="2"/>
      <c r="H8" s="36">
        <v>44511</v>
      </c>
      <c r="I8" s="30">
        <v>37</v>
      </c>
      <c r="J8" s="43">
        <v>44511</v>
      </c>
      <c r="K8" s="38" t="s">
        <v>30</v>
      </c>
      <c r="L8" s="39">
        <v>1665</v>
      </c>
      <c r="M8" s="32">
        <v>0</v>
      </c>
      <c r="N8" s="33">
        <v>9420</v>
      </c>
      <c r="O8" s="2"/>
      <c r="P8" s="39">
        <f t="shared" si="0"/>
        <v>22033</v>
      </c>
      <c r="Q8" s="287">
        <f t="shared" si="1"/>
        <v>-20199</v>
      </c>
      <c r="R8" s="285">
        <f>20065+133</f>
        <v>20198</v>
      </c>
      <c r="S8" s="147"/>
      <c r="W8" s="234">
        <v>50000</v>
      </c>
      <c r="X8" s="237">
        <v>44505</v>
      </c>
      <c r="Y8" s="13"/>
    </row>
    <row r="9" spans="1:25" ht="18" thickBot="1" x14ac:dyDescent="0.35">
      <c r="A9" s="23"/>
      <c r="B9" s="24">
        <v>44512</v>
      </c>
      <c r="C9" s="25">
        <v>3408</v>
      </c>
      <c r="D9" s="42" t="s">
        <v>101</v>
      </c>
      <c r="E9" s="27">
        <v>44512</v>
      </c>
      <c r="F9" s="28">
        <v>53684</v>
      </c>
      <c r="G9" s="2"/>
      <c r="H9" s="36">
        <v>44512</v>
      </c>
      <c r="I9" s="30">
        <v>72</v>
      </c>
      <c r="J9" s="37">
        <v>44512</v>
      </c>
      <c r="K9" s="223" t="s">
        <v>30</v>
      </c>
      <c r="L9" s="39">
        <v>2280</v>
      </c>
      <c r="M9" s="32">
        <v>0</v>
      </c>
      <c r="N9" s="33">
        <v>12246</v>
      </c>
      <c r="O9" s="2"/>
      <c r="P9" s="39">
        <f t="shared" ref="P9:P14" si="2">N9+M9+L9+I9+C9</f>
        <v>18006</v>
      </c>
      <c r="Q9" s="287">
        <f t="shared" si="1"/>
        <v>-35678</v>
      </c>
      <c r="R9" s="285">
        <f>35678</f>
        <v>35678</v>
      </c>
      <c r="S9" s="147"/>
      <c r="W9" s="234">
        <v>100000</v>
      </c>
      <c r="X9" s="238">
        <v>44509</v>
      </c>
      <c r="Y9" s="13"/>
    </row>
    <row r="10" spans="1:25" ht="18" thickBot="1" x14ac:dyDescent="0.35">
      <c r="A10" s="23"/>
      <c r="B10" s="24">
        <v>44513</v>
      </c>
      <c r="C10" s="25">
        <v>6328</v>
      </c>
      <c r="D10" s="40" t="s">
        <v>102</v>
      </c>
      <c r="E10" s="27">
        <v>44513</v>
      </c>
      <c r="F10" s="28">
        <v>71293</v>
      </c>
      <c r="G10" s="2"/>
      <c r="H10" s="36">
        <v>44513</v>
      </c>
      <c r="I10" s="30">
        <v>60</v>
      </c>
      <c r="J10" s="37"/>
      <c r="K10" s="167"/>
      <c r="L10" s="45">
        <v>0</v>
      </c>
      <c r="M10" s="32">
        <v>13100</v>
      </c>
      <c r="N10" s="33">
        <v>20880</v>
      </c>
      <c r="O10" s="2" t="s">
        <v>120</v>
      </c>
      <c r="P10" s="39">
        <f t="shared" si="2"/>
        <v>40368</v>
      </c>
      <c r="Q10" s="287">
        <f t="shared" si="1"/>
        <v>-30925</v>
      </c>
      <c r="R10" s="285">
        <f>30925</f>
        <v>30925</v>
      </c>
      <c r="S10" s="147"/>
      <c r="W10" s="234">
        <v>215000</v>
      </c>
      <c r="X10" s="238">
        <v>44510</v>
      </c>
      <c r="Y10" s="13"/>
    </row>
    <row r="11" spans="1:25" ht="18" thickBot="1" x14ac:dyDescent="0.35">
      <c r="A11" s="23"/>
      <c r="B11" s="24">
        <v>44514</v>
      </c>
      <c r="C11" s="25">
        <v>0</v>
      </c>
      <c r="D11" s="35"/>
      <c r="E11" s="27">
        <v>44514</v>
      </c>
      <c r="F11" s="28">
        <v>48859</v>
      </c>
      <c r="G11" s="2"/>
      <c r="H11" s="36">
        <v>44514</v>
      </c>
      <c r="I11" s="30">
        <v>1875</v>
      </c>
      <c r="J11" s="43"/>
      <c r="K11" s="168"/>
      <c r="L11" s="39"/>
      <c r="M11" s="32">
        <v>0</v>
      </c>
      <c r="N11" s="33">
        <v>11746</v>
      </c>
      <c r="O11" s="2"/>
      <c r="P11" s="39">
        <f t="shared" si="2"/>
        <v>13621</v>
      </c>
      <c r="Q11" s="287">
        <f t="shared" si="1"/>
        <v>-35238</v>
      </c>
      <c r="R11" s="285">
        <f>35238</f>
        <v>35238</v>
      </c>
      <c r="S11" s="147"/>
      <c r="W11" s="234">
        <v>200500</v>
      </c>
      <c r="X11" s="237">
        <v>44517</v>
      </c>
      <c r="Y11" s="13"/>
    </row>
    <row r="12" spans="1:25" ht="18" thickBot="1" x14ac:dyDescent="0.35">
      <c r="A12" s="23"/>
      <c r="B12" s="24">
        <v>44515</v>
      </c>
      <c r="C12" s="25">
        <v>1310</v>
      </c>
      <c r="D12" s="35" t="s">
        <v>103</v>
      </c>
      <c r="E12" s="27">
        <v>44515</v>
      </c>
      <c r="F12" s="28">
        <v>50041</v>
      </c>
      <c r="G12" s="2"/>
      <c r="H12" s="36">
        <v>44515</v>
      </c>
      <c r="I12" s="30">
        <v>2054</v>
      </c>
      <c r="J12" s="37"/>
      <c r="K12" s="169" t="s">
        <v>104</v>
      </c>
      <c r="L12" s="39"/>
      <c r="M12" s="32">
        <v>0</v>
      </c>
      <c r="N12" s="33">
        <v>16831</v>
      </c>
      <c r="O12" s="2"/>
      <c r="P12" s="39">
        <f t="shared" si="2"/>
        <v>20195</v>
      </c>
      <c r="Q12" s="287">
        <f t="shared" si="1"/>
        <v>-29846</v>
      </c>
      <c r="R12" s="285">
        <f>29000+846</f>
        <v>29846</v>
      </c>
      <c r="S12" s="147"/>
      <c r="W12" s="234">
        <v>260000</v>
      </c>
      <c r="X12" s="237">
        <v>44523</v>
      </c>
      <c r="Y12" s="13"/>
    </row>
    <row r="13" spans="1:25" ht="18" thickBot="1" x14ac:dyDescent="0.35">
      <c r="A13" s="23"/>
      <c r="B13" s="24">
        <v>44516</v>
      </c>
      <c r="C13" s="25">
        <v>1739.36</v>
      </c>
      <c r="D13" s="42" t="s">
        <v>105</v>
      </c>
      <c r="E13" s="27">
        <v>44516</v>
      </c>
      <c r="F13" s="28">
        <v>65408</v>
      </c>
      <c r="G13" s="2"/>
      <c r="H13" s="36">
        <v>44516</v>
      </c>
      <c r="I13" s="30">
        <v>1037</v>
      </c>
      <c r="J13" s="37"/>
      <c r="K13" s="38"/>
      <c r="L13" s="39"/>
      <c r="M13" s="32">
        <v>0</v>
      </c>
      <c r="N13" s="33">
        <v>21106</v>
      </c>
      <c r="O13" s="2"/>
      <c r="P13" s="39">
        <f t="shared" si="2"/>
        <v>23882.36</v>
      </c>
      <c r="Q13" s="287">
        <f t="shared" si="1"/>
        <v>-41525.64</v>
      </c>
      <c r="R13" s="285">
        <f>41050+1147</f>
        <v>42197</v>
      </c>
      <c r="S13" s="231" t="s">
        <v>106</v>
      </c>
      <c r="T13" s="230"/>
      <c r="U13" s="230"/>
      <c r="W13" s="234">
        <v>9636</v>
      </c>
      <c r="X13" s="237">
        <v>44533</v>
      </c>
      <c r="Y13" s="13"/>
    </row>
    <row r="14" spans="1:25" ht="18" thickBot="1" x14ac:dyDescent="0.35">
      <c r="A14" s="23"/>
      <c r="B14" s="24">
        <v>44517</v>
      </c>
      <c r="C14" s="25">
        <v>6557.5</v>
      </c>
      <c r="D14" s="40" t="s">
        <v>107</v>
      </c>
      <c r="E14" s="27">
        <v>44517</v>
      </c>
      <c r="F14" s="28">
        <v>53925</v>
      </c>
      <c r="G14" s="2"/>
      <c r="H14" s="36">
        <v>44517</v>
      </c>
      <c r="I14" s="30">
        <v>36</v>
      </c>
      <c r="J14" s="37"/>
      <c r="K14" s="38"/>
      <c r="L14" s="39"/>
      <c r="M14" s="32">
        <v>0</v>
      </c>
      <c r="N14" s="33">
        <v>19362</v>
      </c>
      <c r="O14" s="2"/>
      <c r="P14" s="39">
        <f t="shared" si="2"/>
        <v>25955.5</v>
      </c>
      <c r="Q14" s="287">
        <f t="shared" si="1"/>
        <v>-27969.5</v>
      </c>
      <c r="R14" s="285">
        <v>27970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44518</v>
      </c>
      <c r="C15" s="25">
        <v>5383</v>
      </c>
      <c r="D15" s="40" t="s">
        <v>108</v>
      </c>
      <c r="E15" s="27">
        <v>44518</v>
      </c>
      <c r="F15" s="28">
        <v>47322</v>
      </c>
      <c r="G15" s="2"/>
      <c r="H15" s="36">
        <v>44518</v>
      </c>
      <c r="I15" s="30">
        <v>369</v>
      </c>
      <c r="J15" s="37"/>
      <c r="K15" s="38"/>
      <c r="L15" s="39"/>
      <c r="M15" s="32">
        <v>0</v>
      </c>
      <c r="N15" s="33">
        <v>8790</v>
      </c>
      <c r="P15" s="39">
        <f t="shared" si="0"/>
        <v>14542</v>
      </c>
      <c r="Q15" s="287">
        <f t="shared" si="1"/>
        <v>-32780</v>
      </c>
      <c r="R15" s="285">
        <v>32780</v>
      </c>
      <c r="S15" s="147"/>
      <c r="W15" s="234">
        <v>0</v>
      </c>
      <c r="X15" s="237"/>
      <c r="Y15" s="13"/>
    </row>
    <row r="16" spans="1:25" ht="18" thickBot="1" x14ac:dyDescent="0.35">
      <c r="A16" s="23"/>
      <c r="B16" s="24">
        <v>44519</v>
      </c>
      <c r="C16" s="25">
        <v>6078</v>
      </c>
      <c r="D16" s="35" t="s">
        <v>109</v>
      </c>
      <c r="E16" s="27">
        <v>44519</v>
      </c>
      <c r="F16" s="28">
        <v>58831</v>
      </c>
      <c r="G16" s="2"/>
      <c r="H16" s="36">
        <v>44519</v>
      </c>
      <c r="I16" s="30">
        <v>82</v>
      </c>
      <c r="J16" s="37"/>
      <c r="K16" s="169"/>
      <c r="L16" s="9"/>
      <c r="M16" s="32">
        <v>0</v>
      </c>
      <c r="N16" s="33">
        <v>15295</v>
      </c>
      <c r="P16" s="39">
        <f t="shared" si="0"/>
        <v>21455</v>
      </c>
      <c r="Q16" s="287">
        <f t="shared" si="1"/>
        <v>-37376</v>
      </c>
      <c r="R16" s="285">
        <v>37376</v>
      </c>
      <c r="S16" s="147"/>
      <c r="W16" s="234">
        <v>0</v>
      </c>
      <c r="X16" s="239"/>
      <c r="Y16" s="233"/>
    </row>
    <row r="17" spans="1:26" ht="18" thickBot="1" x14ac:dyDescent="0.35">
      <c r="A17" s="23"/>
      <c r="B17" s="24">
        <v>44520</v>
      </c>
      <c r="C17" s="25">
        <v>16886.12</v>
      </c>
      <c r="D17" s="42" t="s">
        <v>110</v>
      </c>
      <c r="E17" s="27">
        <v>44520</v>
      </c>
      <c r="F17" s="28">
        <v>59425</v>
      </c>
      <c r="G17" s="2"/>
      <c r="H17" s="36">
        <v>44520</v>
      </c>
      <c r="I17" s="30">
        <v>0</v>
      </c>
      <c r="J17" s="37">
        <v>44520</v>
      </c>
      <c r="K17" s="232" t="s">
        <v>111</v>
      </c>
      <c r="L17" s="226">
        <f>1285.71</f>
        <v>1285.71</v>
      </c>
      <c r="M17" s="32">
        <v>12537.5</v>
      </c>
      <c r="N17" s="33">
        <v>18910</v>
      </c>
      <c r="O17" t="s">
        <v>120</v>
      </c>
      <c r="P17" s="39">
        <f t="shared" si="0"/>
        <v>49619.33</v>
      </c>
      <c r="Q17" s="287">
        <f t="shared" si="1"/>
        <v>-9805.6699999999983</v>
      </c>
      <c r="R17" s="285">
        <f>9805.9+12537.27+1285.71</f>
        <v>23628.879999999997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44521</v>
      </c>
      <c r="C18" s="25">
        <v>0</v>
      </c>
      <c r="D18" s="35"/>
      <c r="E18" s="27">
        <v>44521</v>
      </c>
      <c r="F18" s="28">
        <v>45176</v>
      </c>
      <c r="G18" s="2"/>
      <c r="H18" s="36">
        <v>44521</v>
      </c>
      <c r="I18" s="30">
        <v>1515</v>
      </c>
      <c r="J18" s="37"/>
      <c r="K18" s="170"/>
      <c r="L18" s="39"/>
      <c r="M18" s="32">
        <v>0</v>
      </c>
      <c r="N18" s="33">
        <v>21981</v>
      </c>
      <c r="P18" s="39">
        <f t="shared" si="0"/>
        <v>23496</v>
      </c>
      <c r="Q18" s="287">
        <f t="shared" si="1"/>
        <v>-21680</v>
      </c>
      <c r="R18" s="285">
        <v>21680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44522</v>
      </c>
      <c r="C19" s="25">
        <v>2692</v>
      </c>
      <c r="D19" s="35" t="s">
        <v>103</v>
      </c>
      <c r="E19" s="27">
        <v>44522</v>
      </c>
      <c r="F19" s="28">
        <v>52088</v>
      </c>
      <c r="G19" s="2"/>
      <c r="H19" s="36">
        <v>44522</v>
      </c>
      <c r="I19" s="30">
        <v>0</v>
      </c>
      <c r="J19" s="37"/>
      <c r="K19" s="46"/>
      <c r="L19" s="47"/>
      <c r="M19" s="32">
        <v>0</v>
      </c>
      <c r="N19" s="33">
        <v>23026</v>
      </c>
      <c r="P19" s="39">
        <f t="shared" si="0"/>
        <v>25718</v>
      </c>
      <c r="Q19" s="287">
        <f t="shared" si="1"/>
        <v>-26370</v>
      </c>
      <c r="R19" s="285">
        <v>26370</v>
      </c>
      <c r="S19" s="147"/>
      <c r="W19" s="883">
        <f>SUM(W6:W18)</f>
        <v>935136</v>
      </c>
      <c r="X19" s="240"/>
      <c r="Y19" s="233"/>
    </row>
    <row r="20" spans="1:26" ht="18" thickBot="1" x14ac:dyDescent="0.35">
      <c r="A20" s="23"/>
      <c r="B20" s="24">
        <v>44523</v>
      </c>
      <c r="C20" s="25">
        <v>6094.61</v>
      </c>
      <c r="D20" s="35" t="s">
        <v>102</v>
      </c>
      <c r="E20" s="27">
        <v>44523</v>
      </c>
      <c r="F20" s="28">
        <v>38542</v>
      </c>
      <c r="G20" s="2"/>
      <c r="H20" s="36">
        <v>44523</v>
      </c>
      <c r="I20" s="30">
        <v>3668.56</v>
      </c>
      <c r="J20" s="37"/>
      <c r="K20" s="171"/>
      <c r="L20" s="45"/>
      <c r="M20" s="32">
        <v>0</v>
      </c>
      <c r="N20" s="33">
        <v>12383</v>
      </c>
      <c r="P20" s="39">
        <f t="shared" si="0"/>
        <v>22146.17</v>
      </c>
      <c r="Q20" s="287">
        <f t="shared" si="1"/>
        <v>-16395.830000000002</v>
      </c>
      <c r="R20" s="285">
        <v>16395.830000000002</v>
      </c>
      <c r="S20" s="147"/>
      <c r="W20" s="884"/>
      <c r="X20" s="268"/>
      <c r="Y20" s="233"/>
    </row>
    <row r="21" spans="1:26" ht="18" thickBot="1" x14ac:dyDescent="0.35">
      <c r="A21" s="23"/>
      <c r="B21" s="24">
        <v>44524</v>
      </c>
      <c r="C21" s="25">
        <v>2763.18</v>
      </c>
      <c r="D21" s="35" t="s">
        <v>112</v>
      </c>
      <c r="E21" s="27">
        <v>44524</v>
      </c>
      <c r="F21" s="28">
        <v>34933</v>
      </c>
      <c r="G21" s="2"/>
      <c r="H21" s="36">
        <v>44524</v>
      </c>
      <c r="I21" s="30">
        <v>3972</v>
      </c>
      <c r="J21" s="37"/>
      <c r="K21" s="48"/>
      <c r="L21" s="45"/>
      <c r="M21" s="32">
        <v>0</v>
      </c>
      <c r="N21" s="33">
        <v>9009</v>
      </c>
      <c r="P21" s="39">
        <f t="shared" si="0"/>
        <v>15744.18</v>
      </c>
      <c r="Q21" s="287">
        <f t="shared" si="1"/>
        <v>-19188.82</v>
      </c>
      <c r="R21" s="285">
        <v>19188.82</v>
      </c>
      <c r="S21" s="147"/>
      <c r="W21" s="885"/>
      <c r="X21" s="885"/>
      <c r="Y21" s="233"/>
      <c r="Z21" s="128"/>
    </row>
    <row r="22" spans="1:26" ht="18" thickBot="1" x14ac:dyDescent="0.35">
      <c r="A22" s="23"/>
      <c r="B22" s="24">
        <v>44525</v>
      </c>
      <c r="C22" s="25">
        <f>3851.5+2501.78</f>
        <v>6353.2800000000007</v>
      </c>
      <c r="D22" s="35" t="s">
        <v>113</v>
      </c>
      <c r="E22" s="27">
        <v>44525</v>
      </c>
      <c r="F22" s="28">
        <v>56996</v>
      </c>
      <c r="G22" s="2"/>
      <c r="H22" s="36">
        <v>44525</v>
      </c>
      <c r="I22" s="30">
        <v>0</v>
      </c>
      <c r="J22" s="37"/>
      <c r="K22" s="31"/>
      <c r="L22" s="49"/>
      <c r="M22" s="32">
        <v>0</v>
      </c>
      <c r="N22" s="33">
        <v>16995</v>
      </c>
      <c r="P22" s="39">
        <f t="shared" si="0"/>
        <v>23348.28</v>
      </c>
      <c r="Q22" s="287">
        <f t="shared" si="1"/>
        <v>-33647.72</v>
      </c>
      <c r="R22" s="285">
        <v>33647.72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44526</v>
      </c>
      <c r="C23" s="25">
        <f>2453+1253.71</f>
        <v>3706.71</v>
      </c>
      <c r="D23" s="35" t="s">
        <v>114</v>
      </c>
      <c r="E23" s="27">
        <v>44526</v>
      </c>
      <c r="F23" s="28">
        <v>76926</v>
      </c>
      <c r="G23" s="2"/>
      <c r="H23" s="36">
        <v>44526</v>
      </c>
      <c r="I23" s="30">
        <v>43</v>
      </c>
      <c r="J23" s="50"/>
      <c r="K23" s="172"/>
      <c r="L23" s="45"/>
      <c r="M23" s="32">
        <v>0</v>
      </c>
      <c r="N23" s="33">
        <v>27959</v>
      </c>
      <c r="P23" s="39">
        <f t="shared" si="0"/>
        <v>31708.71</v>
      </c>
      <c r="Q23" s="287">
        <f t="shared" si="1"/>
        <v>-45217.29</v>
      </c>
      <c r="R23" s="285">
        <v>45217.29</v>
      </c>
      <c r="S23" s="147"/>
      <c r="W23" s="886"/>
      <c r="X23" s="886"/>
      <c r="Y23" s="233"/>
      <c r="Z23" s="128"/>
    </row>
    <row r="24" spans="1:26" ht="18" thickBot="1" x14ac:dyDescent="0.35">
      <c r="A24" s="23"/>
      <c r="B24" s="24">
        <v>44527</v>
      </c>
      <c r="C24" s="25">
        <v>7071</v>
      </c>
      <c r="D24" s="35" t="s">
        <v>102</v>
      </c>
      <c r="E24" s="27">
        <v>44527</v>
      </c>
      <c r="F24" s="28">
        <v>65252</v>
      </c>
      <c r="G24" s="2"/>
      <c r="H24" s="36">
        <v>44527</v>
      </c>
      <c r="I24" s="30">
        <v>72</v>
      </c>
      <c r="J24" s="51"/>
      <c r="K24" s="173"/>
      <c r="L24" s="52">
        <v>0</v>
      </c>
      <c r="M24" s="32">
        <v>9944.83</v>
      </c>
      <c r="N24" s="33">
        <v>25005</v>
      </c>
      <c r="O24" t="s">
        <v>120</v>
      </c>
      <c r="P24" s="39">
        <f t="shared" si="0"/>
        <v>42092.83</v>
      </c>
      <c r="Q24" s="287">
        <f t="shared" si="1"/>
        <v>-23159.17</v>
      </c>
      <c r="R24" s="285">
        <v>23159.17</v>
      </c>
      <c r="S24" s="147"/>
      <c r="W24" s="886"/>
      <c r="X24" s="886"/>
      <c r="Y24" s="233"/>
      <c r="Z24" s="128"/>
    </row>
    <row r="25" spans="1:26" ht="19.5" thickBot="1" x14ac:dyDescent="0.35">
      <c r="A25" s="23"/>
      <c r="B25" s="24">
        <v>44528</v>
      </c>
      <c r="C25" s="25">
        <v>0</v>
      </c>
      <c r="D25" s="35"/>
      <c r="E25" s="27">
        <v>44528</v>
      </c>
      <c r="F25" s="28">
        <v>39533</v>
      </c>
      <c r="G25" s="2"/>
      <c r="H25" s="36">
        <v>44528</v>
      </c>
      <c r="I25" s="30">
        <v>400</v>
      </c>
      <c r="J25" s="53"/>
      <c r="K25" s="38"/>
      <c r="L25" s="54"/>
      <c r="M25" s="32">
        <v>0</v>
      </c>
      <c r="N25" s="33">
        <v>10181</v>
      </c>
      <c r="P25" s="283">
        <f t="shared" si="0"/>
        <v>10581</v>
      </c>
      <c r="Q25" s="287">
        <f t="shared" si="1"/>
        <v>-28952</v>
      </c>
      <c r="R25" s="285">
        <v>28952</v>
      </c>
      <c r="W25" s="887"/>
      <c r="X25" s="887"/>
      <c r="Y25" s="233"/>
      <c r="Z25" s="128"/>
    </row>
    <row r="26" spans="1:26" ht="19.5" thickBot="1" x14ac:dyDescent="0.35">
      <c r="A26" s="23"/>
      <c r="B26" s="24">
        <v>44529</v>
      </c>
      <c r="C26" s="25">
        <v>5142.5</v>
      </c>
      <c r="D26" s="35" t="s">
        <v>115</v>
      </c>
      <c r="E26" s="27">
        <v>44529</v>
      </c>
      <c r="F26" s="28">
        <v>51711</v>
      </c>
      <c r="G26" s="2"/>
      <c r="H26" s="36">
        <v>44529</v>
      </c>
      <c r="I26" s="30">
        <v>1840</v>
      </c>
      <c r="J26" s="37"/>
      <c r="K26" s="173"/>
      <c r="L26" s="45"/>
      <c r="M26" s="32">
        <v>6336</v>
      </c>
      <c r="N26" s="33">
        <v>16621</v>
      </c>
      <c r="O26" t="s">
        <v>119</v>
      </c>
      <c r="P26" s="284">
        <f t="shared" si="0"/>
        <v>29939.5</v>
      </c>
      <c r="Q26" s="287">
        <f t="shared" si="1"/>
        <v>-21771.5</v>
      </c>
      <c r="R26" s="285">
        <v>21771.5</v>
      </c>
      <c r="W26" s="887"/>
      <c r="X26" s="887"/>
      <c r="Y26" s="233"/>
      <c r="Z26" s="128"/>
    </row>
    <row r="27" spans="1:26" ht="18" thickBot="1" x14ac:dyDescent="0.35">
      <c r="A27" s="23"/>
      <c r="B27" s="24">
        <v>44530</v>
      </c>
      <c r="C27" s="25">
        <v>8184</v>
      </c>
      <c r="D27" s="42" t="s">
        <v>116</v>
      </c>
      <c r="E27" s="27">
        <v>44530</v>
      </c>
      <c r="F27" s="28">
        <v>31060</v>
      </c>
      <c r="G27" s="2"/>
      <c r="H27" s="36">
        <v>44530</v>
      </c>
      <c r="I27" s="30">
        <v>660</v>
      </c>
      <c r="J27" s="55"/>
      <c r="K27" s="174"/>
      <c r="L27" s="54"/>
      <c r="M27" s="32">
        <v>0</v>
      </c>
      <c r="N27" s="33">
        <v>7579</v>
      </c>
      <c r="P27" s="39">
        <f t="shared" si="0"/>
        <v>16423</v>
      </c>
      <c r="Q27" s="287">
        <f t="shared" si="1"/>
        <v>-14637</v>
      </c>
      <c r="R27" s="285">
        <v>14637</v>
      </c>
      <c r="W27" s="880"/>
      <c r="X27" s="881"/>
      <c r="Y27" s="882"/>
      <c r="Z27" s="128"/>
    </row>
    <row r="28" spans="1:26" ht="18" thickBot="1" x14ac:dyDescent="0.35">
      <c r="A28" s="23"/>
      <c r="B28" s="24">
        <v>44531</v>
      </c>
      <c r="C28" s="25">
        <v>7763</v>
      </c>
      <c r="D28" s="42" t="s">
        <v>117</v>
      </c>
      <c r="E28" s="27">
        <v>44531</v>
      </c>
      <c r="F28" s="28">
        <v>53075</v>
      </c>
      <c r="G28" s="2"/>
      <c r="H28" s="36">
        <v>44531</v>
      </c>
      <c r="I28" s="30">
        <v>2607</v>
      </c>
      <c r="J28" s="56"/>
      <c r="K28" s="57"/>
      <c r="L28" s="54"/>
      <c r="M28" s="32">
        <v>26470</v>
      </c>
      <c r="N28" s="33">
        <v>16235</v>
      </c>
      <c r="O28" t="s">
        <v>120</v>
      </c>
      <c r="P28" s="34">
        <f t="shared" si="0"/>
        <v>53075</v>
      </c>
      <c r="Q28" s="287">
        <f t="shared" si="1"/>
        <v>0</v>
      </c>
      <c r="R28" s="285">
        <v>0</v>
      </c>
      <c r="W28" s="881"/>
      <c r="X28" s="881"/>
      <c r="Y28" s="882"/>
      <c r="Z28" s="128"/>
    </row>
    <row r="29" spans="1:26" ht="18" thickBot="1" x14ac:dyDescent="0.35">
      <c r="A29" s="23"/>
      <c r="B29" s="24">
        <v>44532</v>
      </c>
      <c r="C29" s="25">
        <v>16193</v>
      </c>
      <c r="D29" s="58" t="s">
        <v>118</v>
      </c>
      <c r="E29" s="27">
        <v>44532</v>
      </c>
      <c r="F29" s="28">
        <f>61771+112553</f>
        <v>174324</v>
      </c>
      <c r="G29" s="2"/>
      <c r="H29" s="36">
        <v>44532</v>
      </c>
      <c r="I29" s="30">
        <v>975</v>
      </c>
      <c r="J29" s="59"/>
      <c r="K29" s="175"/>
      <c r="L29" s="54"/>
      <c r="M29" s="32">
        <f>21782+53508+59045+2732+4000</f>
        <v>141067</v>
      </c>
      <c r="N29" s="33">
        <v>16089</v>
      </c>
      <c r="O29" t="s">
        <v>120</v>
      </c>
      <c r="P29" s="34">
        <f t="shared" si="0"/>
        <v>174324</v>
      </c>
      <c r="Q29" s="287">
        <f t="shared" si="1"/>
        <v>0</v>
      </c>
      <c r="R29" s="285">
        <v>0</v>
      </c>
      <c r="W29" s="128"/>
      <c r="X29" s="310"/>
      <c r="Y29" s="311"/>
      <c r="Z29" s="128"/>
    </row>
    <row r="30" spans="1:26" ht="18" thickBot="1" x14ac:dyDescent="0.35">
      <c r="A30" s="23"/>
      <c r="B30" s="24">
        <v>44533</v>
      </c>
      <c r="C30" s="25">
        <v>5044.5</v>
      </c>
      <c r="D30" s="58" t="s">
        <v>121</v>
      </c>
      <c r="E30" s="27">
        <v>44533</v>
      </c>
      <c r="F30" s="28">
        <v>90573</v>
      </c>
      <c r="G30" s="2"/>
      <c r="H30" s="36">
        <v>44533</v>
      </c>
      <c r="I30" s="30">
        <v>351</v>
      </c>
      <c r="J30" s="60"/>
      <c r="K30" s="41"/>
      <c r="L30" s="61"/>
      <c r="M30" s="32">
        <f>48493.5</f>
        <v>48493.5</v>
      </c>
      <c r="N30" s="33">
        <v>36684</v>
      </c>
      <c r="P30" s="34">
        <f t="shared" si="0"/>
        <v>90573</v>
      </c>
      <c r="Q30" s="287">
        <f t="shared" si="1"/>
        <v>0</v>
      </c>
      <c r="R30" s="285"/>
      <c r="X30" s="225"/>
      <c r="Y30" s="227"/>
    </row>
    <row r="31" spans="1:26" ht="18" thickBot="1" x14ac:dyDescent="0.35">
      <c r="A31" s="23"/>
      <c r="B31" s="24">
        <v>44534</v>
      </c>
      <c r="C31" s="25">
        <v>9820</v>
      </c>
      <c r="D31" s="64" t="s">
        <v>122</v>
      </c>
      <c r="E31" s="27">
        <v>44534</v>
      </c>
      <c r="F31" s="28">
        <v>70468</v>
      </c>
      <c r="G31" s="2"/>
      <c r="H31" s="36">
        <v>44534</v>
      </c>
      <c r="I31" s="30">
        <v>2176</v>
      </c>
      <c r="J31" s="60"/>
      <c r="K31" s="41"/>
      <c r="L31" s="63"/>
      <c r="M31" s="32">
        <f>9170.5+21823.5</f>
        <v>30994</v>
      </c>
      <c r="N31" s="33">
        <v>27478</v>
      </c>
      <c r="P31" s="34">
        <f t="shared" si="0"/>
        <v>70468</v>
      </c>
      <c r="Q31" s="287">
        <f t="shared" si="1"/>
        <v>0</v>
      </c>
      <c r="R31" s="285"/>
    </row>
    <row r="32" spans="1:26" ht="18" thickBot="1" x14ac:dyDescent="0.35">
      <c r="A32" s="23"/>
      <c r="B32" s="24">
        <v>44535</v>
      </c>
      <c r="C32" s="25">
        <v>270</v>
      </c>
      <c r="D32" s="64" t="s">
        <v>123</v>
      </c>
      <c r="E32" s="27">
        <v>44535</v>
      </c>
      <c r="F32" s="28">
        <v>47119</v>
      </c>
      <c r="G32" s="2"/>
      <c r="H32" s="36">
        <v>44535</v>
      </c>
      <c r="I32" s="30">
        <v>79</v>
      </c>
      <c r="J32" s="60"/>
      <c r="K32" s="41"/>
      <c r="L32" s="61"/>
      <c r="M32" s="32">
        <v>32226</v>
      </c>
      <c r="N32" s="33">
        <v>14544</v>
      </c>
      <c r="P32" s="34">
        <f t="shared" si="0"/>
        <v>47119</v>
      </c>
      <c r="Q32" s="287">
        <f t="shared" si="1"/>
        <v>0</v>
      </c>
      <c r="R32" s="228"/>
    </row>
    <row r="33" spans="1:18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 t="s">
        <v>194</v>
      </c>
      <c r="K33" s="247">
        <v>44508</v>
      </c>
      <c r="L33" s="66">
        <v>22224.560000000001</v>
      </c>
      <c r="M33" s="32">
        <v>0</v>
      </c>
      <c r="N33" s="33">
        <v>0</v>
      </c>
      <c r="P33" s="34">
        <v>0</v>
      </c>
      <c r="Q33" s="287">
        <f t="shared" si="1"/>
        <v>0</v>
      </c>
      <c r="R33" s="228"/>
    </row>
    <row r="34" spans="1:18" ht="18" thickBot="1" x14ac:dyDescent="0.35">
      <c r="A34" s="23"/>
      <c r="B34" s="24"/>
      <c r="C34" s="25"/>
      <c r="D34" s="64"/>
      <c r="E34" s="27"/>
      <c r="F34" s="28">
        <v>0</v>
      </c>
      <c r="G34" s="2"/>
      <c r="H34" s="36"/>
      <c r="I34" s="30">
        <v>0</v>
      </c>
      <c r="J34" s="266" t="s">
        <v>202</v>
      </c>
      <c r="K34" s="248">
        <v>44509</v>
      </c>
      <c r="L34" s="44">
        <v>5122.62</v>
      </c>
      <c r="M34" s="32">
        <v>0</v>
      </c>
      <c r="N34" s="33">
        <v>0</v>
      </c>
      <c r="P34" s="34">
        <v>0</v>
      </c>
      <c r="Q34" s="287">
        <f t="shared" si="1"/>
        <v>0</v>
      </c>
      <c r="R34" s="228"/>
    </row>
    <row r="35" spans="1:18" ht="18" thickBot="1" x14ac:dyDescent="0.35">
      <c r="A35" s="23"/>
      <c r="B35" s="24">
        <v>44510</v>
      </c>
      <c r="C35" s="25">
        <v>703580.1</v>
      </c>
      <c r="D35" s="65" t="s">
        <v>49</v>
      </c>
      <c r="E35" s="27"/>
      <c r="F35" s="28">
        <v>0</v>
      </c>
      <c r="G35" s="2"/>
      <c r="H35" s="36"/>
      <c r="I35" s="30">
        <v>0</v>
      </c>
      <c r="J35" s="266" t="s">
        <v>202</v>
      </c>
      <c r="K35" s="249">
        <v>44509</v>
      </c>
      <c r="L35" s="66">
        <v>182.52</v>
      </c>
      <c r="M35" s="267">
        <v>0</v>
      </c>
      <c r="N35" s="268">
        <v>0</v>
      </c>
      <c r="P35" s="34">
        <v>0</v>
      </c>
      <c r="Q35" s="273">
        <f t="shared" si="1"/>
        <v>0</v>
      </c>
      <c r="R35" s="228"/>
    </row>
    <row r="36" spans="1:18" ht="18" customHeight="1" thickBot="1" x14ac:dyDescent="0.3">
      <c r="A36" s="23"/>
      <c r="B36" s="24">
        <v>44518</v>
      </c>
      <c r="C36" s="25">
        <v>350000</v>
      </c>
      <c r="D36" s="62" t="s">
        <v>49</v>
      </c>
      <c r="E36" s="27"/>
      <c r="F36" s="28">
        <v>0</v>
      </c>
      <c r="G36" s="2"/>
      <c r="H36" s="36"/>
      <c r="I36" s="30">
        <v>0</v>
      </c>
      <c r="J36" s="266" t="s">
        <v>203</v>
      </c>
      <c r="K36" s="250">
        <v>44511</v>
      </c>
      <c r="L36" s="44">
        <v>5940</v>
      </c>
      <c r="M36" s="871">
        <f>SUM(M5:M35)</f>
        <v>321168.83</v>
      </c>
      <c r="N36" s="873">
        <f>SUM(N5:N35)</f>
        <v>467016</v>
      </c>
      <c r="O36" s="276"/>
      <c r="P36" s="277">
        <v>0</v>
      </c>
      <c r="Q36" s="875">
        <f>SUM(Q5:Q35)</f>
        <v>-637069.14000000013</v>
      </c>
      <c r="R36" s="228"/>
    </row>
    <row r="37" spans="1:18" ht="18" customHeight="1" thickBot="1" x14ac:dyDescent="0.3">
      <c r="A37" s="23"/>
      <c r="B37" s="24">
        <v>44523</v>
      </c>
      <c r="C37" s="25">
        <v>353878.2</v>
      </c>
      <c r="D37" s="65" t="s">
        <v>49</v>
      </c>
      <c r="E37" s="27"/>
      <c r="F37" s="28">
        <v>0</v>
      </c>
      <c r="G37" s="2"/>
      <c r="H37" s="36"/>
      <c r="I37" s="30">
        <v>0</v>
      </c>
      <c r="J37" s="60" t="s">
        <v>199</v>
      </c>
      <c r="K37" s="41" t="s">
        <v>200</v>
      </c>
      <c r="L37" s="61">
        <v>7929.62</v>
      </c>
      <c r="M37" s="872"/>
      <c r="N37" s="874"/>
      <c r="O37" s="276"/>
      <c r="P37" s="277">
        <v>0</v>
      </c>
      <c r="Q37" s="876"/>
    </row>
    <row r="38" spans="1:18" ht="18" thickBot="1" x14ac:dyDescent="0.35">
      <c r="A38" s="23"/>
      <c r="B38" s="24">
        <v>44523</v>
      </c>
      <c r="C38" s="25">
        <v>1799.9</v>
      </c>
      <c r="D38" s="65" t="s">
        <v>204</v>
      </c>
      <c r="E38" s="27"/>
      <c r="F38" s="28">
        <v>0</v>
      </c>
      <c r="G38" s="2"/>
      <c r="H38" s="36"/>
      <c r="I38" s="30">
        <v>0</v>
      </c>
      <c r="J38" s="60" t="s">
        <v>206</v>
      </c>
      <c r="K38" s="177" t="s">
        <v>201</v>
      </c>
      <c r="L38" s="61">
        <v>549</v>
      </c>
      <c r="M38" s="270"/>
      <c r="N38" s="271"/>
      <c r="P38" s="151">
        <v>0</v>
      </c>
      <c r="Q38" s="274"/>
    </row>
    <row r="39" spans="1:18" ht="19.5" hidden="1" thickBot="1" x14ac:dyDescent="0.35">
      <c r="A39" s="23"/>
      <c r="B39" s="24"/>
      <c r="C39" s="69"/>
      <c r="D39" s="62"/>
      <c r="E39" s="27" t="s">
        <v>205</v>
      </c>
      <c r="F39" s="70"/>
      <c r="G39" s="2"/>
      <c r="H39" s="36"/>
      <c r="I39" s="71"/>
      <c r="J39" s="60"/>
      <c r="K39" s="177"/>
      <c r="L39" s="61"/>
      <c r="M39" s="278"/>
      <c r="N39" s="278"/>
      <c r="P39" s="34">
        <f>SUM(P5:P38)</f>
        <v>970067.86</v>
      </c>
      <c r="Q39" s="275"/>
    </row>
    <row r="40" spans="1:18" ht="18" hidden="1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18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18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60"/>
      <c r="K42" s="41"/>
      <c r="L42" s="61"/>
      <c r="M42" s="269"/>
      <c r="N42" s="269"/>
      <c r="P42" s="34"/>
      <c r="Q42" s="13"/>
    </row>
    <row r="43" spans="1:18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0"/>
      <c r="K43" s="41"/>
      <c r="L43" s="61"/>
      <c r="M43" s="269"/>
      <c r="N43" s="269"/>
      <c r="P43" s="34"/>
      <c r="Q43" s="13"/>
    </row>
    <row r="44" spans="1:18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18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18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18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18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hidden="1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1561177.9599999997</v>
      </c>
      <c r="D50" s="88"/>
      <c r="E50" s="89" t="s">
        <v>8</v>
      </c>
      <c r="F50" s="90">
        <f>SUM(F5:F49)</f>
        <v>1607137</v>
      </c>
      <c r="G50" s="88"/>
      <c r="H50" s="91" t="s">
        <v>9</v>
      </c>
      <c r="I50" s="92">
        <f>SUM(I5:I49)</f>
        <v>24732.559999999998</v>
      </c>
      <c r="J50" s="93"/>
      <c r="K50" s="94" t="s">
        <v>10</v>
      </c>
      <c r="L50" s="95">
        <f>SUM(L5:L49)</f>
        <v>47179.030000000006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848" t="s">
        <v>11</v>
      </c>
      <c r="I52" s="849"/>
      <c r="J52" s="100"/>
      <c r="K52" s="850">
        <f>I50+L50</f>
        <v>71911.59</v>
      </c>
      <c r="L52" s="877"/>
      <c r="M52" s="272"/>
      <c r="N52" s="272"/>
      <c r="P52" s="34"/>
      <c r="Q52" s="13"/>
    </row>
    <row r="53" spans="1:17" ht="16.5" thickBot="1" x14ac:dyDescent="0.3">
      <c r="D53" s="854" t="s">
        <v>12</v>
      </c>
      <c r="E53" s="854"/>
      <c r="F53" s="312">
        <f>F50-K52-C50</f>
        <v>-25952.549999999814</v>
      </c>
      <c r="I53" s="102"/>
      <c r="J53" s="103"/>
    </row>
    <row r="54" spans="1:17" ht="18.75" x14ac:dyDescent="0.3">
      <c r="D54" s="878" t="s">
        <v>95</v>
      </c>
      <c r="E54" s="878"/>
      <c r="F54" s="111">
        <v>-706888.38</v>
      </c>
      <c r="I54" s="855" t="s">
        <v>13</v>
      </c>
      <c r="J54" s="856"/>
      <c r="K54" s="857">
        <f>F56+F57+F58</f>
        <v>1308778.3500000003</v>
      </c>
      <c r="L54" s="857"/>
      <c r="M54" s="863" t="s">
        <v>211</v>
      </c>
      <c r="N54" s="864"/>
      <c r="O54" s="864"/>
      <c r="P54" s="864"/>
      <c r="Q54" s="865"/>
    </row>
    <row r="55" spans="1:17" ht="19.5" thickBot="1" x14ac:dyDescent="0.35">
      <c r="D55" s="313" t="s">
        <v>94</v>
      </c>
      <c r="E55" s="314"/>
      <c r="F55" s="315">
        <v>-164725.34</v>
      </c>
      <c r="I55" s="105"/>
      <c r="J55" s="106"/>
      <c r="K55" s="178"/>
      <c r="L55" s="107"/>
      <c r="M55" s="866"/>
      <c r="N55" s="867"/>
      <c r="O55" s="867"/>
      <c r="P55" s="867"/>
      <c r="Q55" s="868"/>
    </row>
    <row r="56" spans="1:17" ht="19.5" thickTop="1" x14ac:dyDescent="0.3">
      <c r="C56" s="4" t="s">
        <v>7</v>
      </c>
      <c r="E56" s="98" t="s">
        <v>14</v>
      </c>
      <c r="F56" s="96">
        <f>SUM(F53:F55)</f>
        <v>-897566.26999999979</v>
      </c>
      <c r="H56" s="23"/>
      <c r="I56" s="108" t="s">
        <v>15</v>
      </c>
      <c r="J56" s="109"/>
      <c r="K56" s="859">
        <f>-C4</f>
        <v>-567389.35</v>
      </c>
      <c r="L56" s="860"/>
    </row>
    <row r="57" spans="1:17" ht="16.5" thickBot="1" x14ac:dyDescent="0.3">
      <c r="D57" s="110" t="s">
        <v>16</v>
      </c>
      <c r="E57" s="98" t="s">
        <v>17</v>
      </c>
      <c r="F57" s="111">
        <v>64037</v>
      </c>
    </row>
    <row r="58" spans="1:17" ht="20.25" thickTop="1" thickBot="1" x14ac:dyDescent="0.35">
      <c r="C58" s="112">
        <v>44535</v>
      </c>
      <c r="D58" s="837" t="s">
        <v>18</v>
      </c>
      <c r="E58" s="838"/>
      <c r="F58" s="113">
        <v>2142307.62</v>
      </c>
      <c r="I58" s="839" t="s">
        <v>198</v>
      </c>
      <c r="J58" s="840"/>
      <c r="K58" s="841">
        <f>K54+K56</f>
        <v>741389.00000000035</v>
      </c>
      <c r="L58" s="841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29">
    <mergeCell ref="W4:X5"/>
    <mergeCell ref="W27:X28"/>
    <mergeCell ref="Y27:Y28"/>
    <mergeCell ref="W19:W20"/>
    <mergeCell ref="W21:X21"/>
    <mergeCell ref="W23:X24"/>
    <mergeCell ref="W25:X25"/>
    <mergeCell ref="W26:X26"/>
    <mergeCell ref="D58:E58"/>
    <mergeCell ref="I58:J58"/>
    <mergeCell ref="K58:L58"/>
    <mergeCell ref="H52:I52"/>
    <mergeCell ref="K52:L52"/>
    <mergeCell ref="D53:E53"/>
    <mergeCell ref="D54:E54"/>
    <mergeCell ref="I54:J54"/>
    <mergeCell ref="K54:L54"/>
    <mergeCell ref="K56:L56"/>
    <mergeCell ref="B1:B2"/>
    <mergeCell ref="C1:M1"/>
    <mergeCell ref="B3:C3"/>
    <mergeCell ref="H3:I3"/>
    <mergeCell ref="E4:F4"/>
    <mergeCell ref="H4:I4"/>
    <mergeCell ref="M54:Q55"/>
    <mergeCell ref="P3:P4"/>
    <mergeCell ref="M36:M37"/>
    <mergeCell ref="N36:N37"/>
    <mergeCell ref="Q36:Q37"/>
  </mergeCells>
  <pageMargins left="0.15748031496062992" right="0.15748031496062992" top="0.27559055118110237" bottom="0.27559055118110237" header="0.31496062992125984" footer="0.31496062992125984"/>
  <pageSetup scale="68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N122"/>
  <sheetViews>
    <sheetView topLeftCell="C31" workbookViewId="0">
      <selection activeCell="D90" sqref="D90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5.85546875" style="4" bestFit="1" customWidth="1"/>
    <col min="4" max="4" width="12.42578125" bestFit="1" customWidth="1"/>
    <col min="5" max="5" width="15.140625" style="4" bestFit="1" customWidth="1"/>
    <col min="6" max="6" width="19.5703125" style="3" bestFit="1" customWidth="1"/>
    <col min="7" max="7" width="4" customWidth="1"/>
    <col min="8" max="8" width="6.42578125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1:14" ht="36.75" customHeight="1" thickTop="1" thickBot="1" x14ac:dyDescent="0.3">
      <c r="A1" s="290" t="s">
        <v>90</v>
      </c>
      <c r="B1" s="291"/>
      <c r="C1" s="292"/>
      <c r="D1" s="291"/>
      <c r="E1" s="292"/>
      <c r="F1" s="158" t="s">
        <v>27</v>
      </c>
      <c r="I1" s="301" t="s">
        <v>91</v>
      </c>
      <c r="J1" s="302"/>
      <c r="K1" s="303"/>
      <c r="L1" s="367"/>
      <c r="M1" s="303"/>
      <c r="N1" s="304" t="s">
        <v>27</v>
      </c>
    </row>
    <row r="2" spans="1:14" ht="21.75" customHeight="1" thickTop="1" thickBot="1" x14ac:dyDescent="0.35">
      <c r="A2" s="297" t="s">
        <v>19</v>
      </c>
      <c r="B2" s="298" t="s">
        <v>20</v>
      </c>
      <c r="C2" s="299" t="s">
        <v>21</v>
      </c>
      <c r="D2" s="298" t="s">
        <v>22</v>
      </c>
      <c r="E2" s="300" t="s">
        <v>23</v>
      </c>
      <c r="F2" s="289" t="s">
        <v>210</v>
      </c>
      <c r="I2" s="297" t="s">
        <v>19</v>
      </c>
      <c r="J2" s="308" t="s">
        <v>20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1:14" ht="15.75" x14ac:dyDescent="0.25">
      <c r="A3" s="293" t="s">
        <v>125</v>
      </c>
      <c r="B3" s="294" t="s">
        <v>126</v>
      </c>
      <c r="C3" s="295">
        <v>15652.4</v>
      </c>
      <c r="D3" s="296"/>
      <c r="E3" s="215"/>
      <c r="F3" s="183">
        <f>C3-E3</f>
        <v>15652.4</v>
      </c>
      <c r="I3" s="305"/>
      <c r="J3" s="306"/>
      <c r="K3" s="307"/>
      <c r="L3" s="369"/>
      <c r="M3" s="215"/>
      <c r="N3" s="183">
        <f>K3-M3</f>
        <v>0</v>
      </c>
    </row>
    <row r="4" spans="1:14" ht="18.75" x14ac:dyDescent="0.3">
      <c r="A4" s="245" t="s">
        <v>125</v>
      </c>
      <c r="B4" s="260" t="s">
        <v>127</v>
      </c>
      <c r="C4" s="261">
        <v>6679.8</v>
      </c>
      <c r="D4" s="136"/>
      <c r="E4" s="69"/>
      <c r="F4" s="137">
        <f>F3+C4-E4</f>
        <v>22332.2</v>
      </c>
      <c r="G4" s="138"/>
      <c r="I4" s="288" t="s">
        <v>125</v>
      </c>
      <c r="J4" s="38">
        <v>7749</v>
      </c>
      <c r="K4" s="111">
        <v>5707.22</v>
      </c>
      <c r="L4" s="370">
        <v>44536</v>
      </c>
      <c r="M4" s="69"/>
      <c r="N4" s="137">
        <f>N3+K4-M4</f>
        <v>5707.22</v>
      </c>
    </row>
    <row r="5" spans="1:14" ht="15.75" x14ac:dyDescent="0.25">
      <c r="A5" s="245" t="s">
        <v>128</v>
      </c>
      <c r="B5" s="260" t="s">
        <v>129</v>
      </c>
      <c r="C5" s="261">
        <v>18704.419999999998</v>
      </c>
      <c r="D5" s="136"/>
      <c r="E5" s="69"/>
      <c r="F5" s="137">
        <f t="shared" ref="F5:F56" si="0">F4+C5-E5</f>
        <v>41036.619999999995</v>
      </c>
      <c r="I5" s="288" t="s">
        <v>125</v>
      </c>
      <c r="J5" s="38">
        <v>7746</v>
      </c>
      <c r="K5" s="111">
        <v>30</v>
      </c>
      <c r="L5" s="370">
        <v>44536</v>
      </c>
      <c r="M5" s="69"/>
      <c r="N5" s="137">
        <f t="shared" ref="N5:N56" si="1">N4+K5-M5</f>
        <v>5737.22</v>
      </c>
    </row>
    <row r="6" spans="1:14" ht="15.75" x14ac:dyDescent="0.25">
      <c r="A6" s="245" t="s">
        <v>128</v>
      </c>
      <c r="B6" s="260" t="s">
        <v>130</v>
      </c>
      <c r="C6" s="261">
        <v>840</v>
      </c>
      <c r="D6" s="136"/>
      <c r="E6" s="69"/>
      <c r="F6" s="137">
        <f t="shared" si="0"/>
        <v>41876.619999999995</v>
      </c>
      <c r="I6" s="288" t="s">
        <v>128</v>
      </c>
      <c r="J6" s="38">
        <v>7753</v>
      </c>
      <c r="K6" s="111">
        <v>3667.5</v>
      </c>
      <c r="L6" s="370">
        <v>44536</v>
      </c>
      <c r="M6" s="69"/>
      <c r="N6" s="137">
        <f t="shared" si="1"/>
        <v>9404.7200000000012</v>
      </c>
    </row>
    <row r="7" spans="1:14" ht="17.25" x14ac:dyDescent="0.25">
      <c r="A7" s="245" t="s">
        <v>131</v>
      </c>
      <c r="B7" s="246" t="s">
        <v>132</v>
      </c>
      <c r="C7" s="111">
        <v>7697.8</v>
      </c>
      <c r="D7" s="136" t="s">
        <v>7</v>
      </c>
      <c r="E7" s="69"/>
      <c r="F7" s="137">
        <f t="shared" si="0"/>
        <v>49574.42</v>
      </c>
      <c r="I7" s="288" t="s">
        <v>128</v>
      </c>
      <c r="J7" s="38">
        <v>7755</v>
      </c>
      <c r="K7" s="111">
        <v>120</v>
      </c>
      <c r="L7" s="370">
        <v>44536</v>
      </c>
      <c r="M7" s="69"/>
      <c r="N7" s="137">
        <f t="shared" si="1"/>
        <v>9524.7200000000012</v>
      </c>
    </row>
    <row r="8" spans="1:14" ht="15.75" x14ac:dyDescent="0.25">
      <c r="A8" s="245" t="s">
        <v>131</v>
      </c>
      <c r="B8" s="246" t="s">
        <v>133</v>
      </c>
      <c r="C8" s="111">
        <v>23842.9</v>
      </c>
      <c r="D8" s="136"/>
      <c r="E8" s="69"/>
      <c r="F8" s="137">
        <f t="shared" si="0"/>
        <v>73417.320000000007</v>
      </c>
      <c r="I8" s="288" t="s">
        <v>128</v>
      </c>
      <c r="J8" s="38">
        <v>7756</v>
      </c>
      <c r="K8" s="111">
        <v>436.5</v>
      </c>
      <c r="L8" s="370">
        <v>44536</v>
      </c>
      <c r="M8" s="69"/>
      <c r="N8" s="137">
        <f t="shared" si="1"/>
        <v>9961.2200000000012</v>
      </c>
    </row>
    <row r="9" spans="1:14" ht="15.75" x14ac:dyDescent="0.25">
      <c r="A9" s="245" t="s">
        <v>134</v>
      </c>
      <c r="B9" s="246" t="s">
        <v>135</v>
      </c>
      <c r="C9" s="111">
        <v>29188.7</v>
      </c>
      <c r="D9" s="136"/>
      <c r="E9" s="69"/>
      <c r="F9" s="137">
        <f t="shared" si="0"/>
        <v>102606.02</v>
      </c>
      <c r="I9" s="288" t="s">
        <v>131</v>
      </c>
      <c r="J9" s="38">
        <v>7771</v>
      </c>
      <c r="K9" s="111">
        <v>9412.4500000000007</v>
      </c>
      <c r="L9" s="370">
        <v>44536</v>
      </c>
      <c r="M9" s="69"/>
      <c r="N9" s="137">
        <f t="shared" si="1"/>
        <v>19373.670000000002</v>
      </c>
    </row>
    <row r="10" spans="1:14" ht="18.75" x14ac:dyDescent="0.3">
      <c r="A10" s="245" t="s">
        <v>134</v>
      </c>
      <c r="B10" s="246" t="s">
        <v>136</v>
      </c>
      <c r="C10" s="111">
        <v>2112.5</v>
      </c>
      <c r="D10" s="136"/>
      <c r="E10" s="69"/>
      <c r="F10" s="137">
        <f t="shared" si="0"/>
        <v>104718.52</v>
      </c>
      <c r="G10" s="138"/>
      <c r="I10" s="288" t="s">
        <v>131</v>
      </c>
      <c r="J10" s="38">
        <v>7772</v>
      </c>
      <c r="K10" s="111">
        <v>10285</v>
      </c>
      <c r="L10" s="370">
        <v>44536</v>
      </c>
      <c r="M10" s="69"/>
      <c r="N10" s="137">
        <f t="shared" si="1"/>
        <v>29658.670000000002</v>
      </c>
    </row>
    <row r="11" spans="1:14" ht="15.75" x14ac:dyDescent="0.25">
      <c r="A11" s="245" t="s">
        <v>137</v>
      </c>
      <c r="B11" s="246" t="s">
        <v>138</v>
      </c>
      <c r="C11" s="111">
        <v>10023.799999999999</v>
      </c>
      <c r="D11" s="140"/>
      <c r="E11" s="69"/>
      <c r="F11" s="137">
        <f t="shared" si="0"/>
        <v>114742.32</v>
      </c>
      <c r="I11" s="288" t="s">
        <v>134</v>
      </c>
      <c r="J11" s="38">
        <v>7774</v>
      </c>
      <c r="K11" s="111">
        <v>2504.94</v>
      </c>
      <c r="L11" s="370">
        <v>44536</v>
      </c>
      <c r="M11" s="69"/>
      <c r="N11" s="137">
        <f t="shared" si="1"/>
        <v>32163.61</v>
      </c>
    </row>
    <row r="12" spans="1:14" ht="15.75" x14ac:dyDescent="0.25">
      <c r="A12" s="245" t="s">
        <v>139</v>
      </c>
      <c r="B12" s="246" t="s">
        <v>140</v>
      </c>
      <c r="C12" s="111">
        <v>29492.45</v>
      </c>
      <c r="D12" s="140"/>
      <c r="E12" s="69"/>
      <c r="F12" s="137">
        <f t="shared" si="0"/>
        <v>144234.77000000002</v>
      </c>
      <c r="I12" s="288" t="s">
        <v>137</v>
      </c>
      <c r="J12" s="38">
        <v>7778</v>
      </c>
      <c r="K12" s="111">
        <v>800</v>
      </c>
      <c r="L12" s="370">
        <v>44512</v>
      </c>
      <c r="M12" s="69">
        <v>800</v>
      </c>
      <c r="N12" s="137">
        <f t="shared" si="1"/>
        <v>32163.61</v>
      </c>
    </row>
    <row r="13" spans="1:14" ht="15.75" x14ac:dyDescent="0.25">
      <c r="A13" s="245" t="s">
        <v>139</v>
      </c>
      <c r="B13" s="246" t="s">
        <v>141</v>
      </c>
      <c r="C13" s="111">
        <v>8447.5</v>
      </c>
      <c r="D13" s="140"/>
      <c r="E13" s="69"/>
      <c r="F13" s="137">
        <f t="shared" si="0"/>
        <v>152682.27000000002</v>
      </c>
      <c r="I13" s="288" t="s">
        <v>137</v>
      </c>
      <c r="J13" s="38">
        <v>7781</v>
      </c>
      <c r="K13" s="111">
        <v>733.6</v>
      </c>
      <c r="L13" s="370">
        <v>44536</v>
      </c>
      <c r="M13" s="69"/>
      <c r="N13" s="137">
        <f t="shared" si="1"/>
        <v>32897.21</v>
      </c>
    </row>
    <row r="14" spans="1:14" ht="15.75" x14ac:dyDescent="0.25">
      <c r="A14" s="245" t="s">
        <v>142</v>
      </c>
      <c r="B14" s="246" t="s">
        <v>143</v>
      </c>
      <c r="C14" s="111">
        <v>1123.5</v>
      </c>
      <c r="D14" s="140"/>
      <c r="E14" s="69"/>
      <c r="F14" s="137">
        <f t="shared" si="0"/>
        <v>153805.77000000002</v>
      </c>
      <c r="I14" s="288" t="s">
        <v>137</v>
      </c>
      <c r="J14" s="38">
        <v>7783</v>
      </c>
      <c r="K14" s="111">
        <v>675</v>
      </c>
      <c r="L14" s="370">
        <v>44536</v>
      </c>
      <c r="M14" s="69"/>
      <c r="N14" s="137">
        <f t="shared" si="1"/>
        <v>33572.21</v>
      </c>
    </row>
    <row r="15" spans="1:14" ht="15.75" x14ac:dyDescent="0.25">
      <c r="A15" s="245" t="s">
        <v>144</v>
      </c>
      <c r="B15" s="246" t="s">
        <v>145</v>
      </c>
      <c r="C15" s="111">
        <v>14678.6</v>
      </c>
      <c r="D15" s="140"/>
      <c r="E15" s="69"/>
      <c r="F15" s="137">
        <f t="shared" si="0"/>
        <v>168484.37000000002</v>
      </c>
      <c r="I15" s="288" t="s">
        <v>139</v>
      </c>
      <c r="J15" s="38">
        <v>7789</v>
      </c>
      <c r="K15" s="111">
        <v>5566.27</v>
      </c>
      <c r="L15" s="370">
        <v>44536</v>
      </c>
      <c r="M15" s="69"/>
      <c r="N15" s="137">
        <f t="shared" si="1"/>
        <v>39138.479999999996</v>
      </c>
    </row>
    <row r="16" spans="1:14" ht="15.75" x14ac:dyDescent="0.25">
      <c r="A16" s="245" t="s">
        <v>144</v>
      </c>
      <c r="B16" s="246" t="s">
        <v>146</v>
      </c>
      <c r="C16" s="111">
        <v>31129.7</v>
      </c>
      <c r="D16" s="140"/>
      <c r="E16" s="69"/>
      <c r="F16" s="137">
        <f t="shared" si="0"/>
        <v>199614.07000000004</v>
      </c>
      <c r="I16" s="288" t="s">
        <v>196</v>
      </c>
      <c r="J16" s="38">
        <v>7794</v>
      </c>
      <c r="K16" s="111">
        <v>60</v>
      </c>
      <c r="L16" s="370">
        <v>44536</v>
      </c>
      <c r="M16" s="69"/>
      <c r="N16" s="137">
        <f t="shared" si="1"/>
        <v>39198.479999999996</v>
      </c>
    </row>
    <row r="17" spans="1:14" ht="15.75" x14ac:dyDescent="0.25">
      <c r="A17" s="245" t="s">
        <v>147</v>
      </c>
      <c r="B17" s="246" t="s">
        <v>148</v>
      </c>
      <c r="C17" s="111">
        <v>14174.9</v>
      </c>
      <c r="D17" s="140"/>
      <c r="E17" s="69"/>
      <c r="F17" s="137">
        <f t="shared" si="0"/>
        <v>213788.97000000003</v>
      </c>
      <c r="I17" s="288" t="s">
        <v>196</v>
      </c>
      <c r="J17" s="38">
        <v>7796</v>
      </c>
      <c r="K17" s="111">
        <v>4155</v>
      </c>
      <c r="L17" s="370">
        <v>44536</v>
      </c>
      <c r="M17" s="69"/>
      <c r="N17" s="137">
        <f t="shared" si="1"/>
        <v>43353.479999999996</v>
      </c>
    </row>
    <row r="18" spans="1:14" ht="15.75" x14ac:dyDescent="0.25">
      <c r="A18" s="245" t="s">
        <v>147</v>
      </c>
      <c r="B18" s="246" t="s">
        <v>149</v>
      </c>
      <c r="C18" s="111">
        <v>2463.75</v>
      </c>
      <c r="D18" s="140"/>
      <c r="E18" s="69"/>
      <c r="F18" s="137">
        <f t="shared" si="0"/>
        <v>216252.72000000003</v>
      </c>
      <c r="I18" s="288" t="s">
        <v>142</v>
      </c>
      <c r="J18" s="38">
        <v>7798</v>
      </c>
      <c r="K18" s="111">
        <v>1620.32</v>
      </c>
      <c r="L18" s="370">
        <v>44536</v>
      </c>
      <c r="M18" s="69"/>
      <c r="N18" s="137">
        <f t="shared" si="1"/>
        <v>44973.799999999996</v>
      </c>
    </row>
    <row r="19" spans="1:14" ht="15.75" x14ac:dyDescent="0.25">
      <c r="A19" s="245" t="s">
        <v>147</v>
      </c>
      <c r="B19" s="246" t="s">
        <v>150</v>
      </c>
      <c r="C19" s="111">
        <v>9900</v>
      </c>
      <c r="D19" s="140"/>
      <c r="E19" s="69"/>
      <c r="F19" s="137">
        <f t="shared" si="0"/>
        <v>226152.72000000003</v>
      </c>
      <c r="I19" s="288" t="s">
        <v>144</v>
      </c>
      <c r="J19" s="38">
        <v>7805</v>
      </c>
      <c r="K19" s="111">
        <v>2386.12</v>
      </c>
      <c r="L19" s="370">
        <v>44536</v>
      </c>
      <c r="M19" s="69"/>
      <c r="N19" s="137">
        <f t="shared" si="1"/>
        <v>47359.92</v>
      </c>
    </row>
    <row r="20" spans="1:14" ht="15.75" x14ac:dyDescent="0.25">
      <c r="A20" s="245" t="s">
        <v>151</v>
      </c>
      <c r="B20" s="246" t="s">
        <v>152</v>
      </c>
      <c r="C20" s="111">
        <v>20284.5</v>
      </c>
      <c r="D20" s="140"/>
      <c r="E20" s="69"/>
      <c r="F20" s="137">
        <f t="shared" si="0"/>
        <v>246437.22000000003</v>
      </c>
      <c r="I20" s="288" t="s">
        <v>144</v>
      </c>
      <c r="J20" s="38">
        <v>7809</v>
      </c>
      <c r="K20" s="111">
        <v>2376.56</v>
      </c>
      <c r="L20" s="370">
        <v>44536</v>
      </c>
      <c r="M20" s="69"/>
      <c r="N20" s="137">
        <f t="shared" si="1"/>
        <v>49736.479999999996</v>
      </c>
    </row>
    <row r="21" spans="1:14" ht="15.75" x14ac:dyDescent="0.25">
      <c r="A21" s="245" t="s">
        <v>151</v>
      </c>
      <c r="B21" s="246" t="s">
        <v>153</v>
      </c>
      <c r="C21" s="111">
        <v>8609</v>
      </c>
      <c r="D21" s="140"/>
      <c r="E21" s="69"/>
      <c r="F21" s="137">
        <f t="shared" si="0"/>
        <v>255046.22000000003</v>
      </c>
      <c r="I21" s="288" t="s">
        <v>147</v>
      </c>
      <c r="J21" s="38">
        <v>7817</v>
      </c>
      <c r="K21" s="111">
        <v>3020.38</v>
      </c>
      <c r="L21" s="370">
        <v>44536</v>
      </c>
      <c r="M21" s="69"/>
      <c r="N21" s="137">
        <f t="shared" si="1"/>
        <v>52756.859999999993</v>
      </c>
    </row>
    <row r="22" spans="1:14" ht="18.75" x14ac:dyDescent="0.3">
      <c r="A22" s="245" t="s">
        <v>154</v>
      </c>
      <c r="B22" s="246" t="s">
        <v>155</v>
      </c>
      <c r="C22" s="111">
        <v>32844.300000000003</v>
      </c>
      <c r="D22" s="140"/>
      <c r="E22" s="69"/>
      <c r="F22" s="137">
        <f t="shared" si="0"/>
        <v>287890.52</v>
      </c>
      <c r="G22" s="138"/>
      <c r="I22" s="288" t="s">
        <v>151</v>
      </c>
      <c r="J22" s="38">
        <v>7822</v>
      </c>
      <c r="K22" s="111">
        <v>2524.2399999999998</v>
      </c>
      <c r="L22" s="370">
        <v>44536</v>
      </c>
      <c r="M22" s="69"/>
      <c r="N22" s="137">
        <f t="shared" si="1"/>
        <v>55281.099999999991</v>
      </c>
    </row>
    <row r="23" spans="1:14" ht="15.75" x14ac:dyDescent="0.25">
      <c r="A23" s="245" t="s">
        <v>154</v>
      </c>
      <c r="B23" s="246" t="s">
        <v>156</v>
      </c>
      <c r="C23" s="111">
        <v>1801.8</v>
      </c>
      <c r="D23" s="140"/>
      <c r="E23" s="69"/>
      <c r="F23" s="137">
        <f t="shared" si="0"/>
        <v>289692.32</v>
      </c>
      <c r="I23" s="288" t="s">
        <v>154</v>
      </c>
      <c r="J23" s="38">
        <v>7826</v>
      </c>
      <c r="K23" s="111">
        <v>1789.6</v>
      </c>
      <c r="L23" s="370">
        <v>44536</v>
      </c>
      <c r="M23" s="69"/>
      <c r="N23" s="137">
        <f t="shared" si="1"/>
        <v>57070.69999999999</v>
      </c>
    </row>
    <row r="24" spans="1:14" ht="15.75" x14ac:dyDescent="0.25">
      <c r="A24" s="245" t="s">
        <v>157</v>
      </c>
      <c r="B24" s="246" t="s">
        <v>158</v>
      </c>
      <c r="C24" s="111">
        <v>700</v>
      </c>
      <c r="D24" s="140"/>
      <c r="E24" s="69"/>
      <c r="F24" s="137">
        <f t="shared" si="0"/>
        <v>290392.32000000001</v>
      </c>
      <c r="I24" s="288" t="s">
        <v>154</v>
      </c>
      <c r="J24" s="38">
        <v>7829</v>
      </c>
      <c r="K24" s="111">
        <v>2590.2199999999998</v>
      </c>
      <c r="L24" s="370">
        <v>44536</v>
      </c>
      <c r="M24" s="69"/>
      <c r="N24" s="137">
        <f t="shared" si="1"/>
        <v>59660.919999999991</v>
      </c>
    </row>
    <row r="25" spans="1:14" ht="15.75" x14ac:dyDescent="0.25">
      <c r="A25" s="245" t="s">
        <v>157</v>
      </c>
      <c r="B25" s="246" t="s">
        <v>159</v>
      </c>
      <c r="C25" s="111">
        <v>0</v>
      </c>
      <c r="D25" s="140"/>
      <c r="E25" s="69"/>
      <c r="F25" s="137">
        <f t="shared" si="0"/>
        <v>290392.32000000001</v>
      </c>
      <c r="I25" s="288" t="s">
        <v>157</v>
      </c>
      <c r="J25" s="38">
        <v>7831</v>
      </c>
      <c r="K25" s="111">
        <v>5268.02</v>
      </c>
      <c r="L25" s="370">
        <v>44536</v>
      </c>
      <c r="M25" s="69"/>
      <c r="N25" s="137">
        <f t="shared" si="1"/>
        <v>64928.939999999988</v>
      </c>
    </row>
    <row r="26" spans="1:14" ht="15.75" x14ac:dyDescent="0.25">
      <c r="A26" s="245" t="s">
        <v>157</v>
      </c>
      <c r="B26" s="246" t="s">
        <v>160</v>
      </c>
      <c r="C26" s="111">
        <v>34909.9</v>
      </c>
      <c r="D26" s="140"/>
      <c r="E26" s="69"/>
      <c r="F26" s="137">
        <f t="shared" si="0"/>
        <v>325302.22000000003</v>
      </c>
      <c r="I26" s="288" t="s">
        <v>157</v>
      </c>
      <c r="J26" s="38">
        <v>7835</v>
      </c>
      <c r="K26" s="111">
        <v>1272.24</v>
      </c>
      <c r="L26" s="370">
        <v>44536</v>
      </c>
      <c r="M26" s="69"/>
      <c r="N26" s="137">
        <f t="shared" si="1"/>
        <v>66201.179999999993</v>
      </c>
    </row>
    <row r="27" spans="1:14" ht="15.75" x14ac:dyDescent="0.25">
      <c r="A27" s="245" t="s">
        <v>157</v>
      </c>
      <c r="B27" s="246" t="s">
        <v>161</v>
      </c>
      <c r="C27" s="111">
        <v>5451.9</v>
      </c>
      <c r="D27" s="140"/>
      <c r="E27" s="69"/>
      <c r="F27" s="137">
        <f t="shared" si="0"/>
        <v>330754.12000000005</v>
      </c>
      <c r="I27" s="288" t="s">
        <v>197</v>
      </c>
      <c r="J27" s="38">
        <v>7837</v>
      </c>
      <c r="K27" s="111">
        <v>2132.7199999999998</v>
      </c>
      <c r="L27" s="370">
        <v>44536</v>
      </c>
      <c r="M27" s="69"/>
      <c r="N27" s="137">
        <f t="shared" si="1"/>
        <v>68333.899999999994</v>
      </c>
    </row>
    <row r="28" spans="1:14" ht="15.75" x14ac:dyDescent="0.25">
      <c r="A28" s="245" t="s">
        <v>162</v>
      </c>
      <c r="B28" s="246" t="s">
        <v>163</v>
      </c>
      <c r="C28" s="111">
        <v>6120</v>
      </c>
      <c r="D28" s="140"/>
      <c r="E28" s="69"/>
      <c r="F28" s="137">
        <f t="shared" si="0"/>
        <v>336874.12000000005</v>
      </c>
      <c r="I28" s="288" t="s">
        <v>162</v>
      </c>
      <c r="J28" s="38">
        <v>7841</v>
      </c>
      <c r="K28" s="111">
        <v>5711.74</v>
      </c>
      <c r="L28" s="370">
        <v>44536</v>
      </c>
      <c r="M28" s="69"/>
      <c r="N28" s="137">
        <f t="shared" si="1"/>
        <v>74045.64</v>
      </c>
    </row>
    <row r="29" spans="1:14" ht="15.75" x14ac:dyDescent="0.25">
      <c r="A29" s="245" t="s">
        <v>162</v>
      </c>
      <c r="B29" s="246" t="s">
        <v>164</v>
      </c>
      <c r="C29" s="111">
        <v>200.4</v>
      </c>
      <c r="D29" s="140"/>
      <c r="E29" s="69"/>
      <c r="F29" s="137">
        <f t="shared" si="0"/>
        <v>337074.52000000008</v>
      </c>
      <c r="I29" s="288" t="s">
        <v>165</v>
      </c>
      <c r="J29" s="38">
        <v>7850</v>
      </c>
      <c r="K29" s="111">
        <v>1624.34</v>
      </c>
      <c r="L29" s="370">
        <v>44536</v>
      </c>
      <c r="M29" s="69"/>
      <c r="N29" s="137">
        <f t="shared" si="1"/>
        <v>75669.98</v>
      </c>
    </row>
    <row r="30" spans="1:14" ht="18.75" x14ac:dyDescent="0.3">
      <c r="A30" s="245" t="s">
        <v>165</v>
      </c>
      <c r="B30" s="246" t="s">
        <v>166</v>
      </c>
      <c r="C30" s="111">
        <v>16436.2</v>
      </c>
      <c r="D30" s="140"/>
      <c r="E30" s="69"/>
      <c r="F30" s="137">
        <f t="shared" si="0"/>
        <v>353510.72000000009</v>
      </c>
      <c r="G30" s="138"/>
      <c r="I30" s="288" t="s">
        <v>167</v>
      </c>
      <c r="J30" s="38">
        <v>7855</v>
      </c>
      <c r="K30" s="111">
        <v>1017</v>
      </c>
      <c r="L30" s="370">
        <v>44536</v>
      </c>
      <c r="M30" s="69"/>
      <c r="N30" s="137">
        <f t="shared" si="1"/>
        <v>76686.98</v>
      </c>
    </row>
    <row r="31" spans="1:14" ht="15.75" x14ac:dyDescent="0.25">
      <c r="A31" s="245" t="s">
        <v>167</v>
      </c>
      <c r="B31" s="246" t="s">
        <v>168</v>
      </c>
      <c r="C31" s="111">
        <v>5770.5</v>
      </c>
      <c r="D31" s="140"/>
      <c r="E31" s="69"/>
      <c r="F31" s="137">
        <f t="shared" si="0"/>
        <v>359281.22000000009</v>
      </c>
      <c r="I31" s="288" t="s">
        <v>170</v>
      </c>
      <c r="J31" s="38">
        <v>7861</v>
      </c>
      <c r="K31" s="111">
        <v>2570.5</v>
      </c>
      <c r="L31" s="370">
        <v>44536</v>
      </c>
      <c r="M31" s="69"/>
      <c r="N31" s="137">
        <f t="shared" si="1"/>
        <v>79257.48</v>
      </c>
    </row>
    <row r="32" spans="1:14" ht="15.75" x14ac:dyDescent="0.25">
      <c r="A32" s="245" t="s">
        <v>167</v>
      </c>
      <c r="B32" s="246" t="s">
        <v>169</v>
      </c>
      <c r="C32" s="111">
        <v>31786.83</v>
      </c>
      <c r="D32" s="140"/>
      <c r="E32" s="69"/>
      <c r="F32" s="137">
        <f t="shared" si="0"/>
        <v>391068.0500000001</v>
      </c>
      <c r="I32" s="288" t="s">
        <v>170</v>
      </c>
      <c r="J32" s="38">
        <v>7862</v>
      </c>
      <c r="K32" s="111">
        <v>220</v>
      </c>
      <c r="L32" s="370">
        <v>44536</v>
      </c>
      <c r="M32" s="69"/>
      <c r="N32" s="137">
        <f t="shared" si="1"/>
        <v>79477.48</v>
      </c>
    </row>
    <row r="33" spans="1:14" ht="15.75" x14ac:dyDescent="0.25">
      <c r="A33" s="245" t="s">
        <v>170</v>
      </c>
      <c r="B33" s="246" t="s">
        <v>171</v>
      </c>
      <c r="C33" s="111">
        <v>1033.5999999999999</v>
      </c>
      <c r="D33" s="140"/>
      <c r="E33" s="69"/>
      <c r="F33" s="137">
        <f t="shared" si="0"/>
        <v>392101.65000000008</v>
      </c>
      <c r="I33" s="288" t="s">
        <v>173</v>
      </c>
      <c r="J33" s="38">
        <v>7868</v>
      </c>
      <c r="K33" s="111">
        <v>1057.4000000000001</v>
      </c>
      <c r="L33" s="370">
        <v>44536</v>
      </c>
      <c r="M33" s="69"/>
      <c r="N33" s="137">
        <f t="shared" si="1"/>
        <v>80534.87999999999</v>
      </c>
    </row>
    <row r="34" spans="1:14" ht="15.75" x14ac:dyDescent="0.25">
      <c r="A34" s="245" t="s">
        <v>170</v>
      </c>
      <c r="B34" s="246" t="s">
        <v>172</v>
      </c>
      <c r="C34" s="111">
        <v>23327.4</v>
      </c>
      <c r="D34" s="140"/>
      <c r="E34" s="69"/>
      <c r="F34" s="137">
        <f t="shared" si="0"/>
        <v>415429.0500000001</v>
      </c>
      <c r="I34" s="288" t="s">
        <v>176</v>
      </c>
      <c r="J34" s="38">
        <v>7874</v>
      </c>
      <c r="K34" s="111">
        <v>2185.46</v>
      </c>
      <c r="L34" s="370">
        <v>44536</v>
      </c>
      <c r="M34" s="69"/>
      <c r="N34" s="137">
        <f t="shared" si="1"/>
        <v>82720.34</v>
      </c>
    </row>
    <row r="35" spans="1:14" ht="15.75" x14ac:dyDescent="0.25">
      <c r="A35" s="245" t="s">
        <v>173</v>
      </c>
      <c r="B35" s="262" t="s">
        <v>174</v>
      </c>
      <c r="C35" s="263">
        <v>9701.98</v>
      </c>
      <c r="D35" s="264"/>
      <c r="E35" s="69"/>
      <c r="F35" s="137">
        <f t="shared" si="0"/>
        <v>425131.03000000009</v>
      </c>
      <c r="I35" s="288" t="s">
        <v>179</v>
      </c>
      <c r="J35" s="38">
        <v>7885</v>
      </c>
      <c r="K35" s="111">
        <v>7065.94</v>
      </c>
      <c r="L35" s="370">
        <v>44536</v>
      </c>
      <c r="M35" s="69"/>
      <c r="N35" s="137">
        <f t="shared" si="1"/>
        <v>89786.28</v>
      </c>
    </row>
    <row r="36" spans="1:14" ht="17.25" x14ac:dyDescent="0.3">
      <c r="A36" s="245" t="s">
        <v>173</v>
      </c>
      <c r="B36" s="246" t="s">
        <v>175</v>
      </c>
      <c r="C36" s="111">
        <v>19002.599999999999</v>
      </c>
      <c r="D36" s="375">
        <v>44536</v>
      </c>
      <c r="E36" s="263">
        <v>440783.04</v>
      </c>
      <c r="F36" s="364">
        <f t="shared" si="0"/>
        <v>3350.5900000000838</v>
      </c>
      <c r="I36" s="288" t="s">
        <v>179</v>
      </c>
      <c r="J36" s="38">
        <v>7886</v>
      </c>
      <c r="K36" s="111">
        <v>2509.7199999999998</v>
      </c>
      <c r="L36" s="370">
        <v>44536</v>
      </c>
      <c r="M36" s="69"/>
      <c r="N36" s="137">
        <f t="shared" si="1"/>
        <v>92296</v>
      </c>
    </row>
    <row r="37" spans="1:14" ht="15.75" x14ac:dyDescent="0.25">
      <c r="A37" s="245" t="s">
        <v>176</v>
      </c>
      <c r="B37" s="246" t="s">
        <v>177</v>
      </c>
      <c r="C37" s="111">
        <v>15004.5</v>
      </c>
      <c r="D37" s="140"/>
      <c r="E37" s="69"/>
      <c r="F37" s="137">
        <f t="shared" si="0"/>
        <v>18355.090000000084</v>
      </c>
      <c r="I37" s="288" t="s">
        <v>181</v>
      </c>
      <c r="J37" s="38">
        <v>7894</v>
      </c>
      <c r="K37" s="111">
        <v>6480.14</v>
      </c>
      <c r="L37" s="370">
        <v>44536</v>
      </c>
      <c r="M37" s="69"/>
      <c r="N37" s="137">
        <f t="shared" si="1"/>
        <v>98776.14</v>
      </c>
    </row>
    <row r="38" spans="1:14" ht="15.75" x14ac:dyDescent="0.25">
      <c r="A38" s="245" t="s">
        <v>176</v>
      </c>
      <c r="B38" s="246" t="s">
        <v>178</v>
      </c>
      <c r="C38" s="111">
        <v>11653</v>
      </c>
      <c r="D38" s="140"/>
      <c r="E38" s="69"/>
      <c r="F38" s="137">
        <f t="shared" si="0"/>
        <v>30008.090000000084</v>
      </c>
      <c r="I38" s="288" t="s">
        <v>184</v>
      </c>
      <c r="J38" s="38">
        <v>7902</v>
      </c>
      <c r="K38" s="111">
        <v>14917</v>
      </c>
      <c r="L38" s="370">
        <v>44536</v>
      </c>
      <c r="M38" s="69"/>
      <c r="N38" s="137">
        <f t="shared" si="1"/>
        <v>113693.14</v>
      </c>
    </row>
    <row r="39" spans="1:14" ht="15.75" x14ac:dyDescent="0.25">
      <c r="A39" s="245" t="s">
        <v>179</v>
      </c>
      <c r="B39" s="246" t="s">
        <v>180</v>
      </c>
      <c r="C39" s="111">
        <v>13564.4</v>
      </c>
      <c r="D39" s="140"/>
      <c r="E39" s="69"/>
      <c r="F39" s="137">
        <f t="shared" si="0"/>
        <v>43572.490000000085</v>
      </c>
      <c r="I39" s="288" t="s">
        <v>184</v>
      </c>
      <c r="J39" s="38">
        <v>7904</v>
      </c>
      <c r="K39" s="111">
        <v>23258.400000000001</v>
      </c>
      <c r="L39" s="370">
        <v>44536</v>
      </c>
      <c r="M39" s="69"/>
      <c r="N39" s="137">
        <f t="shared" si="1"/>
        <v>136951.54</v>
      </c>
    </row>
    <row r="40" spans="1:14" ht="15.75" x14ac:dyDescent="0.25">
      <c r="A40" s="245" t="s">
        <v>181</v>
      </c>
      <c r="B40" s="246" t="s">
        <v>182</v>
      </c>
      <c r="C40" s="111">
        <v>23352.1</v>
      </c>
      <c r="D40" s="140"/>
      <c r="E40" s="69"/>
      <c r="F40" s="137">
        <f t="shared" si="0"/>
        <v>66924.590000000084</v>
      </c>
      <c r="I40" s="288" t="s">
        <v>186</v>
      </c>
      <c r="J40" s="38">
        <v>7909</v>
      </c>
      <c r="K40" s="111">
        <v>4062.48</v>
      </c>
      <c r="L40" s="370">
        <v>44536</v>
      </c>
      <c r="M40" s="69"/>
      <c r="N40" s="137">
        <f t="shared" si="1"/>
        <v>141014.02000000002</v>
      </c>
    </row>
    <row r="41" spans="1:14" ht="15.75" x14ac:dyDescent="0.25">
      <c r="A41" s="245" t="s">
        <v>181</v>
      </c>
      <c r="B41" s="246" t="s">
        <v>183</v>
      </c>
      <c r="C41" s="111">
        <v>1062.5999999999999</v>
      </c>
      <c r="D41" s="140"/>
      <c r="E41" s="69"/>
      <c r="F41" s="137">
        <f t="shared" si="0"/>
        <v>67987.19000000009</v>
      </c>
      <c r="I41" s="288" t="s">
        <v>189</v>
      </c>
      <c r="J41" s="38">
        <v>7918</v>
      </c>
      <c r="K41" s="111">
        <v>2667.28</v>
      </c>
      <c r="L41" s="370">
        <v>44536</v>
      </c>
      <c r="M41" s="69"/>
      <c r="N41" s="137">
        <f t="shared" si="1"/>
        <v>143681.30000000002</v>
      </c>
    </row>
    <row r="42" spans="1:14" ht="15.75" x14ac:dyDescent="0.25">
      <c r="A42" s="245" t="s">
        <v>184</v>
      </c>
      <c r="B42" s="246" t="s">
        <v>185</v>
      </c>
      <c r="C42" s="111">
        <v>23716.9</v>
      </c>
      <c r="D42" s="140"/>
      <c r="E42" s="69"/>
      <c r="F42" s="137">
        <f t="shared" si="0"/>
        <v>91704.090000000084</v>
      </c>
      <c r="I42" s="288" t="s">
        <v>189</v>
      </c>
      <c r="J42" s="38">
        <v>7920</v>
      </c>
      <c r="K42" s="111">
        <v>19440.8</v>
      </c>
      <c r="L42" s="370">
        <v>44536</v>
      </c>
      <c r="M42" s="69"/>
      <c r="N42" s="137">
        <f t="shared" si="1"/>
        <v>163122.1</v>
      </c>
    </row>
    <row r="43" spans="1:14" ht="15.75" x14ac:dyDescent="0.25">
      <c r="A43" s="245" t="s">
        <v>186</v>
      </c>
      <c r="B43" s="246" t="s">
        <v>187</v>
      </c>
      <c r="C43" s="111">
        <v>0</v>
      </c>
      <c r="D43" s="140"/>
      <c r="E43" s="69"/>
      <c r="F43" s="137">
        <f t="shared" si="0"/>
        <v>91704.090000000084</v>
      </c>
      <c r="I43" s="288" t="s">
        <v>189</v>
      </c>
      <c r="J43" s="38">
        <v>7925</v>
      </c>
      <c r="K43" s="111">
        <v>803.24</v>
      </c>
      <c r="L43" s="370">
        <v>44536</v>
      </c>
      <c r="M43" s="69"/>
      <c r="N43" s="137">
        <f t="shared" si="1"/>
        <v>163925.34</v>
      </c>
    </row>
    <row r="44" spans="1:14" ht="18.75" x14ac:dyDescent="0.25">
      <c r="A44" s="245" t="s">
        <v>186</v>
      </c>
      <c r="B44" s="246" t="s">
        <v>188</v>
      </c>
      <c r="C44" s="111">
        <v>22472</v>
      </c>
      <c r="D44" s="140"/>
      <c r="E44" s="69"/>
      <c r="F44" s="137">
        <f t="shared" si="0"/>
        <v>114176.09000000008</v>
      </c>
      <c r="I44" s="219"/>
      <c r="J44" s="220"/>
      <c r="K44" s="222"/>
      <c r="L44" s="282">
        <v>44536</v>
      </c>
      <c r="M44" s="281">
        <v>163925.34</v>
      </c>
      <c r="N44" s="280">
        <f t="shared" si="1"/>
        <v>0</v>
      </c>
    </row>
    <row r="45" spans="1:14" ht="15.75" x14ac:dyDescent="0.25">
      <c r="A45" s="245" t="s">
        <v>189</v>
      </c>
      <c r="B45" s="57" t="s">
        <v>190</v>
      </c>
      <c r="C45" s="111">
        <v>77166.05</v>
      </c>
      <c r="D45" s="140"/>
      <c r="E45" s="69"/>
      <c r="F45" s="137">
        <f t="shared" si="0"/>
        <v>191342.14000000007</v>
      </c>
      <c r="I45" s="219"/>
      <c r="J45" s="220"/>
      <c r="K45" s="221"/>
      <c r="L45" s="253"/>
      <c r="M45" s="69"/>
      <c r="N45" s="137">
        <f t="shared" si="1"/>
        <v>0</v>
      </c>
    </row>
    <row r="46" spans="1:14" ht="15.75" x14ac:dyDescent="0.25">
      <c r="A46" s="245" t="s">
        <v>189</v>
      </c>
      <c r="B46" s="57" t="s">
        <v>191</v>
      </c>
      <c r="C46" s="243">
        <v>104.4</v>
      </c>
      <c r="D46" s="140"/>
      <c r="E46" s="69"/>
      <c r="F46" s="137">
        <f t="shared" si="0"/>
        <v>191446.54000000007</v>
      </c>
      <c r="I46" s="219"/>
      <c r="J46" s="220"/>
      <c r="K46" s="221"/>
      <c r="L46" s="253"/>
      <c r="M46" s="69"/>
      <c r="N46" s="137">
        <f t="shared" si="1"/>
        <v>0</v>
      </c>
    </row>
    <row r="47" spans="1:14" ht="15.75" x14ac:dyDescent="0.25">
      <c r="A47" s="245" t="s">
        <v>189</v>
      </c>
      <c r="B47" s="57" t="s">
        <v>192</v>
      </c>
      <c r="C47" s="243">
        <v>702</v>
      </c>
      <c r="D47" s="140"/>
      <c r="E47" s="69"/>
      <c r="F47" s="137">
        <f t="shared" si="0"/>
        <v>192148.54000000007</v>
      </c>
      <c r="I47" s="219"/>
      <c r="J47" s="220"/>
      <c r="K47" s="221"/>
      <c r="L47" s="253"/>
      <c r="M47" s="69"/>
      <c r="N47" s="137">
        <f t="shared" si="1"/>
        <v>0</v>
      </c>
    </row>
    <row r="48" spans="1:14" ht="15.75" x14ac:dyDescent="0.25">
      <c r="A48" s="242">
        <v>44533</v>
      </c>
      <c r="B48" s="241" t="s">
        <v>312</v>
      </c>
      <c r="C48" s="244">
        <v>17024.8</v>
      </c>
      <c r="D48" s="140"/>
      <c r="E48" s="69"/>
      <c r="F48" s="137">
        <f t="shared" si="0"/>
        <v>209173.34000000005</v>
      </c>
      <c r="I48" s="219"/>
      <c r="J48" s="220"/>
      <c r="K48" s="221"/>
      <c r="L48" s="253"/>
      <c r="M48" s="69"/>
      <c r="N48" s="137">
        <f t="shared" si="1"/>
        <v>0</v>
      </c>
    </row>
    <row r="49" spans="1:14" ht="15.75" x14ac:dyDescent="0.25">
      <c r="A49" s="140">
        <v>44533</v>
      </c>
      <c r="B49" s="139" t="s">
        <v>313</v>
      </c>
      <c r="C49" s="215">
        <v>7870.56</v>
      </c>
      <c r="D49" s="140"/>
      <c r="E49" s="69"/>
      <c r="F49" s="137">
        <f t="shared" si="0"/>
        <v>217043.90000000005</v>
      </c>
      <c r="I49" s="219"/>
      <c r="J49" s="220"/>
      <c r="K49" s="221"/>
      <c r="L49" s="253"/>
      <c r="M49" s="69"/>
      <c r="N49" s="137">
        <f t="shared" si="1"/>
        <v>0</v>
      </c>
    </row>
    <row r="50" spans="1:14" ht="16.5" thickBot="1" x14ac:dyDescent="0.3">
      <c r="A50" s="242">
        <v>44534</v>
      </c>
      <c r="B50" s="241" t="s">
        <v>193</v>
      </c>
      <c r="C50" s="244">
        <v>73956.800000000003</v>
      </c>
      <c r="D50" s="140">
        <v>44554</v>
      </c>
      <c r="E50" s="69">
        <v>291000.7</v>
      </c>
      <c r="F50" s="137">
        <f t="shared" si="0"/>
        <v>0</v>
      </c>
      <c r="I50" s="134"/>
      <c r="J50" s="139"/>
      <c r="K50" s="69"/>
      <c r="L50" s="253"/>
      <c r="M50" s="69"/>
      <c r="N50" s="137">
        <f t="shared" si="1"/>
        <v>0</v>
      </c>
    </row>
    <row r="51" spans="1:14" ht="15" hidden="1" customHeight="1" x14ac:dyDescent="0.25">
      <c r="A51" s="141"/>
      <c r="B51" s="142"/>
      <c r="C51" s="143"/>
      <c r="D51" s="140"/>
      <c r="E51" s="69"/>
      <c r="F51" s="137">
        <f t="shared" si="0"/>
        <v>0</v>
      </c>
      <c r="I51" s="141"/>
      <c r="J51" s="142"/>
      <c r="K51" s="143"/>
      <c r="L51" s="253"/>
      <c r="M51" s="69"/>
      <c r="N51" s="137">
        <f t="shared" si="1"/>
        <v>0</v>
      </c>
    </row>
    <row r="52" spans="1:14" ht="15.75" hidden="1" x14ac:dyDescent="0.25">
      <c r="A52" s="141"/>
      <c r="B52" s="142"/>
      <c r="C52" s="143"/>
      <c r="D52" s="140"/>
      <c r="E52" s="69"/>
      <c r="F52" s="137">
        <f t="shared" si="0"/>
        <v>0</v>
      </c>
      <c r="I52" s="141"/>
      <c r="J52" s="142"/>
      <c r="K52" s="143"/>
      <c r="L52" s="253"/>
      <c r="M52" s="69"/>
      <c r="N52" s="137">
        <f t="shared" si="1"/>
        <v>0</v>
      </c>
    </row>
    <row r="53" spans="1:14" ht="15.75" hidden="1" x14ac:dyDescent="0.25">
      <c r="A53" s="141"/>
      <c r="B53" s="142"/>
      <c r="C53" s="143"/>
      <c r="D53" s="140"/>
      <c r="E53" s="69"/>
      <c r="F53" s="137">
        <f t="shared" si="0"/>
        <v>0</v>
      </c>
      <c r="I53" s="141"/>
      <c r="J53" s="142"/>
      <c r="K53" s="143"/>
      <c r="L53" s="253"/>
      <c r="M53" s="69"/>
      <c r="N53" s="137">
        <f t="shared" si="1"/>
        <v>0</v>
      </c>
    </row>
    <row r="54" spans="1:14" ht="15.75" hidden="1" x14ac:dyDescent="0.25">
      <c r="A54" s="141"/>
      <c r="B54" s="142"/>
      <c r="C54" s="143"/>
      <c r="D54" s="140"/>
      <c r="E54" s="69"/>
      <c r="F54" s="137">
        <f t="shared" si="0"/>
        <v>0</v>
      </c>
      <c r="I54" s="141"/>
      <c r="J54" s="142"/>
      <c r="K54" s="143"/>
      <c r="L54" s="253"/>
      <c r="M54" s="69"/>
      <c r="N54" s="137">
        <f t="shared" si="1"/>
        <v>0</v>
      </c>
    </row>
    <row r="55" spans="1:14" ht="15.75" hidden="1" x14ac:dyDescent="0.25">
      <c r="A55" s="141"/>
      <c r="B55" s="142"/>
      <c r="C55" s="143"/>
      <c r="D55" s="140"/>
      <c r="E55" s="69"/>
      <c r="F55" s="137">
        <f t="shared" si="0"/>
        <v>0</v>
      </c>
      <c r="I55" s="141"/>
      <c r="J55" s="142"/>
      <c r="K55" s="143"/>
      <c r="L55" s="253"/>
      <c r="M55" s="69"/>
      <c r="N55" s="137">
        <f t="shared" si="1"/>
        <v>0</v>
      </c>
    </row>
    <row r="56" spans="1:14" ht="15.75" hidden="1" x14ac:dyDescent="0.25">
      <c r="A56" s="141"/>
      <c r="B56" s="142"/>
      <c r="C56" s="143"/>
      <c r="D56" s="140"/>
      <c r="E56" s="69"/>
      <c r="F56" s="137">
        <f t="shared" si="0"/>
        <v>0</v>
      </c>
      <c r="I56" s="141"/>
      <c r="J56" s="142"/>
      <c r="K56" s="143"/>
      <c r="L56" s="253"/>
      <c r="M56" s="69"/>
      <c r="N56" s="137">
        <f t="shared" si="1"/>
        <v>0</v>
      </c>
    </row>
    <row r="57" spans="1:14" ht="15.75" hidden="1" x14ac:dyDescent="0.25">
      <c r="A57" s="141"/>
      <c r="B57" s="142"/>
      <c r="C57" s="143"/>
      <c r="D57" s="140"/>
      <c r="E57" s="69"/>
      <c r="F57" s="137">
        <f t="shared" ref="F57:F85" si="2">F56+C57-E57</f>
        <v>0</v>
      </c>
      <c r="I57" s="141"/>
      <c r="J57" s="142"/>
      <c r="K57" s="143"/>
      <c r="L57" s="253"/>
      <c r="M57" s="69"/>
      <c r="N57" s="137">
        <f t="shared" ref="N57:N85" si="3">N56+K57-M57</f>
        <v>0</v>
      </c>
    </row>
    <row r="58" spans="1:14" ht="15.75" hidden="1" x14ac:dyDescent="0.25">
      <c r="A58" s="141"/>
      <c r="B58" s="142"/>
      <c r="C58" s="143"/>
      <c r="D58" s="140"/>
      <c r="E58" s="69"/>
      <c r="F58" s="137">
        <f t="shared" si="2"/>
        <v>0</v>
      </c>
      <c r="I58" s="141"/>
      <c r="J58" s="142"/>
      <c r="K58" s="143"/>
      <c r="L58" s="253"/>
      <c r="M58" s="69"/>
      <c r="N58" s="137">
        <f t="shared" si="3"/>
        <v>0</v>
      </c>
    </row>
    <row r="59" spans="1:14" ht="15.75" hidden="1" x14ac:dyDescent="0.25">
      <c r="A59" s="141"/>
      <c r="B59" s="142"/>
      <c r="C59" s="143"/>
      <c r="D59" s="140"/>
      <c r="E59" s="69"/>
      <c r="F59" s="137">
        <f t="shared" si="2"/>
        <v>0</v>
      </c>
      <c r="I59" s="141"/>
      <c r="J59" s="142"/>
      <c r="K59" s="143"/>
      <c r="L59" s="253"/>
      <c r="M59" s="69"/>
      <c r="N59" s="137">
        <f t="shared" si="3"/>
        <v>0</v>
      </c>
    </row>
    <row r="60" spans="1:14" ht="15.75" hidden="1" x14ac:dyDescent="0.25">
      <c r="A60" s="141"/>
      <c r="B60" s="142"/>
      <c r="C60" s="143"/>
      <c r="D60" s="140"/>
      <c r="E60" s="69"/>
      <c r="F60" s="137">
        <f t="shared" si="2"/>
        <v>0</v>
      </c>
      <c r="I60" s="141"/>
      <c r="J60" s="142"/>
      <c r="K60" s="143"/>
      <c r="L60" s="253"/>
      <c r="M60" s="69"/>
      <c r="N60" s="137">
        <f t="shared" si="3"/>
        <v>0</v>
      </c>
    </row>
    <row r="61" spans="1:14" ht="15.75" hidden="1" x14ac:dyDescent="0.25">
      <c r="A61" s="141"/>
      <c r="B61" s="142"/>
      <c r="C61" s="143"/>
      <c r="D61" s="140"/>
      <c r="E61" s="69"/>
      <c r="F61" s="137">
        <f t="shared" si="2"/>
        <v>0</v>
      </c>
      <c r="I61" s="141"/>
      <c r="J61" s="142"/>
      <c r="K61" s="143"/>
      <c r="L61" s="253"/>
      <c r="M61" s="69"/>
      <c r="N61" s="137">
        <f t="shared" si="3"/>
        <v>0</v>
      </c>
    </row>
    <row r="62" spans="1:14" ht="15.75" hidden="1" x14ac:dyDescent="0.25">
      <c r="A62" s="141"/>
      <c r="B62" s="142"/>
      <c r="C62" s="143"/>
      <c r="D62" s="140"/>
      <c r="E62" s="69"/>
      <c r="F62" s="137">
        <f t="shared" si="2"/>
        <v>0</v>
      </c>
      <c r="I62" s="141"/>
      <c r="J62" s="142"/>
      <c r="K62" s="143"/>
      <c r="L62" s="253"/>
      <c r="M62" s="69"/>
      <c r="N62" s="137">
        <f t="shared" si="3"/>
        <v>0</v>
      </c>
    </row>
    <row r="63" spans="1:14" ht="15.75" hidden="1" x14ac:dyDescent="0.25">
      <c r="A63" s="141"/>
      <c r="B63" s="142"/>
      <c r="C63" s="143"/>
      <c r="D63" s="140"/>
      <c r="E63" s="69"/>
      <c r="F63" s="137">
        <f t="shared" si="2"/>
        <v>0</v>
      </c>
      <c r="I63" s="141"/>
      <c r="J63" s="142"/>
      <c r="K63" s="143"/>
      <c r="L63" s="253"/>
      <c r="M63" s="69"/>
      <c r="N63" s="137">
        <f t="shared" si="3"/>
        <v>0</v>
      </c>
    </row>
    <row r="64" spans="1:14" ht="15.75" hidden="1" x14ac:dyDescent="0.25">
      <c r="A64" s="141"/>
      <c r="B64" s="142"/>
      <c r="C64" s="143"/>
      <c r="D64" s="140"/>
      <c r="E64" s="69"/>
      <c r="F64" s="137">
        <f t="shared" si="2"/>
        <v>0</v>
      </c>
      <c r="I64" s="141"/>
      <c r="J64" s="142"/>
      <c r="K64" s="143"/>
      <c r="L64" s="253"/>
      <c r="M64" s="69"/>
      <c r="N64" s="137">
        <f t="shared" si="3"/>
        <v>0</v>
      </c>
    </row>
    <row r="65" spans="1:14" ht="15.75" hidden="1" x14ac:dyDescent="0.25">
      <c r="A65" s="141"/>
      <c r="B65" s="142"/>
      <c r="C65" s="143"/>
      <c r="D65" s="140"/>
      <c r="E65" s="69"/>
      <c r="F65" s="137">
        <f t="shared" si="2"/>
        <v>0</v>
      </c>
      <c r="I65" s="141"/>
      <c r="J65" s="142"/>
      <c r="K65" s="143"/>
      <c r="L65" s="253"/>
      <c r="M65" s="69"/>
      <c r="N65" s="137">
        <f t="shared" si="3"/>
        <v>0</v>
      </c>
    </row>
    <row r="66" spans="1:14" ht="15.75" hidden="1" x14ac:dyDescent="0.25">
      <c r="A66" s="141"/>
      <c r="B66" s="142"/>
      <c r="C66" s="143"/>
      <c r="D66" s="140"/>
      <c r="E66" s="69"/>
      <c r="F66" s="137">
        <f t="shared" si="2"/>
        <v>0</v>
      </c>
      <c r="I66" s="141"/>
      <c r="J66" s="142"/>
      <c r="K66" s="143"/>
      <c r="L66" s="253"/>
      <c r="M66" s="69"/>
      <c r="N66" s="137">
        <f t="shared" si="3"/>
        <v>0</v>
      </c>
    </row>
    <row r="67" spans="1:14" ht="15.75" hidden="1" x14ac:dyDescent="0.25">
      <c r="A67" s="141"/>
      <c r="B67" s="142"/>
      <c r="C67" s="143"/>
      <c r="D67" s="140"/>
      <c r="E67" s="69"/>
      <c r="F67" s="137">
        <f t="shared" si="2"/>
        <v>0</v>
      </c>
      <c r="I67" s="141"/>
      <c r="J67" s="142"/>
      <c r="K67" s="143"/>
      <c r="L67" s="253"/>
      <c r="M67" s="69"/>
      <c r="N67" s="137">
        <f t="shared" si="3"/>
        <v>0</v>
      </c>
    </row>
    <row r="68" spans="1:14" ht="15.75" hidden="1" x14ac:dyDescent="0.25">
      <c r="A68" s="141"/>
      <c r="B68" s="142"/>
      <c r="C68" s="143"/>
      <c r="D68" s="140"/>
      <c r="E68" s="69"/>
      <c r="F68" s="137">
        <f t="shared" si="2"/>
        <v>0</v>
      </c>
      <c r="I68" s="141"/>
      <c r="J68" s="142"/>
      <c r="K68" s="143"/>
      <c r="L68" s="253"/>
      <c r="M68" s="69"/>
      <c r="N68" s="137">
        <f t="shared" si="3"/>
        <v>0</v>
      </c>
    </row>
    <row r="69" spans="1:14" ht="15.75" hidden="1" x14ac:dyDescent="0.25">
      <c r="A69" s="144"/>
      <c r="B69" s="145"/>
      <c r="C69" s="146"/>
      <c r="D69" s="147"/>
      <c r="E69" s="34"/>
      <c r="F69" s="137">
        <f t="shared" si="2"/>
        <v>0</v>
      </c>
      <c r="I69" s="144"/>
      <c r="J69" s="145"/>
      <c r="K69" s="146"/>
      <c r="L69" s="118"/>
      <c r="M69" s="34"/>
      <c r="N69" s="137">
        <f t="shared" si="3"/>
        <v>0</v>
      </c>
    </row>
    <row r="70" spans="1:14" ht="15.75" hidden="1" x14ac:dyDescent="0.25">
      <c r="A70" s="144"/>
      <c r="B70" s="145"/>
      <c r="C70" s="146"/>
      <c r="D70" s="147"/>
      <c r="E70" s="34"/>
      <c r="F70" s="137">
        <f t="shared" si="2"/>
        <v>0</v>
      </c>
      <c r="I70" s="144"/>
      <c r="J70" s="145"/>
      <c r="K70" s="146"/>
      <c r="L70" s="118"/>
      <c r="M70" s="34"/>
      <c r="N70" s="137">
        <f t="shared" si="3"/>
        <v>0</v>
      </c>
    </row>
    <row r="71" spans="1:14" ht="15.75" hidden="1" x14ac:dyDescent="0.25">
      <c r="A71" s="144"/>
      <c r="B71" s="145"/>
      <c r="C71" s="146"/>
      <c r="D71" s="147"/>
      <c r="E71" s="34"/>
      <c r="F71" s="137">
        <f t="shared" si="2"/>
        <v>0</v>
      </c>
      <c r="I71" s="144"/>
      <c r="J71" s="145"/>
      <c r="K71" s="146"/>
      <c r="L71" s="118"/>
      <c r="M71" s="34"/>
      <c r="N71" s="137">
        <f t="shared" si="3"/>
        <v>0</v>
      </c>
    </row>
    <row r="72" spans="1:14" ht="15.75" hidden="1" x14ac:dyDescent="0.25">
      <c r="A72" s="144"/>
      <c r="B72" s="145"/>
      <c r="C72" s="146"/>
      <c r="D72" s="147"/>
      <c r="E72" s="34"/>
      <c r="F72" s="137">
        <f t="shared" si="2"/>
        <v>0</v>
      </c>
      <c r="I72" s="144"/>
      <c r="J72" s="145"/>
      <c r="K72" s="146"/>
      <c r="L72" s="118"/>
      <c r="M72" s="34"/>
      <c r="N72" s="137">
        <f t="shared" si="3"/>
        <v>0</v>
      </c>
    </row>
    <row r="73" spans="1:14" ht="15.75" hidden="1" x14ac:dyDescent="0.25">
      <c r="A73" s="144"/>
      <c r="B73" s="145"/>
      <c r="C73" s="146"/>
      <c r="D73" s="147"/>
      <c r="E73" s="34"/>
      <c r="F73" s="137">
        <f t="shared" si="2"/>
        <v>0</v>
      </c>
      <c r="I73" s="144"/>
      <c r="J73" s="145"/>
      <c r="K73" s="146"/>
      <c r="L73" s="118"/>
      <c r="M73" s="34"/>
      <c r="N73" s="137">
        <f t="shared" si="3"/>
        <v>0</v>
      </c>
    </row>
    <row r="74" spans="1:14" ht="15.75" hidden="1" x14ac:dyDescent="0.25">
      <c r="A74" s="144"/>
      <c r="B74" s="145"/>
      <c r="C74" s="146"/>
      <c r="D74" s="147"/>
      <c r="E74" s="34"/>
      <c r="F74" s="137">
        <f t="shared" si="2"/>
        <v>0</v>
      </c>
      <c r="I74" s="144"/>
      <c r="J74" s="145"/>
      <c r="K74" s="146"/>
      <c r="L74" s="118"/>
      <c r="M74" s="34"/>
      <c r="N74" s="137">
        <f t="shared" si="3"/>
        <v>0</v>
      </c>
    </row>
    <row r="75" spans="1:14" ht="15.75" hidden="1" x14ac:dyDescent="0.25">
      <c r="A75" s="141"/>
      <c r="B75" s="142"/>
      <c r="C75" s="143"/>
      <c r="D75" s="148"/>
      <c r="E75" s="69"/>
      <c r="F75" s="137">
        <f t="shared" si="2"/>
        <v>0</v>
      </c>
      <c r="I75" s="141"/>
      <c r="J75" s="142"/>
      <c r="K75" s="143"/>
      <c r="L75" s="254"/>
      <c r="M75" s="69"/>
      <c r="N75" s="137">
        <f t="shared" si="3"/>
        <v>0</v>
      </c>
    </row>
    <row r="76" spans="1:14" ht="15.75" hidden="1" x14ac:dyDescent="0.25">
      <c r="A76" s="141"/>
      <c r="B76" s="142"/>
      <c r="C76" s="143"/>
      <c r="D76" s="148"/>
      <c r="E76" s="69"/>
      <c r="F76" s="137">
        <f t="shared" si="2"/>
        <v>0</v>
      </c>
      <c r="I76" s="141"/>
      <c r="J76" s="142"/>
      <c r="K76" s="143"/>
      <c r="L76" s="254"/>
      <c r="M76" s="69"/>
      <c r="N76" s="137">
        <f t="shared" si="3"/>
        <v>0</v>
      </c>
    </row>
    <row r="77" spans="1:14" ht="15.75" hidden="1" x14ac:dyDescent="0.25">
      <c r="A77" s="141"/>
      <c r="B77" s="142"/>
      <c r="C77" s="143"/>
      <c r="D77" s="148"/>
      <c r="E77" s="69"/>
      <c r="F77" s="137">
        <f t="shared" si="2"/>
        <v>0</v>
      </c>
      <c r="I77" s="141"/>
      <c r="J77" s="142"/>
      <c r="K77" s="143"/>
      <c r="L77" s="254"/>
      <c r="M77" s="69"/>
      <c r="N77" s="137">
        <f t="shared" si="3"/>
        <v>0</v>
      </c>
    </row>
    <row r="78" spans="1:14" ht="15.75" hidden="1" x14ac:dyDescent="0.25">
      <c r="A78" s="141"/>
      <c r="B78" s="142"/>
      <c r="C78" s="143"/>
      <c r="D78" s="148"/>
      <c r="E78" s="69"/>
      <c r="F78" s="137">
        <f t="shared" si="2"/>
        <v>0</v>
      </c>
      <c r="I78" s="141"/>
      <c r="J78" s="142"/>
      <c r="K78" s="143"/>
      <c r="L78" s="254"/>
      <c r="M78" s="69"/>
      <c r="N78" s="137">
        <f t="shared" si="3"/>
        <v>0</v>
      </c>
    </row>
    <row r="79" spans="1:14" ht="15.75" hidden="1" x14ac:dyDescent="0.25">
      <c r="A79" s="141"/>
      <c r="B79" s="142"/>
      <c r="C79" s="143"/>
      <c r="D79" s="148"/>
      <c r="E79" s="69"/>
      <c r="F79" s="137">
        <f t="shared" si="2"/>
        <v>0</v>
      </c>
      <c r="I79" s="141"/>
      <c r="J79" s="142"/>
      <c r="K79" s="143"/>
      <c r="L79" s="254"/>
      <c r="M79" s="69"/>
      <c r="N79" s="137">
        <f t="shared" si="3"/>
        <v>0</v>
      </c>
    </row>
    <row r="80" spans="1:14" ht="15.75" hidden="1" x14ac:dyDescent="0.25">
      <c r="A80" s="141"/>
      <c r="B80" s="142"/>
      <c r="C80" s="143"/>
      <c r="D80" s="148"/>
      <c r="E80" s="69"/>
      <c r="F80" s="137">
        <f t="shared" si="2"/>
        <v>0</v>
      </c>
      <c r="I80" s="141"/>
      <c r="J80" s="142"/>
      <c r="K80" s="143"/>
      <c r="L80" s="254"/>
      <c r="M80" s="69"/>
      <c r="N80" s="137">
        <f t="shared" si="3"/>
        <v>0</v>
      </c>
    </row>
    <row r="81" spans="1:14" ht="15.75" hidden="1" x14ac:dyDescent="0.25">
      <c r="A81" s="141"/>
      <c r="B81" s="142"/>
      <c r="C81" s="143"/>
      <c r="D81" s="148"/>
      <c r="E81" s="69"/>
      <c r="F81" s="137">
        <f t="shared" si="2"/>
        <v>0</v>
      </c>
      <c r="I81" s="141"/>
      <c r="J81" s="142"/>
      <c r="K81" s="143"/>
      <c r="L81" s="254"/>
      <c r="M81" s="69"/>
      <c r="N81" s="137">
        <f t="shared" si="3"/>
        <v>0</v>
      </c>
    </row>
    <row r="82" spans="1:14" ht="15.75" hidden="1" x14ac:dyDescent="0.25">
      <c r="A82" s="141"/>
      <c r="B82" s="142"/>
      <c r="C82" s="143"/>
      <c r="D82" s="148"/>
      <c r="E82" s="69"/>
      <c r="F82" s="137">
        <f t="shared" si="2"/>
        <v>0</v>
      </c>
      <c r="I82" s="141"/>
      <c r="J82" s="142"/>
      <c r="K82" s="143"/>
      <c r="L82" s="254"/>
      <c r="M82" s="69"/>
      <c r="N82" s="137">
        <f t="shared" si="3"/>
        <v>0</v>
      </c>
    </row>
    <row r="83" spans="1:14" ht="15.75" hidden="1" x14ac:dyDescent="0.25">
      <c r="A83" s="141"/>
      <c r="B83" s="142"/>
      <c r="C83" s="143"/>
      <c r="D83" s="148"/>
      <c r="E83" s="69"/>
      <c r="F83" s="137">
        <f t="shared" si="2"/>
        <v>0</v>
      </c>
      <c r="I83" s="141"/>
      <c r="J83" s="142"/>
      <c r="K83" s="143"/>
      <c r="L83" s="254"/>
      <c r="M83" s="69"/>
      <c r="N83" s="137">
        <f t="shared" si="3"/>
        <v>0</v>
      </c>
    </row>
    <row r="84" spans="1:14" ht="15.75" hidden="1" x14ac:dyDescent="0.25">
      <c r="A84" s="141"/>
      <c r="B84" s="142"/>
      <c r="C84" s="143"/>
      <c r="D84" s="148"/>
      <c r="E84" s="69"/>
      <c r="F84" s="137">
        <f t="shared" si="2"/>
        <v>0</v>
      </c>
      <c r="I84" s="141"/>
      <c r="J84" s="142"/>
      <c r="K84" s="143"/>
      <c r="L84" s="254"/>
      <c r="M84" s="69"/>
      <c r="N84" s="137">
        <f t="shared" si="3"/>
        <v>0</v>
      </c>
    </row>
    <row r="85" spans="1:14" ht="16.5" hidden="1" thickBot="1" x14ac:dyDescent="0.3">
      <c r="A85" s="149"/>
      <c r="B85" s="210"/>
      <c r="C85" s="34">
        <v>0</v>
      </c>
      <c r="D85" s="152"/>
      <c r="E85" s="151"/>
      <c r="F85" s="137">
        <f t="shared" si="2"/>
        <v>0</v>
      </c>
      <c r="I85" s="149"/>
      <c r="J85" s="150"/>
      <c r="K85" s="151">
        <v>0</v>
      </c>
      <c r="L85" s="255"/>
      <c r="M85" s="151"/>
      <c r="N85" s="137">
        <f t="shared" si="3"/>
        <v>0</v>
      </c>
    </row>
    <row r="86" spans="1:14" ht="18.75" x14ac:dyDescent="0.3">
      <c r="B86" s="211"/>
      <c r="C86" s="212">
        <f>SUM(C3:C85)</f>
        <v>731783.74000000022</v>
      </c>
      <c r="D86" s="97"/>
      <c r="E86" s="1"/>
      <c r="F86" s="153">
        <f>F85</f>
        <v>0</v>
      </c>
      <c r="K86" s="209">
        <f>SUM(K3:K85)</f>
        <v>164725.34</v>
      </c>
      <c r="L86" s="256"/>
      <c r="M86" s="1"/>
      <c r="N86" s="153">
        <f>N85</f>
        <v>0</v>
      </c>
    </row>
    <row r="87" spans="1:14" ht="15.75" thickBot="1" x14ac:dyDescent="0.3">
      <c r="B87" s="213"/>
      <c r="C87" s="214"/>
      <c r="D87" s="97"/>
      <c r="E87" s="3"/>
      <c r="F87" s="888" t="s">
        <v>207</v>
      </c>
      <c r="K87" s="1"/>
      <c r="L87" s="256"/>
      <c r="M87" s="3"/>
      <c r="N87" s="1"/>
    </row>
    <row r="88" spans="1:14" x14ac:dyDescent="0.25">
      <c r="B88" s="98"/>
      <c r="C88" s="1"/>
      <c r="D88" s="97"/>
      <c r="E88" s="3"/>
      <c r="F88" s="889"/>
      <c r="K88" s="1"/>
      <c r="L88" s="256"/>
      <c r="M88" s="3"/>
      <c r="N88" s="1"/>
    </row>
    <row r="89" spans="1:14" x14ac:dyDescent="0.25">
      <c r="A89"/>
      <c r="B89" s="23"/>
      <c r="D89" s="23"/>
      <c r="I89"/>
      <c r="J89" s="194"/>
    </row>
    <row r="90" spans="1:14" x14ac:dyDescent="0.25">
      <c r="A90"/>
      <c r="B90" s="23"/>
      <c r="D90" s="23"/>
      <c r="I90"/>
      <c r="J90" s="194"/>
    </row>
    <row r="91" spans="1:14" x14ac:dyDescent="0.25">
      <c r="A91"/>
      <c r="B91" s="23"/>
      <c r="D91" s="23"/>
      <c r="I91"/>
      <c r="J91" s="194"/>
    </row>
    <row r="92" spans="1:14" x14ac:dyDescent="0.25">
      <c r="A92"/>
      <c r="B92" s="23"/>
      <c r="D92" s="23"/>
      <c r="F92"/>
      <c r="I92"/>
      <c r="J92" s="194"/>
      <c r="N92"/>
    </row>
    <row r="93" spans="1:14" x14ac:dyDescent="0.25">
      <c r="A93"/>
      <c r="B93" s="23"/>
      <c r="D93" s="23"/>
      <c r="F93"/>
      <c r="I93"/>
      <c r="J93" s="194"/>
      <c r="N93"/>
    </row>
    <row r="94" spans="1:14" x14ac:dyDescent="0.25">
      <c r="A94"/>
      <c r="B94" s="23"/>
      <c r="D94" s="23"/>
      <c r="F94"/>
      <c r="I94"/>
      <c r="J94" s="194"/>
      <c r="N94"/>
    </row>
    <row r="95" spans="1:14" x14ac:dyDescent="0.25">
      <c r="A95"/>
      <c r="B95" s="23"/>
      <c r="D95" s="23"/>
      <c r="F95"/>
      <c r="I95"/>
      <c r="J95" s="194"/>
      <c r="N95"/>
    </row>
    <row r="96" spans="1:14" x14ac:dyDescent="0.25">
      <c r="A96"/>
      <c r="B96" s="23"/>
      <c r="D96" s="23"/>
      <c r="F96"/>
      <c r="I96"/>
      <c r="J96" s="194"/>
      <c r="N96"/>
    </row>
    <row r="97" spans="1:14" x14ac:dyDescent="0.25">
      <c r="A97"/>
      <c r="B97" s="23"/>
      <c r="D97" s="23"/>
      <c r="F97"/>
      <c r="I97"/>
      <c r="J97" s="194"/>
      <c r="N97"/>
    </row>
    <row r="98" spans="1:14" x14ac:dyDescent="0.25">
      <c r="A98"/>
      <c r="B98" s="23"/>
      <c r="D98" s="23"/>
      <c r="F98"/>
      <c r="I98"/>
      <c r="J98" s="194"/>
      <c r="N98"/>
    </row>
    <row r="99" spans="1:14" x14ac:dyDescent="0.25">
      <c r="A99"/>
      <c r="B99" s="23"/>
      <c r="D99" s="23"/>
      <c r="F99"/>
      <c r="I99"/>
      <c r="J99" s="194"/>
      <c r="N99"/>
    </row>
    <row r="100" spans="1:14" x14ac:dyDescent="0.25">
      <c r="A100"/>
      <c r="B100" s="23"/>
      <c r="D100" s="23"/>
      <c r="F100"/>
      <c r="I100"/>
      <c r="J100" s="194"/>
      <c r="N100"/>
    </row>
    <row r="101" spans="1:14" x14ac:dyDescent="0.25">
      <c r="A101"/>
      <c r="B101" s="23"/>
      <c r="D101" s="23"/>
      <c r="E101"/>
      <c r="F101"/>
      <c r="I101"/>
      <c r="J101" s="194"/>
      <c r="M101"/>
      <c r="N101"/>
    </row>
    <row r="102" spans="1:14" x14ac:dyDescent="0.25">
      <c r="A102"/>
      <c r="B102" s="23"/>
      <c r="D102" s="23"/>
      <c r="E102"/>
      <c r="F102"/>
      <c r="I102"/>
      <c r="J102" s="194"/>
      <c r="M102"/>
      <c r="N102"/>
    </row>
    <row r="103" spans="1:14" x14ac:dyDescent="0.25">
      <c r="A103"/>
      <c r="B103" s="23"/>
      <c r="D103" s="23"/>
      <c r="E103"/>
      <c r="F103"/>
      <c r="I103"/>
      <c r="J103" s="194"/>
      <c r="M103"/>
      <c r="N103"/>
    </row>
    <row r="104" spans="1:14" x14ac:dyDescent="0.25">
      <c r="A104"/>
      <c r="B104" s="23"/>
      <c r="D104" s="23"/>
      <c r="E104"/>
      <c r="F104"/>
      <c r="I104"/>
      <c r="J104" s="194"/>
      <c r="M104"/>
      <c r="N104"/>
    </row>
    <row r="105" spans="1:14" x14ac:dyDescent="0.25">
      <c r="A105"/>
      <c r="B105" s="23"/>
      <c r="D105" s="23"/>
      <c r="E105"/>
      <c r="F105"/>
      <c r="I105"/>
      <c r="J105" s="194"/>
      <c r="M105"/>
      <c r="N105"/>
    </row>
    <row r="106" spans="1:14" x14ac:dyDescent="0.25">
      <c r="A106"/>
      <c r="B106" s="23"/>
      <c r="D106" s="23"/>
      <c r="E106"/>
      <c r="F106"/>
      <c r="I106"/>
      <c r="J106" s="194"/>
      <c r="M106"/>
      <c r="N106"/>
    </row>
    <row r="107" spans="1:14" x14ac:dyDescent="0.25">
      <c r="B107" s="23"/>
      <c r="D107" s="23"/>
      <c r="E107"/>
      <c r="J107" s="194"/>
      <c r="M107"/>
    </row>
    <row r="108" spans="1:14" x14ac:dyDescent="0.25">
      <c r="B108" s="23"/>
      <c r="D108" s="23"/>
      <c r="E108"/>
      <c r="J108" s="194"/>
      <c r="M108"/>
    </row>
    <row r="109" spans="1:14" x14ac:dyDescent="0.25">
      <c r="B109" s="23"/>
      <c r="D109" s="23"/>
      <c r="E109"/>
      <c r="J109" s="194"/>
      <c r="M109"/>
    </row>
    <row r="110" spans="1:14" x14ac:dyDescent="0.25">
      <c r="B110" s="23"/>
      <c r="D110" s="23"/>
      <c r="E110"/>
      <c r="J110" s="194"/>
      <c r="M110"/>
    </row>
    <row r="111" spans="1:14" x14ac:dyDescent="0.25">
      <c r="B111" s="23"/>
      <c r="D111" s="23"/>
      <c r="E111"/>
      <c r="J111" s="194"/>
      <c r="M111"/>
    </row>
    <row r="112" spans="1:14" x14ac:dyDescent="0.25">
      <c r="B112" s="23"/>
      <c r="D112" s="23"/>
      <c r="E112"/>
      <c r="J112" s="194"/>
      <c r="M112"/>
    </row>
    <row r="113" spans="2:13" x14ac:dyDescent="0.25">
      <c r="B113" s="23"/>
      <c r="D113" s="23"/>
      <c r="E113"/>
      <c r="J113" s="194"/>
      <c r="M113"/>
    </row>
    <row r="114" spans="2:13" x14ac:dyDescent="0.25">
      <c r="B114" s="23"/>
      <c r="D114" s="23"/>
      <c r="E114"/>
      <c r="J114" s="194"/>
      <c r="M114"/>
    </row>
    <row r="115" spans="2:13" x14ac:dyDescent="0.25">
      <c r="B115" s="23"/>
      <c r="D115" s="23"/>
      <c r="E115"/>
      <c r="J115" s="194"/>
      <c r="M115"/>
    </row>
    <row r="116" spans="2:13" x14ac:dyDescent="0.25">
      <c r="B116" s="23"/>
      <c r="J116" s="194"/>
    </row>
    <row r="117" spans="2:13" x14ac:dyDescent="0.25">
      <c r="B117" s="23"/>
      <c r="J117" s="194"/>
    </row>
    <row r="118" spans="2:13" x14ac:dyDescent="0.25">
      <c r="B118" s="23"/>
      <c r="D118" s="23"/>
      <c r="J118" s="194"/>
    </row>
    <row r="119" spans="2:13" x14ac:dyDescent="0.25">
      <c r="B119" s="23"/>
      <c r="J119" s="194"/>
    </row>
    <row r="120" spans="2:13" x14ac:dyDescent="0.25">
      <c r="B120" s="23"/>
      <c r="J120" s="194"/>
    </row>
    <row r="121" spans="2:13" x14ac:dyDescent="0.25">
      <c r="B121" s="23"/>
      <c r="J121" s="194"/>
    </row>
    <row r="122" spans="2:13" ht="18.75" x14ac:dyDescent="0.3">
      <c r="C122" s="154"/>
      <c r="K122" s="154"/>
    </row>
  </sheetData>
  <mergeCells count="1">
    <mergeCell ref="F87:F88"/>
  </mergeCells>
  <pageMargins left="0.70866141732283472" right="0.70866141732283472" top="0.35433070866141736" bottom="0.31496062992125984" header="0.31496062992125984" footer="0.31496062992125984"/>
  <pageSetup scale="85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6600FF"/>
  </sheetPr>
  <dimension ref="A1:Z80"/>
  <sheetViews>
    <sheetView topLeftCell="A25" workbookViewId="0">
      <selection activeCell="E51" sqref="E51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18.140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826"/>
      <c r="C1" s="828" t="s">
        <v>208</v>
      </c>
      <c r="D1" s="829"/>
      <c r="E1" s="829"/>
      <c r="F1" s="829"/>
      <c r="G1" s="829"/>
      <c r="H1" s="829"/>
      <c r="I1" s="829"/>
      <c r="J1" s="829"/>
      <c r="K1" s="829"/>
      <c r="L1" s="829"/>
      <c r="M1" s="829"/>
    </row>
    <row r="2" spans="1:25" ht="16.5" thickBot="1" x14ac:dyDescent="0.3">
      <c r="B2" s="827"/>
      <c r="C2" s="3"/>
      <c r="H2" s="5"/>
      <c r="I2" s="6"/>
      <c r="J2" s="7"/>
      <c r="L2" s="8"/>
      <c r="M2" s="6"/>
      <c r="N2" s="9"/>
    </row>
    <row r="3" spans="1:25" ht="21.75" thickBot="1" x14ac:dyDescent="0.35">
      <c r="B3" s="830" t="s">
        <v>0</v>
      </c>
      <c r="C3" s="831"/>
      <c r="D3" s="10"/>
      <c r="E3" s="11"/>
      <c r="F3" s="11"/>
      <c r="H3" s="832" t="s">
        <v>26</v>
      </c>
      <c r="I3" s="832"/>
      <c r="K3" s="165"/>
      <c r="L3" s="13"/>
      <c r="M3" s="14"/>
      <c r="P3" s="869" t="s">
        <v>6</v>
      </c>
      <c r="R3" s="890" t="s">
        <v>216</v>
      </c>
    </row>
    <row r="4" spans="1:25" ht="32.25" thickTop="1" thickBot="1" x14ac:dyDescent="0.35">
      <c r="A4" s="15" t="s">
        <v>1</v>
      </c>
      <c r="B4" s="16"/>
      <c r="C4" s="17">
        <v>567389.35</v>
      </c>
      <c r="D4" s="18">
        <v>44507</v>
      </c>
      <c r="E4" s="833" t="s">
        <v>2</v>
      </c>
      <c r="F4" s="834"/>
      <c r="H4" s="835" t="s">
        <v>3</v>
      </c>
      <c r="I4" s="836"/>
      <c r="J4" s="19"/>
      <c r="K4" s="166"/>
      <c r="L4" s="20"/>
      <c r="M4" s="21" t="s">
        <v>4</v>
      </c>
      <c r="N4" s="22" t="s">
        <v>5</v>
      </c>
      <c r="P4" s="870"/>
      <c r="Q4" s="322" t="s">
        <v>217</v>
      </c>
      <c r="R4" s="891"/>
      <c r="W4" s="879" t="s">
        <v>124</v>
      </c>
      <c r="X4" s="879"/>
      <c r="Y4" s="227"/>
    </row>
    <row r="5" spans="1:25" ht="18" thickBot="1" x14ac:dyDescent="0.35">
      <c r="A5" s="23" t="s">
        <v>7</v>
      </c>
      <c r="B5" s="24">
        <v>44536</v>
      </c>
      <c r="C5" s="25">
        <v>6888</v>
      </c>
      <c r="D5" s="26" t="s">
        <v>212</v>
      </c>
      <c r="E5" s="27">
        <v>44536</v>
      </c>
      <c r="F5" s="28">
        <v>68001</v>
      </c>
      <c r="G5" s="2"/>
      <c r="H5" s="29">
        <v>44536</v>
      </c>
      <c r="I5" s="30">
        <f>129.5+500</f>
        <v>629.5</v>
      </c>
      <c r="J5" s="37">
        <v>44536</v>
      </c>
      <c r="K5" s="31" t="s">
        <v>214</v>
      </c>
      <c r="L5" s="9">
        <f>1800+857.14</f>
        <v>2657.14</v>
      </c>
      <c r="M5" s="32">
        <v>21554.5</v>
      </c>
      <c r="N5" s="33">
        <v>36272</v>
      </c>
      <c r="O5" s="318"/>
      <c r="P5" s="34">
        <f>N5+M5+L5+I5+C5</f>
        <v>68001.14</v>
      </c>
      <c r="Q5" s="325">
        <f>P5-F5</f>
        <v>0.13999999999941792</v>
      </c>
      <c r="R5" s="323">
        <v>1146750</v>
      </c>
      <c r="S5" s="324" t="s">
        <v>213</v>
      </c>
      <c r="W5" s="879"/>
      <c r="X5" s="879"/>
      <c r="Y5" s="233"/>
    </row>
    <row r="6" spans="1:25" ht="18" thickBot="1" x14ac:dyDescent="0.35">
      <c r="A6" s="23"/>
      <c r="B6" s="24">
        <v>44537</v>
      </c>
      <c r="C6" s="25">
        <v>12491</v>
      </c>
      <c r="D6" s="35" t="s">
        <v>215</v>
      </c>
      <c r="E6" s="27">
        <v>44537</v>
      </c>
      <c r="F6" s="28">
        <v>71172</v>
      </c>
      <c r="G6" s="2"/>
      <c r="H6" s="36">
        <v>44537</v>
      </c>
      <c r="I6" s="30">
        <v>700</v>
      </c>
      <c r="J6" s="37"/>
      <c r="K6" s="38"/>
      <c r="L6" s="39"/>
      <c r="M6" s="32">
        <v>22408</v>
      </c>
      <c r="N6" s="33">
        <v>35573</v>
      </c>
      <c r="O6" s="2"/>
      <c r="P6" s="39">
        <f>N6+M6+L6+I6+C6</f>
        <v>71172</v>
      </c>
      <c r="Q6" s="325">
        <f>P6-F6</f>
        <v>0</v>
      </c>
      <c r="R6" s="319">
        <v>0</v>
      </c>
      <c r="S6" s="147"/>
      <c r="U6" s="326" t="s">
        <v>223</v>
      </c>
      <c r="W6" s="234">
        <v>0</v>
      </c>
      <c r="X6" s="237"/>
      <c r="Y6" s="13"/>
    </row>
    <row r="7" spans="1:25" ht="18" thickBot="1" x14ac:dyDescent="0.35">
      <c r="A7" s="23"/>
      <c r="B7" s="24">
        <v>44538</v>
      </c>
      <c r="C7" s="25">
        <v>36189.300000000003</v>
      </c>
      <c r="D7" s="40" t="s">
        <v>218</v>
      </c>
      <c r="E7" s="27">
        <v>44538</v>
      </c>
      <c r="F7" s="28">
        <v>54679</v>
      </c>
      <c r="G7" s="2"/>
      <c r="H7" s="36">
        <v>44538</v>
      </c>
      <c r="I7" s="30">
        <v>108</v>
      </c>
      <c r="J7" s="37"/>
      <c r="K7" s="38"/>
      <c r="L7" s="39"/>
      <c r="M7" s="32">
        <v>0</v>
      </c>
      <c r="N7" s="33">
        <v>18382</v>
      </c>
      <c r="O7" s="224"/>
      <c r="P7" s="39">
        <f t="shared" ref="P7:P32" si="0">N7+M7+L7+I7+C7</f>
        <v>54679.3</v>
      </c>
      <c r="Q7" s="317">
        <f t="shared" ref="Q7:Q35" si="1">P7-F7</f>
        <v>0.30000000000291038</v>
      </c>
      <c r="R7" s="319">
        <v>0</v>
      </c>
      <c r="S7" s="147"/>
      <c r="U7" s="327">
        <v>12941.5</v>
      </c>
      <c r="W7" s="234">
        <v>0</v>
      </c>
      <c r="X7" s="237"/>
      <c r="Y7" s="13"/>
    </row>
    <row r="8" spans="1:25" ht="18" thickBot="1" x14ac:dyDescent="0.35">
      <c r="A8" s="23"/>
      <c r="B8" s="24">
        <v>44539</v>
      </c>
      <c r="C8" s="25">
        <v>34279.21</v>
      </c>
      <c r="D8" s="42" t="s">
        <v>219</v>
      </c>
      <c r="E8" s="27">
        <v>44539</v>
      </c>
      <c r="F8" s="28">
        <v>73828</v>
      </c>
      <c r="G8" s="2"/>
      <c r="H8" s="36">
        <v>44539</v>
      </c>
      <c r="I8" s="30">
        <v>120</v>
      </c>
      <c r="J8" s="43"/>
      <c r="K8" s="38"/>
      <c r="L8" s="39"/>
      <c r="M8" s="32">
        <v>0</v>
      </c>
      <c r="N8" s="33">
        <v>39429</v>
      </c>
      <c r="O8" s="2"/>
      <c r="P8" s="39">
        <f t="shared" si="0"/>
        <v>73828.209999999992</v>
      </c>
      <c r="Q8" s="317">
        <f t="shared" si="1"/>
        <v>0.20999999999185093</v>
      </c>
      <c r="R8" s="319">
        <v>0</v>
      </c>
      <c r="S8" s="147"/>
      <c r="U8" s="327">
        <v>19442</v>
      </c>
      <c r="W8" s="234">
        <v>0</v>
      </c>
      <c r="X8" s="237"/>
      <c r="Y8" s="13"/>
    </row>
    <row r="9" spans="1:25" ht="18" thickBot="1" x14ac:dyDescent="0.35">
      <c r="A9" s="23"/>
      <c r="B9" s="24">
        <v>44540</v>
      </c>
      <c r="C9" s="25">
        <v>40355</v>
      </c>
      <c r="D9" s="42" t="s">
        <v>220</v>
      </c>
      <c r="E9" s="27">
        <v>44540</v>
      </c>
      <c r="F9" s="28">
        <v>66009</v>
      </c>
      <c r="G9" s="2"/>
      <c r="H9" s="36">
        <v>44540</v>
      </c>
      <c r="I9" s="30">
        <v>60</v>
      </c>
      <c r="J9" s="37"/>
      <c r="K9" s="223"/>
      <c r="L9" s="39"/>
      <c r="M9" s="32">
        <v>2970</v>
      </c>
      <c r="N9" s="33">
        <v>22624</v>
      </c>
      <c r="O9" s="2"/>
      <c r="P9" s="39">
        <f t="shared" ref="P9:P14" si="2">N9+M9+L9+I9+C9</f>
        <v>66009</v>
      </c>
      <c r="Q9" s="317">
        <f t="shared" si="1"/>
        <v>0</v>
      </c>
      <c r="R9" s="319">
        <v>0</v>
      </c>
      <c r="S9" s="147"/>
      <c r="U9" s="327">
        <v>36844</v>
      </c>
      <c r="W9" s="234">
        <v>0</v>
      </c>
      <c r="X9" s="238"/>
      <c r="Y9" s="13"/>
    </row>
    <row r="10" spans="1:25" ht="18" thickBot="1" x14ac:dyDescent="0.35">
      <c r="A10" s="23"/>
      <c r="B10" s="24">
        <v>44541</v>
      </c>
      <c r="C10" s="25">
        <v>29815.61</v>
      </c>
      <c r="D10" s="40" t="s">
        <v>221</v>
      </c>
      <c r="E10" s="27">
        <v>44541</v>
      </c>
      <c r="F10" s="28">
        <v>71913</v>
      </c>
      <c r="G10" s="2"/>
      <c r="H10" s="36">
        <v>44541</v>
      </c>
      <c r="I10" s="30">
        <v>3640</v>
      </c>
      <c r="J10" s="37"/>
      <c r="K10" s="167"/>
      <c r="L10" s="45"/>
      <c r="M10" s="32">
        <f>9785+2665</f>
        <v>12450</v>
      </c>
      <c r="N10" s="33">
        <v>26007</v>
      </c>
      <c r="O10" s="2"/>
      <c r="P10" s="39">
        <f t="shared" si="2"/>
        <v>71912.61</v>
      </c>
      <c r="Q10" s="317">
        <f t="shared" si="1"/>
        <v>-0.38999999999941792</v>
      </c>
      <c r="R10" s="319">
        <v>0</v>
      </c>
      <c r="S10" s="147"/>
      <c r="U10" s="327">
        <v>22942</v>
      </c>
      <c r="W10" s="234">
        <v>0</v>
      </c>
      <c r="X10" s="238"/>
      <c r="Y10" s="13"/>
    </row>
    <row r="11" spans="1:25" ht="18" thickBot="1" x14ac:dyDescent="0.35">
      <c r="A11" s="23"/>
      <c r="B11" s="24">
        <v>44542</v>
      </c>
      <c r="C11" s="25">
        <v>20722</v>
      </c>
      <c r="D11" s="35" t="s">
        <v>222</v>
      </c>
      <c r="E11" s="27">
        <v>44542</v>
      </c>
      <c r="F11" s="28">
        <v>52385</v>
      </c>
      <c r="G11" s="2"/>
      <c r="H11" s="36">
        <v>44542</v>
      </c>
      <c r="I11" s="30">
        <v>3991</v>
      </c>
      <c r="J11" s="43"/>
      <c r="K11" s="168"/>
      <c r="L11" s="39"/>
      <c r="M11" s="32">
        <v>9148</v>
      </c>
      <c r="N11" s="33">
        <v>18524</v>
      </c>
      <c r="O11" s="2"/>
      <c r="P11" s="39">
        <f t="shared" si="2"/>
        <v>52385</v>
      </c>
      <c r="Q11" s="317">
        <f t="shared" si="1"/>
        <v>0</v>
      </c>
      <c r="R11" s="319">
        <v>0</v>
      </c>
      <c r="S11" s="147"/>
      <c r="U11" s="327">
        <v>15322.5</v>
      </c>
      <c r="W11" s="234">
        <v>0</v>
      </c>
      <c r="X11" s="237"/>
      <c r="Y11" s="13"/>
    </row>
    <row r="12" spans="1:25" ht="18" thickBot="1" x14ac:dyDescent="0.35">
      <c r="A12" s="23"/>
      <c r="B12" s="24">
        <v>44543</v>
      </c>
      <c r="C12" s="25">
        <v>7052</v>
      </c>
      <c r="D12" s="35" t="s">
        <v>224</v>
      </c>
      <c r="E12" s="27">
        <v>44543</v>
      </c>
      <c r="F12" s="28">
        <v>69062</v>
      </c>
      <c r="G12" s="2"/>
      <c r="H12" s="36">
        <v>44543</v>
      </c>
      <c r="I12" s="30">
        <v>0</v>
      </c>
      <c r="J12" s="37"/>
      <c r="K12" s="169"/>
      <c r="L12" s="39"/>
      <c r="M12" s="32">
        <f>31028+1388</f>
        <v>32416</v>
      </c>
      <c r="N12" s="33">
        <v>29594</v>
      </c>
      <c r="O12" s="328" t="s">
        <v>225</v>
      </c>
      <c r="P12" s="39">
        <f t="shared" si="2"/>
        <v>69062</v>
      </c>
      <c r="Q12" s="317">
        <f t="shared" si="1"/>
        <v>0</v>
      </c>
      <c r="R12" s="319">
        <v>0</v>
      </c>
      <c r="S12" s="147"/>
      <c r="U12" s="1">
        <f>SUM(U7:U11)</f>
        <v>107492</v>
      </c>
      <c r="W12" s="234">
        <v>0</v>
      </c>
      <c r="X12" s="237"/>
      <c r="Y12" s="13"/>
    </row>
    <row r="13" spans="1:25" ht="18" thickBot="1" x14ac:dyDescent="0.35">
      <c r="A13" s="23"/>
      <c r="B13" s="24">
        <v>44544</v>
      </c>
      <c r="C13" s="25">
        <v>27597.5</v>
      </c>
      <c r="D13" s="42" t="s">
        <v>226</v>
      </c>
      <c r="E13" s="27">
        <v>44544</v>
      </c>
      <c r="F13" s="28">
        <v>77884</v>
      </c>
      <c r="G13" s="2"/>
      <c r="H13" s="36">
        <v>44544</v>
      </c>
      <c r="I13" s="30">
        <v>1334</v>
      </c>
      <c r="J13" s="37"/>
      <c r="K13" s="38"/>
      <c r="L13" s="39"/>
      <c r="M13" s="32">
        <f>933+12801.5</f>
        <v>13734.5</v>
      </c>
      <c r="N13" s="33">
        <v>35218</v>
      </c>
      <c r="O13" s="2"/>
      <c r="P13" s="39">
        <f t="shared" si="2"/>
        <v>77884</v>
      </c>
      <c r="Q13" s="317">
        <f t="shared" si="1"/>
        <v>0</v>
      </c>
      <c r="R13" s="319">
        <v>0</v>
      </c>
      <c r="S13" s="316"/>
      <c r="T13" s="2"/>
      <c r="U13" s="9"/>
      <c r="W13" s="234">
        <v>0</v>
      </c>
      <c r="X13" s="237"/>
      <c r="Y13" s="13"/>
    </row>
    <row r="14" spans="1:25" ht="18" thickBot="1" x14ac:dyDescent="0.35">
      <c r="A14" s="23"/>
      <c r="B14" s="24">
        <v>44545</v>
      </c>
      <c r="C14" s="25">
        <v>13752</v>
      </c>
      <c r="D14" s="40" t="s">
        <v>227</v>
      </c>
      <c r="E14" s="27">
        <v>44545</v>
      </c>
      <c r="F14" s="28">
        <v>91827</v>
      </c>
      <c r="G14" s="2"/>
      <c r="H14" s="36">
        <v>44545</v>
      </c>
      <c r="I14" s="30">
        <v>1641</v>
      </c>
      <c r="J14" s="37"/>
      <c r="K14" s="38"/>
      <c r="L14" s="39"/>
      <c r="M14" s="32">
        <f>55316+466.8+1331</f>
        <v>57113.8</v>
      </c>
      <c r="N14" s="33">
        <v>19320</v>
      </c>
      <c r="O14" s="2"/>
      <c r="P14" s="39">
        <f t="shared" si="2"/>
        <v>91826.8</v>
      </c>
      <c r="Q14" s="317">
        <f t="shared" si="1"/>
        <v>-0.19999999999708962</v>
      </c>
      <c r="R14" s="319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44546</v>
      </c>
      <c r="C15" s="25">
        <v>15710</v>
      </c>
      <c r="D15" s="40" t="s">
        <v>228</v>
      </c>
      <c r="E15" s="27">
        <v>44546</v>
      </c>
      <c r="F15" s="28">
        <v>93120</v>
      </c>
      <c r="G15" s="2"/>
      <c r="H15" s="36">
        <v>44546</v>
      </c>
      <c r="I15" s="30">
        <v>75</v>
      </c>
      <c r="J15" s="37"/>
      <c r="K15" s="38"/>
      <c r="L15" s="39"/>
      <c r="M15" s="32">
        <f>33682+1408</f>
        <v>35090</v>
      </c>
      <c r="N15" s="33">
        <v>42245</v>
      </c>
      <c r="P15" s="39">
        <f t="shared" si="0"/>
        <v>93120</v>
      </c>
      <c r="Q15" s="317">
        <f t="shared" si="1"/>
        <v>0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44547</v>
      </c>
      <c r="C16" s="25">
        <v>2467</v>
      </c>
      <c r="D16" s="35" t="s">
        <v>112</v>
      </c>
      <c r="E16" s="27">
        <v>44547</v>
      </c>
      <c r="F16" s="28">
        <v>93493</v>
      </c>
      <c r="G16" s="2"/>
      <c r="H16" s="36">
        <v>44547</v>
      </c>
      <c r="I16" s="30">
        <v>240</v>
      </c>
      <c r="J16" s="37"/>
      <c r="K16" s="169"/>
      <c r="L16" s="9"/>
      <c r="M16" s="32">
        <f>58263+49100</f>
        <v>107363</v>
      </c>
      <c r="N16" s="33">
        <v>32373</v>
      </c>
      <c r="O16" s="330" t="s">
        <v>229</v>
      </c>
      <c r="P16" s="39">
        <f t="shared" si="0"/>
        <v>142443</v>
      </c>
      <c r="Q16" s="317">
        <f>P16-F16-49100</f>
        <v>-150</v>
      </c>
      <c r="R16" s="329">
        <v>49100</v>
      </c>
      <c r="S16" s="331" t="s">
        <v>229</v>
      </c>
      <c r="W16" s="234">
        <v>0</v>
      </c>
      <c r="X16" s="239"/>
      <c r="Y16" s="233"/>
    </row>
    <row r="17" spans="1:26" ht="18" thickBot="1" x14ac:dyDescent="0.35">
      <c r="A17" s="23"/>
      <c r="B17" s="24">
        <v>44548</v>
      </c>
      <c r="C17" s="25">
        <v>14695</v>
      </c>
      <c r="D17" s="42" t="s">
        <v>230</v>
      </c>
      <c r="E17" s="27">
        <v>44548</v>
      </c>
      <c r="F17" s="28">
        <v>82984</v>
      </c>
      <c r="G17" s="2"/>
      <c r="H17" s="36">
        <v>44548</v>
      </c>
      <c r="I17" s="30">
        <v>1922</v>
      </c>
      <c r="J17" s="37"/>
      <c r="K17" s="38"/>
      <c r="L17" s="45"/>
      <c r="M17" s="32">
        <f>12045+14230.5</f>
        <v>26275.5</v>
      </c>
      <c r="N17" s="33">
        <v>43377</v>
      </c>
      <c r="P17" s="39">
        <f>N17+M17+L17+I17+C17-3135</f>
        <v>83134.5</v>
      </c>
      <c r="Q17" s="325">
        <f t="shared" si="1"/>
        <v>150.5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44549</v>
      </c>
      <c r="C18" s="25">
        <v>0</v>
      </c>
      <c r="D18" s="35"/>
      <c r="E18" s="27">
        <v>44549</v>
      </c>
      <c r="F18" s="28">
        <v>57841</v>
      </c>
      <c r="G18" s="2"/>
      <c r="H18" s="36">
        <v>44549</v>
      </c>
      <c r="I18" s="30">
        <v>232</v>
      </c>
      <c r="J18" s="37"/>
      <c r="K18" s="170"/>
      <c r="L18" s="39"/>
      <c r="M18" s="32">
        <f>6150+36721</f>
        <v>42871</v>
      </c>
      <c r="N18" s="33">
        <v>14738</v>
      </c>
      <c r="P18" s="39">
        <f t="shared" si="0"/>
        <v>57841</v>
      </c>
      <c r="Q18" s="317">
        <f t="shared" si="1"/>
        <v>0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44550</v>
      </c>
      <c r="C19" s="25">
        <v>52603.5</v>
      </c>
      <c r="D19" s="35" t="s">
        <v>231</v>
      </c>
      <c r="E19" s="27">
        <v>44550</v>
      </c>
      <c r="F19" s="28">
        <v>108528</v>
      </c>
      <c r="G19" s="2"/>
      <c r="H19" s="36">
        <v>44550</v>
      </c>
      <c r="I19" s="30">
        <v>456</v>
      </c>
      <c r="J19" s="37"/>
      <c r="K19" s="46"/>
      <c r="L19" s="47"/>
      <c r="M19" s="32">
        <v>0</v>
      </c>
      <c r="N19" s="33">
        <v>54867</v>
      </c>
      <c r="P19" s="39">
        <f t="shared" si="0"/>
        <v>107926.5</v>
      </c>
      <c r="Q19" s="317">
        <f t="shared" si="1"/>
        <v>-601.5</v>
      </c>
      <c r="R19" s="319">
        <v>0</v>
      </c>
      <c r="S19" s="147"/>
      <c r="W19" s="883">
        <f>SUM(W6:W18)</f>
        <v>0</v>
      </c>
      <c r="X19" s="240"/>
      <c r="Y19" s="233"/>
    </row>
    <row r="20" spans="1:26" ht="18" thickBot="1" x14ac:dyDescent="0.35">
      <c r="A20" s="23"/>
      <c r="B20" s="24">
        <v>44551</v>
      </c>
      <c r="C20" s="25">
        <v>4940</v>
      </c>
      <c r="D20" s="35" t="s">
        <v>232</v>
      </c>
      <c r="E20" s="27">
        <v>44551</v>
      </c>
      <c r="F20" s="28">
        <v>142911</v>
      </c>
      <c r="G20" s="2"/>
      <c r="H20" s="36">
        <v>44551</v>
      </c>
      <c r="I20" s="30">
        <v>370</v>
      </c>
      <c r="J20" s="37"/>
      <c r="K20" s="171"/>
      <c r="L20" s="45"/>
      <c r="M20" s="32">
        <v>82166</v>
      </c>
      <c r="N20" s="33">
        <v>55435</v>
      </c>
      <c r="P20" s="39">
        <f t="shared" si="0"/>
        <v>142911</v>
      </c>
      <c r="Q20" s="317">
        <f t="shared" si="1"/>
        <v>0</v>
      </c>
      <c r="R20" s="319">
        <v>0</v>
      </c>
      <c r="S20" s="147"/>
      <c r="W20" s="884"/>
      <c r="X20" s="268"/>
      <c r="Y20" s="233"/>
    </row>
    <row r="21" spans="1:26" ht="18" thickBot="1" x14ac:dyDescent="0.35">
      <c r="A21" s="23"/>
      <c r="B21" s="24">
        <v>44552</v>
      </c>
      <c r="C21" s="25">
        <v>20775.5</v>
      </c>
      <c r="D21" s="35" t="s">
        <v>233</v>
      </c>
      <c r="E21" s="27">
        <v>44552</v>
      </c>
      <c r="F21" s="28">
        <v>155180</v>
      </c>
      <c r="G21" s="2"/>
      <c r="H21" s="36">
        <v>44552</v>
      </c>
      <c r="I21" s="30">
        <v>0</v>
      </c>
      <c r="J21" s="37"/>
      <c r="K21" s="48"/>
      <c r="L21" s="45"/>
      <c r="M21" s="32">
        <v>89691.5</v>
      </c>
      <c r="N21" s="33">
        <v>44713</v>
      </c>
      <c r="P21" s="39">
        <f t="shared" si="0"/>
        <v>155180</v>
      </c>
      <c r="Q21" s="317">
        <f t="shared" si="1"/>
        <v>0</v>
      </c>
      <c r="R21" s="319">
        <v>0</v>
      </c>
      <c r="S21" s="147"/>
      <c r="W21" s="885"/>
      <c r="X21" s="885"/>
      <c r="Y21" s="233"/>
      <c r="Z21" s="128"/>
    </row>
    <row r="22" spans="1:26" ht="18" thickBot="1" x14ac:dyDescent="0.35">
      <c r="A22" s="23"/>
      <c r="B22" s="24">
        <v>44553</v>
      </c>
      <c r="C22" s="25">
        <v>8716.5</v>
      </c>
      <c r="D22" s="35" t="s">
        <v>234</v>
      </c>
      <c r="E22" s="27">
        <v>44553</v>
      </c>
      <c r="F22" s="28">
        <v>213653</v>
      </c>
      <c r="G22" s="2"/>
      <c r="H22" s="36">
        <v>44553</v>
      </c>
      <c r="I22" s="30">
        <v>75</v>
      </c>
      <c r="J22" s="37"/>
      <c r="K22" s="31"/>
      <c r="L22" s="49"/>
      <c r="M22" s="32">
        <f>128519.5+3120</f>
        <v>131639.5</v>
      </c>
      <c r="N22" s="33">
        <v>73222</v>
      </c>
      <c r="P22" s="39">
        <f t="shared" si="0"/>
        <v>213653</v>
      </c>
      <c r="Q22" s="317">
        <f t="shared" si="1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44554</v>
      </c>
      <c r="C23" s="25">
        <v>5940</v>
      </c>
      <c r="D23" s="35" t="s">
        <v>235</v>
      </c>
      <c r="E23" s="27">
        <v>44554</v>
      </c>
      <c r="F23" s="28">
        <v>86805</v>
      </c>
      <c r="G23" s="2"/>
      <c r="H23" s="36">
        <v>44554</v>
      </c>
      <c r="I23" s="30">
        <v>4912</v>
      </c>
      <c r="J23" s="50"/>
      <c r="K23" s="172"/>
      <c r="L23" s="45"/>
      <c r="M23" s="32">
        <f>14230.5+40060.5</f>
        <v>54291</v>
      </c>
      <c r="N23" s="33">
        <v>21662</v>
      </c>
      <c r="P23" s="39">
        <f t="shared" si="0"/>
        <v>86805</v>
      </c>
      <c r="Q23" s="317">
        <f t="shared" si="1"/>
        <v>0</v>
      </c>
      <c r="R23" s="319">
        <v>0</v>
      </c>
      <c r="S23" s="147"/>
      <c r="W23" s="886"/>
      <c r="X23" s="886"/>
      <c r="Y23" s="233"/>
      <c r="Z23" s="128"/>
    </row>
    <row r="24" spans="1:26" ht="18" thickBot="1" x14ac:dyDescent="0.35">
      <c r="A24" s="23"/>
      <c r="B24" s="24">
        <v>44555</v>
      </c>
      <c r="C24" s="161">
        <v>0</v>
      </c>
      <c r="D24" s="332" t="s">
        <v>236</v>
      </c>
      <c r="E24" s="27">
        <v>44555</v>
      </c>
      <c r="F24" s="159">
        <v>0</v>
      </c>
      <c r="G24" s="2"/>
      <c r="H24" s="36">
        <v>44555</v>
      </c>
      <c r="I24" s="160">
        <v>0</v>
      </c>
      <c r="J24" s="333" t="s">
        <v>236</v>
      </c>
      <c r="K24" s="173"/>
      <c r="L24" s="52"/>
      <c r="M24" s="334">
        <v>0</v>
      </c>
      <c r="N24" s="335">
        <v>0</v>
      </c>
      <c r="P24" s="39">
        <f t="shared" si="0"/>
        <v>0</v>
      </c>
      <c r="Q24" s="317">
        <f t="shared" si="1"/>
        <v>0</v>
      </c>
      <c r="R24" s="319">
        <v>0</v>
      </c>
      <c r="S24" s="147"/>
      <c r="W24" s="886"/>
      <c r="X24" s="886"/>
      <c r="Y24" s="233"/>
      <c r="Z24" s="128"/>
    </row>
    <row r="25" spans="1:26" ht="19.5" thickBot="1" x14ac:dyDescent="0.35">
      <c r="A25" s="23"/>
      <c r="B25" s="24">
        <v>44556</v>
      </c>
      <c r="C25" s="25">
        <v>0</v>
      </c>
      <c r="D25" s="35"/>
      <c r="E25" s="27">
        <v>44556</v>
      </c>
      <c r="F25" s="28">
        <v>27315</v>
      </c>
      <c r="G25" s="2"/>
      <c r="H25" s="36">
        <v>44556</v>
      </c>
      <c r="I25" s="30">
        <v>90</v>
      </c>
      <c r="J25" s="53"/>
      <c r="K25" s="38"/>
      <c r="L25" s="54"/>
      <c r="M25" s="32">
        <v>16314</v>
      </c>
      <c r="N25" s="33">
        <v>10911</v>
      </c>
      <c r="P25" s="283">
        <f t="shared" si="0"/>
        <v>27315</v>
      </c>
      <c r="Q25" s="317">
        <f t="shared" si="1"/>
        <v>0</v>
      </c>
      <c r="R25" s="319">
        <v>0</v>
      </c>
      <c r="W25" s="887"/>
      <c r="X25" s="887"/>
      <c r="Y25" s="233"/>
      <c r="Z25" s="128"/>
    </row>
    <row r="26" spans="1:26" ht="19.5" thickBot="1" x14ac:dyDescent="0.35">
      <c r="A26" s="23"/>
      <c r="B26" s="24">
        <v>44557</v>
      </c>
      <c r="C26" s="25">
        <v>2700</v>
      </c>
      <c r="D26" s="35" t="s">
        <v>237</v>
      </c>
      <c r="E26" s="27">
        <v>44557</v>
      </c>
      <c r="F26" s="28">
        <v>61027</v>
      </c>
      <c r="G26" s="2"/>
      <c r="H26" s="36">
        <v>44557</v>
      </c>
      <c r="I26" s="30">
        <v>500</v>
      </c>
      <c r="J26" s="37"/>
      <c r="K26" s="173"/>
      <c r="L26" s="45"/>
      <c r="M26" s="32">
        <v>36875</v>
      </c>
      <c r="N26" s="33">
        <v>20952</v>
      </c>
      <c r="P26" s="284">
        <f t="shared" si="0"/>
        <v>61027</v>
      </c>
      <c r="Q26" s="317">
        <f t="shared" si="1"/>
        <v>0</v>
      </c>
      <c r="R26" s="319">
        <v>0</v>
      </c>
      <c r="W26" s="887"/>
      <c r="X26" s="887"/>
      <c r="Y26" s="233"/>
      <c r="Z26" s="128"/>
    </row>
    <row r="27" spans="1:26" ht="18" thickBot="1" x14ac:dyDescent="0.35">
      <c r="A27" s="23"/>
      <c r="B27" s="24">
        <v>44558</v>
      </c>
      <c r="C27" s="25">
        <v>11676</v>
      </c>
      <c r="D27" s="42" t="s">
        <v>238</v>
      </c>
      <c r="E27" s="27">
        <v>44558</v>
      </c>
      <c r="F27" s="28">
        <v>84044</v>
      </c>
      <c r="G27" s="2"/>
      <c r="H27" s="36">
        <v>44558</v>
      </c>
      <c r="I27" s="30">
        <v>4008</v>
      </c>
      <c r="J27" s="55">
        <v>44558</v>
      </c>
      <c r="K27" s="174" t="s">
        <v>239</v>
      </c>
      <c r="L27" s="54">
        <v>24500</v>
      </c>
      <c r="M27" s="32">
        <v>0</v>
      </c>
      <c r="N27" s="33">
        <v>43860</v>
      </c>
      <c r="P27" s="39">
        <f t="shared" si="0"/>
        <v>84044</v>
      </c>
      <c r="Q27" s="317">
        <f t="shared" si="1"/>
        <v>0</v>
      </c>
      <c r="R27" s="319">
        <v>0</v>
      </c>
      <c r="U27" s="1">
        <v>4102</v>
      </c>
      <c r="V27" t="s">
        <v>240</v>
      </c>
      <c r="W27" s="880"/>
      <c r="X27" s="881"/>
      <c r="Y27" s="882"/>
      <c r="Z27" s="128"/>
    </row>
    <row r="28" spans="1:26" ht="18" thickBot="1" x14ac:dyDescent="0.35">
      <c r="A28" s="23"/>
      <c r="B28" s="24">
        <v>44559</v>
      </c>
      <c r="C28" s="25">
        <v>16027</v>
      </c>
      <c r="D28" s="42" t="s">
        <v>241</v>
      </c>
      <c r="E28" s="27">
        <v>44559</v>
      </c>
      <c r="F28" s="28">
        <v>131821</v>
      </c>
      <c r="G28" s="2"/>
      <c r="H28" s="36">
        <v>44559</v>
      </c>
      <c r="I28" s="30">
        <v>108</v>
      </c>
      <c r="J28" s="56"/>
      <c r="K28" s="57"/>
      <c r="L28" s="54"/>
      <c r="M28" s="32">
        <f>5253+45500</f>
        <v>50753</v>
      </c>
      <c r="N28" s="33">
        <v>64936</v>
      </c>
      <c r="P28" s="34">
        <f t="shared" si="0"/>
        <v>131824</v>
      </c>
      <c r="Q28" s="337">
        <f t="shared" si="1"/>
        <v>3</v>
      </c>
      <c r="R28" s="319">
        <v>0</v>
      </c>
      <c r="U28" s="1">
        <v>60</v>
      </c>
      <c r="V28" t="s">
        <v>240</v>
      </c>
      <c r="W28" s="881"/>
      <c r="X28" s="881"/>
      <c r="Y28" s="882"/>
      <c r="Z28" s="128"/>
    </row>
    <row r="29" spans="1:26" ht="18" thickBot="1" x14ac:dyDescent="0.35">
      <c r="A29" s="23"/>
      <c r="B29" s="24">
        <v>44560</v>
      </c>
      <c r="C29" s="25">
        <v>3756</v>
      </c>
      <c r="D29" s="58" t="s">
        <v>242</v>
      </c>
      <c r="E29" s="27">
        <v>44560</v>
      </c>
      <c r="F29" s="28">
        <v>214178</v>
      </c>
      <c r="G29" s="2"/>
      <c r="H29" s="36">
        <v>44560</v>
      </c>
      <c r="I29" s="30">
        <v>0</v>
      </c>
      <c r="J29" s="59"/>
      <c r="K29" s="175"/>
      <c r="L29" s="54"/>
      <c r="M29" s="32">
        <f>126122+5824</f>
        <v>131946</v>
      </c>
      <c r="N29" s="33">
        <v>78476</v>
      </c>
      <c r="P29" s="34">
        <f t="shared" si="0"/>
        <v>214178</v>
      </c>
      <c r="Q29" s="317">
        <f t="shared" si="1"/>
        <v>0</v>
      </c>
      <c r="R29" s="319">
        <v>0</v>
      </c>
      <c r="U29" s="336">
        <v>3499</v>
      </c>
      <c r="V29" t="s">
        <v>240</v>
      </c>
      <c r="W29" s="128"/>
      <c r="X29" s="310"/>
      <c r="Y29" s="311"/>
      <c r="Z29" s="128"/>
    </row>
    <row r="30" spans="1:26" ht="18" thickBot="1" x14ac:dyDescent="0.35">
      <c r="A30" s="23"/>
      <c r="B30" s="24">
        <v>44561</v>
      </c>
      <c r="C30" s="25">
        <v>5781</v>
      </c>
      <c r="D30" s="58" t="s">
        <v>244</v>
      </c>
      <c r="E30" s="27">
        <v>44561</v>
      </c>
      <c r="F30" s="28">
        <v>152930</v>
      </c>
      <c r="G30" s="2"/>
      <c r="H30" s="36">
        <v>44561</v>
      </c>
      <c r="I30" s="30">
        <v>5837</v>
      </c>
      <c r="J30" s="60">
        <v>44561</v>
      </c>
      <c r="K30" s="41" t="s">
        <v>245</v>
      </c>
      <c r="L30" s="61">
        <v>14230</v>
      </c>
      <c r="M30" s="32">
        <f>62000+6968</f>
        <v>68968</v>
      </c>
      <c r="N30" s="33">
        <v>44449</v>
      </c>
      <c r="O30">
        <v>0</v>
      </c>
      <c r="P30" s="34">
        <f t="shared" si="0"/>
        <v>139265</v>
      </c>
      <c r="Q30" s="385">
        <f t="shared" si="1"/>
        <v>-13665</v>
      </c>
      <c r="R30" s="320"/>
      <c r="U30" s="1">
        <f>SUM(U27:U29)</f>
        <v>7661</v>
      </c>
      <c r="X30" s="225"/>
      <c r="Y30" s="227"/>
    </row>
    <row r="31" spans="1:26" ht="18" thickBot="1" x14ac:dyDescent="0.35">
      <c r="A31" s="23"/>
      <c r="B31" s="24">
        <v>44562</v>
      </c>
      <c r="C31" s="161">
        <v>0</v>
      </c>
      <c r="D31" s="344" t="s">
        <v>236</v>
      </c>
      <c r="E31" s="338">
        <v>44562</v>
      </c>
      <c r="F31" s="345">
        <v>0</v>
      </c>
      <c r="G31" s="339"/>
      <c r="H31" s="340">
        <v>44562</v>
      </c>
      <c r="I31" s="346">
        <v>0</v>
      </c>
      <c r="J31" s="341" t="s">
        <v>236</v>
      </c>
      <c r="K31" s="342"/>
      <c r="L31" s="343"/>
      <c r="M31" s="334">
        <v>0</v>
      </c>
      <c r="N31" s="335">
        <v>0</v>
      </c>
      <c r="P31" s="34">
        <f t="shared" si="0"/>
        <v>0</v>
      </c>
      <c r="Q31" s="287">
        <f t="shared" si="1"/>
        <v>0</v>
      </c>
      <c r="R31" s="321"/>
    </row>
    <row r="32" spans="1:26" ht="18" thickBot="1" x14ac:dyDescent="0.35">
      <c r="A32" s="23"/>
      <c r="B32" s="24">
        <v>44563</v>
      </c>
      <c r="C32" s="25">
        <v>269</v>
      </c>
      <c r="D32" s="64" t="s">
        <v>243</v>
      </c>
      <c r="E32" s="27">
        <v>44563</v>
      </c>
      <c r="F32" s="28">
        <v>41325</v>
      </c>
      <c r="G32" s="2"/>
      <c r="H32" s="36">
        <v>44563</v>
      </c>
      <c r="I32" s="30">
        <v>64</v>
      </c>
      <c r="J32" s="60"/>
      <c r="K32" s="41"/>
      <c r="L32" s="61"/>
      <c r="M32" s="32">
        <f>8736+23017</f>
        <v>31753</v>
      </c>
      <c r="N32" s="33">
        <v>9239</v>
      </c>
      <c r="P32" s="34">
        <f t="shared" si="0"/>
        <v>41325</v>
      </c>
      <c r="Q32" s="287">
        <f t="shared" si="1"/>
        <v>0</v>
      </c>
      <c r="R32" s="228"/>
    </row>
    <row r="33" spans="1:18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 t="s">
        <v>246</v>
      </c>
      <c r="K33" s="247" t="s">
        <v>245</v>
      </c>
      <c r="L33" s="66">
        <v>18251.11</v>
      </c>
      <c r="M33" s="32">
        <v>0</v>
      </c>
      <c r="N33" s="33">
        <v>0</v>
      </c>
      <c r="P33" s="34">
        <v>0</v>
      </c>
      <c r="Q33" s="287">
        <f t="shared" si="1"/>
        <v>0</v>
      </c>
      <c r="R33" s="228"/>
    </row>
    <row r="34" spans="1:18" ht="18" thickBot="1" x14ac:dyDescent="0.35">
      <c r="A34" s="23"/>
      <c r="B34" s="24">
        <v>44540</v>
      </c>
      <c r="C34" s="25">
        <v>218111.1</v>
      </c>
      <c r="D34" s="64" t="s">
        <v>315</v>
      </c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P34" s="34">
        <v>0</v>
      </c>
      <c r="Q34" s="287">
        <f t="shared" si="1"/>
        <v>0</v>
      </c>
      <c r="R34" s="228"/>
    </row>
    <row r="35" spans="1:18" ht="18" thickBot="1" x14ac:dyDescent="0.35">
      <c r="A35" s="23"/>
      <c r="B35" s="24"/>
      <c r="C35" s="25"/>
      <c r="D35" s="65"/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>
        <v>0</v>
      </c>
      <c r="Q35" s="273">
        <f t="shared" si="1"/>
        <v>0</v>
      </c>
      <c r="R35" s="228"/>
    </row>
    <row r="36" spans="1:18" ht="18" customHeight="1" thickBot="1" x14ac:dyDescent="0.3">
      <c r="A36" s="23"/>
      <c r="B36" s="24"/>
      <c r="C36" s="25"/>
      <c r="D36" s="62"/>
      <c r="E36" s="27"/>
      <c r="F36" s="28"/>
      <c r="G36" s="2"/>
      <c r="H36" s="36"/>
      <c r="I36" s="30"/>
      <c r="J36" s="266"/>
      <c r="K36" s="250"/>
      <c r="L36" s="44"/>
      <c r="M36" s="871">
        <f>SUM(M5:M35)</f>
        <v>1077791.3</v>
      </c>
      <c r="N36" s="873">
        <f>SUM(N5:N35)</f>
        <v>936398</v>
      </c>
      <c r="O36" s="276"/>
      <c r="P36" s="277">
        <v>0</v>
      </c>
      <c r="Q36" s="875">
        <f>SUM(Q5:Q35)</f>
        <v>-14262.940000000002</v>
      </c>
      <c r="R36" s="228"/>
    </row>
    <row r="37" spans="1:18" ht="18" customHeight="1" thickBot="1" x14ac:dyDescent="0.3">
      <c r="A37" s="23"/>
      <c r="B37" s="24"/>
      <c r="C37" s="25"/>
      <c r="D37" s="65"/>
      <c r="E37" s="27"/>
      <c r="F37" s="28"/>
      <c r="G37" s="2"/>
      <c r="H37" s="36"/>
      <c r="I37" s="30"/>
      <c r="J37" s="60"/>
      <c r="K37" s="41"/>
      <c r="L37" s="61"/>
      <c r="M37" s="872"/>
      <c r="N37" s="874"/>
      <c r="O37" s="276"/>
      <c r="P37" s="277">
        <v>0</v>
      </c>
      <c r="Q37" s="876"/>
    </row>
    <row r="38" spans="1:18" ht="18" thickBot="1" x14ac:dyDescent="0.35">
      <c r="A38" s="23"/>
      <c r="B38" s="24"/>
      <c r="C38" s="25"/>
      <c r="D38" s="65"/>
      <c r="E38" s="27"/>
      <c r="F38" s="28"/>
      <c r="G38" s="2"/>
      <c r="H38" s="36"/>
      <c r="I38" s="30"/>
      <c r="J38" s="60"/>
      <c r="K38" s="177"/>
      <c r="L38" s="61"/>
      <c r="M38" s="270"/>
      <c r="N38" s="271"/>
      <c r="P38" s="151">
        <v>0</v>
      </c>
      <c r="Q38" s="274"/>
    </row>
    <row r="39" spans="1:18" ht="19.5" hidden="1" thickBot="1" x14ac:dyDescent="0.35">
      <c r="A39" s="23"/>
      <c r="B39" s="24"/>
      <c r="C39" s="69"/>
      <c r="D39" s="62"/>
      <c r="E39" s="27" t="s">
        <v>205</v>
      </c>
      <c r="F39" s="70"/>
      <c r="G39" s="2"/>
      <c r="H39" s="36"/>
      <c r="I39" s="71"/>
      <c r="J39" s="60"/>
      <c r="K39" s="177"/>
      <c r="L39" s="61"/>
      <c r="M39" s="278"/>
      <c r="N39" s="278"/>
      <c r="P39" s="34">
        <f>SUM(P5:P38)</f>
        <v>2478752.06</v>
      </c>
      <c r="Q39" s="275"/>
    </row>
    <row r="40" spans="1:18" ht="18" hidden="1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18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18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60"/>
      <c r="K42" s="41"/>
      <c r="L42" s="61"/>
      <c r="M42" s="269"/>
      <c r="N42" s="269"/>
      <c r="P42" s="34"/>
      <c r="Q42" s="13"/>
    </row>
    <row r="43" spans="1:18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0"/>
      <c r="K43" s="41"/>
      <c r="L43" s="61"/>
      <c r="M43" s="269"/>
      <c r="N43" s="269"/>
      <c r="P43" s="34"/>
      <c r="Q43" s="13"/>
    </row>
    <row r="44" spans="1:18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18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18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18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18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hidden="1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613309.22</v>
      </c>
      <c r="D50" s="88"/>
      <c r="E50" s="89" t="s">
        <v>8</v>
      </c>
      <c r="F50" s="90">
        <f>SUM(F5:F49)</f>
        <v>2443915</v>
      </c>
      <c r="G50" s="88"/>
      <c r="H50" s="91" t="s">
        <v>9</v>
      </c>
      <c r="I50" s="92">
        <f>SUM(I5:I49)</f>
        <v>31112.5</v>
      </c>
      <c r="J50" s="93"/>
      <c r="K50" s="94" t="s">
        <v>10</v>
      </c>
      <c r="L50" s="95">
        <f>SUM(L5:L49)</f>
        <v>59638.25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848" t="s">
        <v>11</v>
      </c>
      <c r="I52" s="849"/>
      <c r="J52" s="100"/>
      <c r="K52" s="850">
        <f>I50+L50</f>
        <v>90750.75</v>
      </c>
      <c r="L52" s="877"/>
      <c r="M52" s="272"/>
      <c r="N52" s="272"/>
      <c r="P52" s="34"/>
      <c r="Q52" s="13"/>
    </row>
    <row r="53" spans="1:17" ht="16.5" thickBot="1" x14ac:dyDescent="0.3">
      <c r="D53" s="854" t="s">
        <v>12</v>
      </c>
      <c r="E53" s="854"/>
      <c r="F53" s="312">
        <f>F50-K52-C50</f>
        <v>1739855.03</v>
      </c>
      <c r="I53" s="102"/>
      <c r="J53" s="103"/>
    </row>
    <row r="54" spans="1:17" ht="18.75" x14ac:dyDescent="0.3">
      <c r="D54" s="878" t="s">
        <v>95</v>
      </c>
      <c r="E54" s="878"/>
      <c r="F54" s="111">
        <v>-1567070.66</v>
      </c>
      <c r="I54" s="855" t="s">
        <v>13</v>
      </c>
      <c r="J54" s="856"/>
      <c r="K54" s="857">
        <f>F56+F57+F58</f>
        <v>703192.8600000001</v>
      </c>
      <c r="L54" s="857"/>
      <c r="M54" s="863" t="s">
        <v>211</v>
      </c>
      <c r="N54" s="864"/>
      <c r="O54" s="864"/>
      <c r="P54" s="864"/>
      <c r="Q54" s="865"/>
    </row>
    <row r="55" spans="1:17" ht="19.5" thickBot="1" x14ac:dyDescent="0.35">
      <c r="D55" s="313" t="s">
        <v>94</v>
      </c>
      <c r="E55" s="314"/>
      <c r="F55" s="315">
        <v>-590104.74</v>
      </c>
      <c r="I55" s="105"/>
      <c r="J55" s="106"/>
      <c r="K55" s="178"/>
      <c r="L55" s="107"/>
      <c r="M55" s="866"/>
      <c r="N55" s="867"/>
      <c r="O55" s="867"/>
      <c r="P55" s="867"/>
      <c r="Q55" s="868"/>
    </row>
    <row r="56" spans="1:17" ht="19.5" thickTop="1" x14ac:dyDescent="0.3">
      <c r="C56" s="4" t="s">
        <v>7</v>
      </c>
      <c r="E56" s="98" t="s">
        <v>14</v>
      </c>
      <c r="F56" s="96">
        <f>SUM(F53:F55)</f>
        <v>-417320.36999999988</v>
      </c>
      <c r="H56" s="23"/>
      <c r="I56" s="108" t="s">
        <v>15</v>
      </c>
      <c r="J56" s="109"/>
      <c r="K56" s="859">
        <f>-C4</f>
        <v>-567389.35</v>
      </c>
      <c r="L56" s="860"/>
    </row>
    <row r="57" spans="1:17" ht="16.5" thickBot="1" x14ac:dyDescent="0.3">
      <c r="D57" s="110" t="s">
        <v>16</v>
      </c>
      <c r="E57" s="98" t="s">
        <v>17</v>
      </c>
      <c r="F57" s="111">
        <v>366370</v>
      </c>
    </row>
    <row r="58" spans="1:17" ht="20.25" thickTop="1" thickBot="1" x14ac:dyDescent="0.35">
      <c r="C58" s="112">
        <v>44563</v>
      </c>
      <c r="D58" s="837" t="s">
        <v>18</v>
      </c>
      <c r="E58" s="838"/>
      <c r="F58" s="113">
        <v>754143.23</v>
      </c>
      <c r="I58" s="839" t="s">
        <v>198</v>
      </c>
      <c r="J58" s="840"/>
      <c r="K58" s="841">
        <f>K54+K56</f>
        <v>135803.51000000013</v>
      </c>
      <c r="L58" s="841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30">
    <mergeCell ref="D58:E58"/>
    <mergeCell ref="I58:J58"/>
    <mergeCell ref="K58:L58"/>
    <mergeCell ref="D53:E53"/>
    <mergeCell ref="D54:E54"/>
    <mergeCell ref="I54:J54"/>
    <mergeCell ref="K54:L54"/>
    <mergeCell ref="M54:Q55"/>
    <mergeCell ref="K56:L56"/>
    <mergeCell ref="W27:X28"/>
    <mergeCell ref="Y27:Y28"/>
    <mergeCell ref="M36:M37"/>
    <mergeCell ref="N36:N37"/>
    <mergeCell ref="Q36:Q37"/>
    <mergeCell ref="H52:I52"/>
    <mergeCell ref="K52:L52"/>
    <mergeCell ref="W4:X5"/>
    <mergeCell ref="W19:W20"/>
    <mergeCell ref="W21:X21"/>
    <mergeCell ref="W23:X24"/>
    <mergeCell ref="W25:X25"/>
    <mergeCell ref="W26:X26"/>
    <mergeCell ref="R3:R4"/>
    <mergeCell ref="B1:B2"/>
    <mergeCell ref="C1:M1"/>
    <mergeCell ref="B3:C3"/>
    <mergeCell ref="H3:I3"/>
    <mergeCell ref="P3:P4"/>
    <mergeCell ref="E4:F4"/>
    <mergeCell ref="H4:I4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00FF"/>
  </sheetPr>
  <dimension ref="A1:N110"/>
  <sheetViews>
    <sheetView topLeftCell="D28" workbookViewId="0">
      <selection activeCell="F85" sqref="F85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7.5703125" style="4" bestFit="1" customWidth="1"/>
    <col min="4" max="4" width="12.42578125" style="257" bestFit="1" customWidth="1"/>
    <col min="5" max="5" width="15.1406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290" t="s">
        <v>90</v>
      </c>
      <c r="B1" s="291"/>
      <c r="C1" s="292"/>
      <c r="D1" s="371"/>
      <c r="E1" s="292"/>
      <c r="F1" s="378" t="s">
        <v>314</v>
      </c>
      <c r="I1" s="301" t="s">
        <v>91</v>
      </c>
      <c r="J1" s="302"/>
      <c r="K1" s="303"/>
      <c r="L1" s="367"/>
      <c r="M1" s="303"/>
      <c r="N1" s="377" t="s">
        <v>314</v>
      </c>
    </row>
    <row r="2" spans="1:14" ht="21.75" customHeight="1" thickTop="1" thickBot="1" x14ac:dyDescent="0.35">
      <c r="A2" s="297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1:14" ht="15.75" x14ac:dyDescent="0.25">
      <c r="A3" s="354" t="s">
        <v>195</v>
      </c>
      <c r="B3" s="355" t="s">
        <v>266</v>
      </c>
      <c r="C3" s="96">
        <v>7068.6</v>
      </c>
      <c r="D3" s="372">
        <v>44560</v>
      </c>
      <c r="E3" s="96">
        <v>7068.6</v>
      </c>
      <c r="F3" s="183">
        <f>C3-E3</f>
        <v>0</v>
      </c>
      <c r="I3" s="348" t="s">
        <v>195</v>
      </c>
      <c r="J3" s="347">
        <v>7950</v>
      </c>
      <c r="K3" s="349">
        <v>563.79999999999995</v>
      </c>
      <c r="L3" s="399">
        <v>44580</v>
      </c>
      <c r="M3" s="401">
        <v>563.79999999999995</v>
      </c>
      <c r="N3" s="183">
        <f>K3-M3</f>
        <v>0</v>
      </c>
    </row>
    <row r="4" spans="1:14" ht="18.75" x14ac:dyDescent="0.3">
      <c r="A4" s="354" t="s">
        <v>195</v>
      </c>
      <c r="B4" s="355" t="s">
        <v>267</v>
      </c>
      <c r="C4" s="96">
        <v>11495.4</v>
      </c>
      <c r="D4" s="372">
        <v>44560</v>
      </c>
      <c r="E4" s="96">
        <v>11495.4</v>
      </c>
      <c r="F4" s="137">
        <f>F3+C4-E4</f>
        <v>0</v>
      </c>
      <c r="G4" s="138"/>
      <c r="I4" s="348" t="s">
        <v>195</v>
      </c>
      <c r="J4" s="347">
        <v>7944</v>
      </c>
      <c r="K4" s="349">
        <v>2032.08</v>
      </c>
      <c r="L4" s="400">
        <v>44580</v>
      </c>
      <c r="M4" s="401">
        <v>2032.08</v>
      </c>
      <c r="N4" s="137">
        <f>N3+K4-M4</f>
        <v>0</v>
      </c>
    </row>
    <row r="5" spans="1:14" ht="15.75" x14ac:dyDescent="0.25">
      <c r="A5" s="354" t="s">
        <v>247</v>
      </c>
      <c r="B5" s="355" t="s">
        <v>268</v>
      </c>
      <c r="C5" s="96">
        <v>276755.14</v>
      </c>
      <c r="D5" s="372">
        <v>44560</v>
      </c>
      <c r="E5" s="96">
        <v>276755.14</v>
      </c>
      <c r="F5" s="137">
        <f t="shared" ref="F5:F68" si="0">F4+C5-E5</f>
        <v>0</v>
      </c>
      <c r="I5" s="348" t="s">
        <v>195</v>
      </c>
      <c r="J5" s="347">
        <v>7952</v>
      </c>
      <c r="K5" s="349">
        <v>1756.48</v>
      </c>
      <c r="L5" s="400">
        <v>44580</v>
      </c>
      <c r="M5" s="401">
        <v>1756.48</v>
      </c>
      <c r="N5" s="137">
        <f t="shared" ref="N5:N56" si="1">N4+K5-M5</f>
        <v>0</v>
      </c>
    </row>
    <row r="6" spans="1:14" ht="15.75" x14ac:dyDescent="0.25">
      <c r="A6" s="354" t="s">
        <v>247</v>
      </c>
      <c r="B6" s="355" t="s">
        <v>269</v>
      </c>
      <c r="C6" s="96">
        <v>62881.4</v>
      </c>
      <c r="D6" s="372">
        <v>44560</v>
      </c>
      <c r="E6" s="96">
        <v>62881.4</v>
      </c>
      <c r="F6" s="137">
        <f t="shared" si="0"/>
        <v>0</v>
      </c>
      <c r="I6" s="348" t="s">
        <v>195</v>
      </c>
      <c r="J6" s="347">
        <v>7951</v>
      </c>
      <c r="K6" s="349">
        <v>7340.96</v>
      </c>
      <c r="L6" s="400">
        <v>44580</v>
      </c>
      <c r="M6" s="401">
        <v>7340.96</v>
      </c>
      <c r="N6" s="137">
        <f t="shared" si="1"/>
        <v>0</v>
      </c>
    </row>
    <row r="7" spans="1:14" ht="15.75" x14ac:dyDescent="0.25">
      <c r="A7" s="354" t="s">
        <v>248</v>
      </c>
      <c r="B7" s="355" t="s">
        <v>270</v>
      </c>
      <c r="C7" s="96">
        <v>7868.1</v>
      </c>
      <c r="D7" s="372">
        <v>44560</v>
      </c>
      <c r="E7" s="96">
        <v>7868.1</v>
      </c>
      <c r="F7" s="137">
        <f t="shared" si="0"/>
        <v>0</v>
      </c>
      <c r="I7" s="348" t="s">
        <v>247</v>
      </c>
      <c r="J7" s="347">
        <v>7956</v>
      </c>
      <c r="K7" s="349">
        <v>1744.64</v>
      </c>
      <c r="L7" s="400">
        <v>44580</v>
      </c>
      <c r="M7" s="401">
        <v>1744.64</v>
      </c>
      <c r="N7" s="137">
        <f t="shared" si="1"/>
        <v>0</v>
      </c>
    </row>
    <row r="8" spans="1:14" ht="15.75" x14ac:dyDescent="0.25">
      <c r="A8" s="354" t="s">
        <v>249</v>
      </c>
      <c r="B8" s="355" t="s">
        <v>271</v>
      </c>
      <c r="C8" s="96">
        <v>22425</v>
      </c>
      <c r="D8" s="372">
        <v>44560</v>
      </c>
      <c r="E8" s="96">
        <v>22425</v>
      </c>
      <c r="F8" s="137">
        <f t="shared" si="0"/>
        <v>0</v>
      </c>
      <c r="I8" s="348" t="s">
        <v>248</v>
      </c>
      <c r="J8" s="347">
        <v>7961</v>
      </c>
      <c r="K8" s="349">
        <v>6212.5</v>
      </c>
      <c r="L8" s="400">
        <v>44580</v>
      </c>
      <c r="M8" s="401">
        <v>6212.5</v>
      </c>
      <c r="N8" s="137">
        <f t="shared" si="1"/>
        <v>0</v>
      </c>
    </row>
    <row r="9" spans="1:14" ht="15.75" x14ac:dyDescent="0.25">
      <c r="A9" s="354" t="s">
        <v>250</v>
      </c>
      <c r="B9" s="355" t="s">
        <v>272</v>
      </c>
      <c r="C9" s="96">
        <v>46727.4</v>
      </c>
      <c r="D9" s="372">
        <v>44560</v>
      </c>
      <c r="E9" s="96">
        <v>46727.4</v>
      </c>
      <c r="F9" s="137">
        <f t="shared" si="0"/>
        <v>0</v>
      </c>
      <c r="I9" s="348" t="s">
        <v>249</v>
      </c>
      <c r="J9" s="347">
        <v>7971</v>
      </c>
      <c r="K9" s="349">
        <v>11903.89</v>
      </c>
      <c r="L9" s="400">
        <v>44580</v>
      </c>
      <c r="M9" s="401">
        <v>11903.89</v>
      </c>
      <c r="N9" s="137">
        <f t="shared" si="1"/>
        <v>0</v>
      </c>
    </row>
    <row r="10" spans="1:14" ht="18.75" x14ac:dyDescent="0.3">
      <c r="A10" s="354" t="s">
        <v>250</v>
      </c>
      <c r="B10" s="355" t="s">
        <v>273</v>
      </c>
      <c r="C10" s="96">
        <v>8457.5</v>
      </c>
      <c r="D10" s="372">
        <v>44560</v>
      </c>
      <c r="E10" s="96">
        <v>8457.5</v>
      </c>
      <c r="F10" s="137">
        <f t="shared" si="0"/>
        <v>0</v>
      </c>
      <c r="G10" s="138"/>
      <c r="I10" s="348" t="s">
        <v>249</v>
      </c>
      <c r="J10" s="347">
        <v>7972</v>
      </c>
      <c r="K10" s="349">
        <v>36560.6</v>
      </c>
      <c r="L10" s="400">
        <v>44580</v>
      </c>
      <c r="M10" s="401">
        <v>36560.6</v>
      </c>
      <c r="N10" s="137">
        <f t="shared" si="1"/>
        <v>0</v>
      </c>
    </row>
    <row r="11" spans="1:14" ht="15.75" x14ac:dyDescent="0.25">
      <c r="A11" s="354" t="s">
        <v>251</v>
      </c>
      <c r="B11" s="355" t="s">
        <v>274</v>
      </c>
      <c r="C11" s="96">
        <v>112011.05</v>
      </c>
      <c r="D11" s="372">
        <v>44560</v>
      </c>
      <c r="E11" s="96">
        <v>112011.05</v>
      </c>
      <c r="F11" s="137">
        <f t="shared" si="0"/>
        <v>0</v>
      </c>
      <c r="I11" s="348" t="s">
        <v>250</v>
      </c>
      <c r="J11" s="347">
        <v>7975</v>
      </c>
      <c r="K11" s="349">
        <v>3349.24</v>
      </c>
      <c r="L11" s="400">
        <v>44580</v>
      </c>
      <c r="M11" s="401">
        <v>3349.24</v>
      </c>
      <c r="N11" s="137">
        <f t="shared" si="1"/>
        <v>0</v>
      </c>
    </row>
    <row r="12" spans="1:14" ht="15.75" x14ac:dyDescent="0.25">
      <c r="A12" s="354" t="s">
        <v>275</v>
      </c>
      <c r="B12" s="355" t="s">
        <v>276</v>
      </c>
      <c r="C12" s="96">
        <v>5206.45</v>
      </c>
      <c r="D12" s="372">
        <v>44560</v>
      </c>
      <c r="E12" s="96">
        <v>5206.45</v>
      </c>
      <c r="F12" s="137">
        <f t="shared" si="0"/>
        <v>0</v>
      </c>
      <c r="I12" s="348" t="s">
        <v>250</v>
      </c>
      <c r="J12" s="347">
        <v>7979</v>
      </c>
      <c r="K12" s="349">
        <v>2755.76</v>
      </c>
      <c r="L12" s="400">
        <v>44580</v>
      </c>
      <c r="M12" s="401">
        <v>2755.76</v>
      </c>
      <c r="N12" s="137">
        <f t="shared" si="1"/>
        <v>0</v>
      </c>
    </row>
    <row r="13" spans="1:14" ht="15.75" x14ac:dyDescent="0.25">
      <c r="A13" s="354" t="s">
        <v>252</v>
      </c>
      <c r="B13" s="355" t="s">
        <v>277</v>
      </c>
      <c r="C13" s="96">
        <v>38821.5</v>
      </c>
      <c r="D13" s="372">
        <v>44560</v>
      </c>
      <c r="E13" s="96">
        <v>38821.5</v>
      </c>
      <c r="F13" s="137">
        <f t="shared" si="0"/>
        <v>0</v>
      </c>
      <c r="I13" s="348" t="s">
        <v>251</v>
      </c>
      <c r="J13" s="347">
        <v>7984</v>
      </c>
      <c r="K13" s="349">
        <v>19135.14</v>
      </c>
      <c r="L13" s="400">
        <v>44580</v>
      </c>
      <c r="M13" s="401">
        <v>19135.14</v>
      </c>
      <c r="N13" s="137">
        <f t="shared" si="1"/>
        <v>0</v>
      </c>
    </row>
    <row r="14" spans="1:14" ht="15.75" x14ac:dyDescent="0.25">
      <c r="A14" s="354" t="s">
        <v>252</v>
      </c>
      <c r="B14" s="355" t="s">
        <v>278</v>
      </c>
      <c r="C14" s="96">
        <v>14425.6</v>
      </c>
      <c r="D14" s="372">
        <v>44560</v>
      </c>
      <c r="E14" s="96">
        <v>14425.6</v>
      </c>
      <c r="F14" s="137">
        <f t="shared" si="0"/>
        <v>0</v>
      </c>
      <c r="I14" s="348" t="s">
        <v>252</v>
      </c>
      <c r="J14" s="347">
        <v>7996</v>
      </c>
      <c r="K14" s="349">
        <v>4500.16</v>
      </c>
      <c r="L14" s="400">
        <v>44580</v>
      </c>
      <c r="M14" s="401">
        <v>4500.16</v>
      </c>
      <c r="N14" s="137">
        <f t="shared" si="1"/>
        <v>0</v>
      </c>
    </row>
    <row r="15" spans="1:14" ht="15.75" x14ac:dyDescent="0.25">
      <c r="A15" s="354" t="s">
        <v>252</v>
      </c>
      <c r="B15" s="355" t="s">
        <v>279</v>
      </c>
      <c r="C15" s="96">
        <v>9421.7000000000007</v>
      </c>
      <c r="D15" s="372">
        <v>44560</v>
      </c>
      <c r="E15" s="96">
        <v>9421.7000000000007</v>
      </c>
      <c r="F15" s="137">
        <f t="shared" si="0"/>
        <v>0</v>
      </c>
      <c r="I15" s="348" t="s">
        <v>252</v>
      </c>
      <c r="J15" s="347">
        <v>8002</v>
      </c>
      <c r="K15" s="349">
        <v>7744</v>
      </c>
      <c r="L15" s="400">
        <v>44580</v>
      </c>
      <c r="M15" s="401">
        <v>7744</v>
      </c>
      <c r="N15" s="137">
        <f t="shared" si="1"/>
        <v>0</v>
      </c>
    </row>
    <row r="16" spans="1:14" ht="15.75" x14ac:dyDescent="0.25">
      <c r="A16" s="354" t="s">
        <v>252</v>
      </c>
      <c r="B16" s="355" t="s">
        <v>280</v>
      </c>
      <c r="C16" s="96">
        <v>9069.5</v>
      </c>
      <c r="D16" s="372">
        <v>44560</v>
      </c>
      <c r="E16" s="96">
        <v>9069.5</v>
      </c>
      <c r="F16" s="137">
        <f t="shared" si="0"/>
        <v>0</v>
      </c>
      <c r="I16" s="348" t="s">
        <v>253</v>
      </c>
      <c r="J16" s="347">
        <v>8009</v>
      </c>
      <c r="K16" s="349">
        <v>933.1</v>
      </c>
      <c r="L16" s="400">
        <v>44580</v>
      </c>
      <c r="M16" s="401">
        <v>933.1</v>
      </c>
      <c r="N16" s="137">
        <f t="shared" si="1"/>
        <v>0</v>
      </c>
    </row>
    <row r="17" spans="1:14" ht="15.75" x14ac:dyDescent="0.25">
      <c r="A17" s="354" t="s">
        <v>252</v>
      </c>
      <c r="B17" s="355" t="s">
        <v>281</v>
      </c>
      <c r="C17" s="96">
        <v>60</v>
      </c>
      <c r="D17" s="372">
        <v>44560</v>
      </c>
      <c r="E17" s="96">
        <v>60</v>
      </c>
      <c r="F17" s="137">
        <f t="shared" si="0"/>
        <v>0</v>
      </c>
      <c r="I17" s="348" t="s">
        <v>253</v>
      </c>
      <c r="J17" s="347">
        <v>8011</v>
      </c>
      <c r="K17" s="349">
        <v>2610</v>
      </c>
      <c r="L17" s="400">
        <v>44580</v>
      </c>
      <c r="M17" s="401">
        <v>2610</v>
      </c>
      <c r="N17" s="137">
        <f t="shared" si="1"/>
        <v>0</v>
      </c>
    </row>
    <row r="18" spans="1:14" ht="15.75" x14ac:dyDescent="0.25">
      <c r="A18" s="354" t="s">
        <v>252</v>
      </c>
      <c r="B18" s="355" t="s">
        <v>282</v>
      </c>
      <c r="C18" s="96">
        <v>16107.5</v>
      </c>
      <c r="D18" s="372">
        <v>44560</v>
      </c>
      <c r="E18" s="96">
        <v>16107.5</v>
      </c>
      <c r="F18" s="137">
        <f t="shared" si="0"/>
        <v>0</v>
      </c>
      <c r="I18" s="348" t="s">
        <v>254</v>
      </c>
      <c r="J18" s="347">
        <v>8019</v>
      </c>
      <c r="K18" s="349">
        <v>3554.2</v>
      </c>
      <c r="L18" s="400">
        <v>44580</v>
      </c>
      <c r="M18" s="401">
        <v>3554.2</v>
      </c>
      <c r="N18" s="137">
        <f t="shared" si="1"/>
        <v>0</v>
      </c>
    </row>
    <row r="19" spans="1:14" ht="15.75" x14ac:dyDescent="0.25">
      <c r="A19" s="354" t="s">
        <v>253</v>
      </c>
      <c r="B19" s="355" t="s">
        <v>283</v>
      </c>
      <c r="C19" s="96">
        <v>45709</v>
      </c>
      <c r="D19" s="372">
        <v>44560</v>
      </c>
      <c r="E19" s="96">
        <v>45709</v>
      </c>
      <c r="F19" s="137">
        <f t="shared" si="0"/>
        <v>0</v>
      </c>
      <c r="I19" s="348" t="s">
        <v>254</v>
      </c>
      <c r="J19" s="347">
        <v>8024</v>
      </c>
      <c r="K19" s="349">
        <v>92636.2</v>
      </c>
      <c r="L19" s="400">
        <v>44580</v>
      </c>
      <c r="M19" s="401">
        <v>92636.2</v>
      </c>
      <c r="N19" s="137">
        <f t="shared" si="1"/>
        <v>0</v>
      </c>
    </row>
    <row r="20" spans="1:14" ht="15.75" x14ac:dyDescent="0.25">
      <c r="A20" s="354" t="s">
        <v>254</v>
      </c>
      <c r="B20" s="355" t="s">
        <v>284</v>
      </c>
      <c r="C20" s="96">
        <v>0</v>
      </c>
      <c r="D20" s="372" t="s">
        <v>310</v>
      </c>
      <c r="E20" s="96">
        <v>0</v>
      </c>
      <c r="F20" s="137">
        <f t="shared" si="0"/>
        <v>0</v>
      </c>
      <c r="I20" s="348" t="s">
        <v>255</v>
      </c>
      <c r="J20" s="347">
        <v>8027</v>
      </c>
      <c r="K20" s="349">
        <v>9327.4</v>
      </c>
      <c r="L20" s="400">
        <v>44580</v>
      </c>
      <c r="M20" s="401">
        <v>9327.4</v>
      </c>
      <c r="N20" s="137">
        <f t="shared" si="1"/>
        <v>0</v>
      </c>
    </row>
    <row r="21" spans="1:14" ht="15.75" x14ac:dyDescent="0.25">
      <c r="A21" s="354" t="s">
        <v>254</v>
      </c>
      <c r="B21" s="355" t="s">
        <v>285</v>
      </c>
      <c r="C21" s="96">
        <v>58310.5</v>
      </c>
      <c r="D21" s="372">
        <v>44560</v>
      </c>
      <c r="E21" s="96">
        <v>58310.5</v>
      </c>
      <c r="F21" s="137">
        <f t="shared" si="0"/>
        <v>0</v>
      </c>
      <c r="I21" s="348" t="s">
        <v>255</v>
      </c>
      <c r="J21" s="347">
        <v>8028</v>
      </c>
      <c r="K21" s="349">
        <v>428.16</v>
      </c>
      <c r="L21" s="400">
        <v>44580</v>
      </c>
      <c r="M21" s="401">
        <v>428.16</v>
      </c>
      <c r="N21" s="137">
        <f t="shared" si="1"/>
        <v>0</v>
      </c>
    </row>
    <row r="22" spans="1:14" ht="18.75" x14ac:dyDescent="0.3">
      <c r="A22" s="354" t="s">
        <v>254</v>
      </c>
      <c r="B22" s="355" t="s">
        <v>286</v>
      </c>
      <c r="C22" s="96">
        <v>2844.3</v>
      </c>
      <c r="D22" s="372">
        <v>44560</v>
      </c>
      <c r="E22" s="96">
        <v>2844.3</v>
      </c>
      <c r="F22" s="137">
        <f t="shared" si="0"/>
        <v>0</v>
      </c>
      <c r="G22" s="138"/>
      <c r="I22" s="348" t="s">
        <v>256</v>
      </c>
      <c r="J22" s="347">
        <v>8044</v>
      </c>
      <c r="K22" s="349">
        <v>2709.6</v>
      </c>
      <c r="L22" s="400">
        <v>44580</v>
      </c>
      <c r="M22" s="401">
        <v>2709.6</v>
      </c>
      <c r="N22" s="137">
        <f t="shared" si="1"/>
        <v>0</v>
      </c>
    </row>
    <row r="23" spans="1:14" ht="15.75" x14ac:dyDescent="0.25">
      <c r="A23" s="354" t="s">
        <v>255</v>
      </c>
      <c r="B23" s="355" t="s">
        <v>287</v>
      </c>
      <c r="C23" s="96">
        <v>60433.2</v>
      </c>
      <c r="D23" s="372">
        <v>44560</v>
      </c>
      <c r="E23" s="96">
        <v>60433.2</v>
      </c>
      <c r="F23" s="137">
        <f t="shared" si="0"/>
        <v>0</v>
      </c>
      <c r="I23" s="348" t="s">
        <v>257</v>
      </c>
      <c r="J23" s="347">
        <v>8050</v>
      </c>
      <c r="K23" s="349">
        <v>1768.48</v>
      </c>
      <c r="L23" s="400">
        <v>44580</v>
      </c>
      <c r="M23" s="401">
        <v>1768.48</v>
      </c>
      <c r="N23" s="137">
        <f t="shared" si="1"/>
        <v>0</v>
      </c>
    </row>
    <row r="24" spans="1:14" ht="15.75" x14ac:dyDescent="0.25">
      <c r="A24" s="354" t="s">
        <v>256</v>
      </c>
      <c r="B24" s="355" t="s">
        <v>288</v>
      </c>
      <c r="C24" s="96">
        <v>78786.3</v>
      </c>
      <c r="D24" s="372">
        <v>44560</v>
      </c>
      <c r="E24" s="96">
        <v>78786.3</v>
      </c>
      <c r="F24" s="137">
        <f t="shared" si="0"/>
        <v>0</v>
      </c>
      <c r="I24" s="348" t="s">
        <v>257</v>
      </c>
      <c r="J24" s="347">
        <v>8056</v>
      </c>
      <c r="K24" s="349">
        <v>45385.8</v>
      </c>
      <c r="L24" s="400">
        <v>44580</v>
      </c>
      <c r="M24" s="401">
        <v>45385.8</v>
      </c>
      <c r="N24" s="137">
        <f t="shared" si="1"/>
        <v>0</v>
      </c>
    </row>
    <row r="25" spans="1:14" ht="15.75" x14ac:dyDescent="0.25">
      <c r="A25" s="354" t="s">
        <v>257</v>
      </c>
      <c r="B25" s="355" t="s">
        <v>289</v>
      </c>
      <c r="C25" s="96">
        <v>36160.1</v>
      </c>
      <c r="D25" s="372">
        <v>44560</v>
      </c>
      <c r="E25" s="96">
        <v>36160.1</v>
      </c>
      <c r="F25" s="137">
        <f t="shared" si="0"/>
        <v>0</v>
      </c>
      <c r="I25" s="348" t="s">
        <v>258</v>
      </c>
      <c r="J25" s="347">
        <v>8065</v>
      </c>
      <c r="K25" s="349">
        <v>6545.88</v>
      </c>
      <c r="L25" s="400">
        <v>44580</v>
      </c>
      <c r="M25" s="401">
        <v>6545.88</v>
      </c>
      <c r="N25" s="137">
        <f t="shared" si="1"/>
        <v>0</v>
      </c>
    </row>
    <row r="26" spans="1:14" ht="15.75" x14ac:dyDescent="0.25">
      <c r="A26" s="354" t="s">
        <v>257</v>
      </c>
      <c r="B26" s="355" t="s">
        <v>290</v>
      </c>
      <c r="C26" s="96">
        <v>2104.4</v>
      </c>
      <c r="D26" s="372">
        <v>44560</v>
      </c>
      <c r="E26" s="96">
        <v>2104.4</v>
      </c>
      <c r="F26" s="137">
        <f t="shared" si="0"/>
        <v>0</v>
      </c>
      <c r="I26" s="348" t="s">
        <v>258</v>
      </c>
      <c r="J26" s="347">
        <v>8073</v>
      </c>
      <c r="K26" s="349">
        <v>7998.1</v>
      </c>
      <c r="L26" s="400">
        <v>44580</v>
      </c>
      <c r="M26" s="401">
        <v>7998.1</v>
      </c>
      <c r="N26" s="137">
        <f t="shared" si="1"/>
        <v>0</v>
      </c>
    </row>
    <row r="27" spans="1:14" ht="15.75" x14ac:dyDescent="0.25">
      <c r="A27" s="354" t="s">
        <v>258</v>
      </c>
      <c r="B27" s="355" t="s">
        <v>291</v>
      </c>
      <c r="C27" s="96">
        <v>634.5</v>
      </c>
      <c r="D27" s="376">
        <v>44550</v>
      </c>
      <c r="E27" s="96">
        <v>634.5</v>
      </c>
      <c r="F27" s="137">
        <f t="shared" si="0"/>
        <v>0</v>
      </c>
      <c r="I27" s="348" t="s">
        <v>259</v>
      </c>
      <c r="J27" s="347">
        <v>8080</v>
      </c>
      <c r="K27" s="349">
        <v>887.52</v>
      </c>
      <c r="L27" s="400">
        <v>44580</v>
      </c>
      <c r="M27" s="401">
        <v>887.52</v>
      </c>
      <c r="N27" s="137">
        <f t="shared" si="1"/>
        <v>0</v>
      </c>
    </row>
    <row r="28" spans="1:14" ht="15.75" x14ac:dyDescent="0.25">
      <c r="A28" s="354" t="s">
        <v>258</v>
      </c>
      <c r="B28" s="355" t="s">
        <v>292</v>
      </c>
      <c r="C28" s="96">
        <v>47894.06</v>
      </c>
      <c r="D28" s="372">
        <v>44560</v>
      </c>
      <c r="E28" s="96">
        <v>47894.06</v>
      </c>
      <c r="F28" s="137">
        <f t="shared" si="0"/>
        <v>0</v>
      </c>
      <c r="I28" s="348" t="s">
        <v>259</v>
      </c>
      <c r="J28" s="347">
        <v>8083</v>
      </c>
      <c r="K28" s="349">
        <v>571.6</v>
      </c>
      <c r="L28" s="400">
        <v>44580</v>
      </c>
      <c r="M28" s="401">
        <v>571.6</v>
      </c>
      <c r="N28" s="137">
        <f t="shared" si="1"/>
        <v>0</v>
      </c>
    </row>
    <row r="29" spans="1:14" ht="15.75" x14ac:dyDescent="0.25">
      <c r="A29" s="354" t="s">
        <v>259</v>
      </c>
      <c r="B29" s="355" t="s">
        <v>293</v>
      </c>
      <c r="C29" s="96">
        <v>48036.26</v>
      </c>
      <c r="D29" s="372">
        <v>44560</v>
      </c>
      <c r="E29" s="96">
        <v>48036.26</v>
      </c>
      <c r="F29" s="137">
        <f t="shared" si="0"/>
        <v>0</v>
      </c>
      <c r="I29" s="348" t="s">
        <v>259</v>
      </c>
      <c r="J29" s="347">
        <v>8090</v>
      </c>
      <c r="K29" s="349">
        <v>23079</v>
      </c>
      <c r="L29" s="400">
        <v>44580</v>
      </c>
      <c r="M29" s="401">
        <v>23079</v>
      </c>
      <c r="N29" s="137">
        <f t="shared" si="1"/>
        <v>0</v>
      </c>
    </row>
    <row r="30" spans="1:14" ht="18.75" x14ac:dyDescent="0.3">
      <c r="A30" s="354" t="s">
        <v>260</v>
      </c>
      <c r="B30" s="355" t="s">
        <v>294</v>
      </c>
      <c r="C30" s="96">
        <v>61444</v>
      </c>
      <c r="D30" s="372">
        <v>44560</v>
      </c>
      <c r="E30" s="96">
        <v>61444</v>
      </c>
      <c r="F30" s="137">
        <f t="shared" si="0"/>
        <v>0</v>
      </c>
      <c r="G30" s="138"/>
      <c r="I30" s="348" t="s">
        <v>260</v>
      </c>
      <c r="J30" s="347">
        <v>8095</v>
      </c>
      <c r="K30" s="349">
        <v>0</v>
      </c>
      <c r="L30" s="400">
        <v>44580</v>
      </c>
      <c r="M30" s="401">
        <v>0</v>
      </c>
      <c r="N30" s="137">
        <f t="shared" si="1"/>
        <v>0</v>
      </c>
    </row>
    <row r="31" spans="1:14" ht="15.75" x14ac:dyDescent="0.25">
      <c r="A31" s="354" t="s">
        <v>260</v>
      </c>
      <c r="B31" s="355" t="s">
        <v>295</v>
      </c>
      <c r="C31" s="96">
        <v>134636</v>
      </c>
      <c r="D31" s="373">
        <v>44564</v>
      </c>
      <c r="E31" s="374">
        <v>134636</v>
      </c>
      <c r="F31" s="137">
        <f>F30+C31-E31</f>
        <v>0</v>
      </c>
      <c r="I31" s="348" t="s">
        <v>260</v>
      </c>
      <c r="J31" s="347">
        <v>8097</v>
      </c>
      <c r="K31" s="349">
        <v>288</v>
      </c>
      <c r="L31" s="400">
        <v>44580</v>
      </c>
      <c r="M31" s="401">
        <v>288</v>
      </c>
      <c r="N31" s="137">
        <f>N30+K31-M31</f>
        <v>0</v>
      </c>
    </row>
    <row r="32" spans="1:14" ht="15.75" x14ac:dyDescent="0.25">
      <c r="A32" s="354" t="s">
        <v>260</v>
      </c>
      <c r="B32" s="355" t="s">
        <v>296</v>
      </c>
      <c r="C32" s="96">
        <v>2496</v>
      </c>
      <c r="D32" s="373">
        <v>44564</v>
      </c>
      <c r="E32" s="374">
        <v>2496</v>
      </c>
      <c r="F32" s="137">
        <f t="shared" si="0"/>
        <v>0</v>
      </c>
      <c r="I32" s="348" t="s">
        <v>260</v>
      </c>
      <c r="J32" s="347">
        <v>8099</v>
      </c>
      <c r="K32" s="349">
        <v>0</v>
      </c>
      <c r="L32" s="400">
        <v>44580</v>
      </c>
      <c r="M32" s="401">
        <v>0</v>
      </c>
      <c r="N32" s="137">
        <f t="shared" si="1"/>
        <v>0</v>
      </c>
    </row>
    <row r="33" spans="1:14" ht="15.75" x14ac:dyDescent="0.25">
      <c r="A33" s="354" t="s">
        <v>260</v>
      </c>
      <c r="B33" s="355" t="s">
        <v>297</v>
      </c>
      <c r="C33" s="96">
        <v>1835.32</v>
      </c>
      <c r="D33" s="373">
        <v>44564</v>
      </c>
      <c r="E33" s="374">
        <v>1835.32</v>
      </c>
      <c r="F33" s="137">
        <f t="shared" si="0"/>
        <v>0</v>
      </c>
      <c r="I33" s="348" t="s">
        <v>260</v>
      </c>
      <c r="J33" s="347">
        <v>8102</v>
      </c>
      <c r="K33" s="349">
        <v>16973.12</v>
      </c>
      <c r="L33" s="400">
        <v>44580</v>
      </c>
      <c r="M33" s="401">
        <v>16973.12</v>
      </c>
      <c r="N33" s="137">
        <f t="shared" si="1"/>
        <v>0</v>
      </c>
    </row>
    <row r="34" spans="1:14" ht="15.75" x14ac:dyDescent="0.25">
      <c r="A34" s="354" t="s">
        <v>261</v>
      </c>
      <c r="B34" s="355" t="s">
        <v>298</v>
      </c>
      <c r="C34" s="96">
        <v>37820</v>
      </c>
      <c r="D34" s="373">
        <v>44564</v>
      </c>
      <c r="E34" s="374">
        <v>37820</v>
      </c>
      <c r="F34" s="137">
        <f t="shared" si="0"/>
        <v>0</v>
      </c>
      <c r="I34" s="348" t="s">
        <v>261</v>
      </c>
      <c r="J34" s="347">
        <v>8104</v>
      </c>
      <c r="K34" s="349">
        <v>614.24</v>
      </c>
      <c r="L34" s="400">
        <v>44580</v>
      </c>
      <c r="M34" s="401">
        <v>614.24</v>
      </c>
      <c r="N34" s="137">
        <f t="shared" si="1"/>
        <v>0</v>
      </c>
    </row>
    <row r="35" spans="1:14" ht="15.75" x14ac:dyDescent="0.25">
      <c r="A35" s="354" t="s">
        <v>261</v>
      </c>
      <c r="B35" s="355" t="s">
        <v>299</v>
      </c>
      <c r="C35" s="96">
        <v>20355.400000000001</v>
      </c>
      <c r="D35" s="373">
        <v>44564</v>
      </c>
      <c r="E35" s="374">
        <v>20355.400000000001</v>
      </c>
      <c r="F35" s="137">
        <f t="shared" si="0"/>
        <v>0</v>
      </c>
      <c r="I35" s="348" t="s">
        <v>261</v>
      </c>
      <c r="J35" s="347">
        <v>8105</v>
      </c>
      <c r="K35" s="349">
        <v>216</v>
      </c>
      <c r="L35" s="400">
        <v>44580</v>
      </c>
      <c r="M35" s="401">
        <v>216</v>
      </c>
      <c r="N35" s="137">
        <f t="shared" si="1"/>
        <v>0</v>
      </c>
    </row>
    <row r="36" spans="1:14" ht="15.75" x14ac:dyDescent="0.25">
      <c r="A36" s="354" t="s">
        <v>300</v>
      </c>
      <c r="B36" s="355" t="s">
        <v>301</v>
      </c>
      <c r="C36" s="96">
        <v>37968.800000000003</v>
      </c>
      <c r="D36" s="396">
        <v>44580</v>
      </c>
      <c r="E36" s="398">
        <v>37968.800000000003</v>
      </c>
      <c r="F36" s="137">
        <f t="shared" si="0"/>
        <v>0</v>
      </c>
      <c r="I36" s="348" t="s">
        <v>261</v>
      </c>
      <c r="J36" s="347">
        <v>8110</v>
      </c>
      <c r="K36" s="349">
        <v>0</v>
      </c>
      <c r="L36" s="400">
        <v>44580</v>
      </c>
      <c r="M36" s="401">
        <v>0</v>
      </c>
      <c r="N36" s="137">
        <f t="shared" si="1"/>
        <v>0</v>
      </c>
    </row>
    <row r="37" spans="1:14" ht="15.75" x14ac:dyDescent="0.25">
      <c r="A37" s="354" t="s">
        <v>262</v>
      </c>
      <c r="B37" s="355" t="s">
        <v>302</v>
      </c>
      <c r="C37" s="96">
        <v>38370.6</v>
      </c>
      <c r="D37" s="396">
        <v>44580</v>
      </c>
      <c r="E37" s="398">
        <v>38370.6</v>
      </c>
      <c r="F37" s="137">
        <f t="shared" si="0"/>
        <v>0</v>
      </c>
      <c r="I37" s="358" t="s">
        <v>261</v>
      </c>
      <c r="J37" s="359">
        <v>8114</v>
      </c>
      <c r="K37" s="360">
        <v>78024.399999999994</v>
      </c>
      <c r="L37" s="400">
        <v>44580</v>
      </c>
      <c r="M37" s="402">
        <v>78024.399999999994</v>
      </c>
      <c r="N37" s="361">
        <f t="shared" si="1"/>
        <v>0</v>
      </c>
    </row>
    <row r="38" spans="1:14" ht="15.75" x14ac:dyDescent="0.25">
      <c r="A38" s="354" t="s">
        <v>262</v>
      </c>
      <c r="B38" s="355" t="s">
        <v>303</v>
      </c>
      <c r="C38" s="96">
        <v>2250</v>
      </c>
      <c r="D38" s="396">
        <v>44580</v>
      </c>
      <c r="E38" s="398">
        <v>2250</v>
      </c>
      <c r="F38" s="137">
        <f t="shared" si="0"/>
        <v>0</v>
      </c>
      <c r="I38" s="362" t="s">
        <v>262</v>
      </c>
      <c r="J38" s="38">
        <v>8133</v>
      </c>
      <c r="K38" s="69">
        <v>7344.28</v>
      </c>
      <c r="L38" s="400">
        <v>44580</v>
      </c>
      <c r="M38" s="397">
        <v>7344.28</v>
      </c>
      <c r="N38" s="363">
        <f t="shared" si="1"/>
        <v>0</v>
      </c>
    </row>
    <row r="39" spans="1:14" ht="15" customHeight="1" thickBot="1" x14ac:dyDescent="0.3">
      <c r="A39" s="354" t="s">
        <v>263</v>
      </c>
      <c r="B39" s="355" t="s">
        <v>304</v>
      </c>
      <c r="C39" s="96">
        <v>36332.379999999997</v>
      </c>
      <c r="D39" s="396">
        <v>44580</v>
      </c>
      <c r="E39" s="398">
        <v>36332.379999999997</v>
      </c>
      <c r="F39" s="137">
        <f t="shared" si="0"/>
        <v>0</v>
      </c>
      <c r="I39" s="350" t="s">
        <v>263</v>
      </c>
      <c r="J39" s="351">
        <v>8144</v>
      </c>
      <c r="K39" s="352">
        <v>0</v>
      </c>
      <c r="L39" s="400">
        <v>44580</v>
      </c>
      <c r="M39" s="403">
        <v>0</v>
      </c>
      <c r="N39" s="353">
        <f t="shared" si="1"/>
        <v>0</v>
      </c>
    </row>
    <row r="40" spans="1:14" ht="17.25" thickTop="1" thickBot="1" x14ac:dyDescent="0.3">
      <c r="A40" s="354" t="s">
        <v>263</v>
      </c>
      <c r="B40" s="355" t="s">
        <v>305</v>
      </c>
      <c r="C40" s="96">
        <v>31011.599999999999</v>
      </c>
      <c r="D40" s="396">
        <v>44580</v>
      </c>
      <c r="E40" s="398">
        <v>31011.599999999999</v>
      </c>
      <c r="F40" s="137">
        <f t="shared" si="0"/>
        <v>0</v>
      </c>
      <c r="I40" s="348" t="s">
        <v>263</v>
      </c>
      <c r="J40" s="347">
        <v>8145</v>
      </c>
      <c r="K40" s="349">
        <v>2592.81</v>
      </c>
      <c r="L40" s="400">
        <v>44580</v>
      </c>
      <c r="M40" s="401">
        <v>2592.81</v>
      </c>
      <c r="N40" s="353">
        <f t="shared" si="1"/>
        <v>0</v>
      </c>
    </row>
    <row r="41" spans="1:14" ht="17.25" thickTop="1" thickBot="1" x14ac:dyDescent="0.3">
      <c r="A41" s="354" t="s">
        <v>306</v>
      </c>
      <c r="B41" s="355" t="s">
        <v>307</v>
      </c>
      <c r="C41" s="96">
        <v>95276.3</v>
      </c>
      <c r="D41" s="396">
        <v>44580</v>
      </c>
      <c r="E41" s="398">
        <v>95276.3</v>
      </c>
      <c r="F41" s="137">
        <f t="shared" si="0"/>
        <v>0</v>
      </c>
      <c r="I41" s="348" t="s">
        <v>263</v>
      </c>
      <c r="J41" s="347">
        <v>8148</v>
      </c>
      <c r="K41" s="349">
        <v>89838.6</v>
      </c>
      <c r="L41" s="400">
        <v>44580</v>
      </c>
      <c r="M41" s="401">
        <v>89838.6</v>
      </c>
      <c r="N41" s="353">
        <f t="shared" si="1"/>
        <v>0</v>
      </c>
    </row>
    <row r="42" spans="1:14" ht="17.25" thickTop="1" thickBot="1" x14ac:dyDescent="0.3">
      <c r="A42" s="354" t="s">
        <v>306</v>
      </c>
      <c r="B42" s="355" t="s">
        <v>308</v>
      </c>
      <c r="C42" s="96">
        <v>4262.3999999999996</v>
      </c>
      <c r="D42" s="396">
        <v>44580</v>
      </c>
      <c r="E42" s="398">
        <v>4262.3999999999996</v>
      </c>
      <c r="F42" s="137">
        <f t="shared" si="0"/>
        <v>0</v>
      </c>
      <c r="I42" s="348" t="s">
        <v>264</v>
      </c>
      <c r="J42" s="347">
        <v>8164</v>
      </c>
      <c r="K42" s="349">
        <v>10475.799999999999</v>
      </c>
      <c r="L42" s="400">
        <v>44580</v>
      </c>
      <c r="M42" s="401">
        <v>10475.799999999999</v>
      </c>
      <c r="N42" s="353">
        <f t="shared" si="1"/>
        <v>0</v>
      </c>
    </row>
    <row r="43" spans="1:14" ht="17.25" thickTop="1" thickBot="1" x14ac:dyDescent="0.3">
      <c r="A43" s="354" t="s">
        <v>264</v>
      </c>
      <c r="B43" s="355" t="s">
        <v>309</v>
      </c>
      <c r="C43" s="96">
        <v>33297.4</v>
      </c>
      <c r="D43" s="396">
        <v>44580</v>
      </c>
      <c r="E43" s="398">
        <v>33297.4</v>
      </c>
      <c r="F43" s="137">
        <f t="shared" si="0"/>
        <v>0</v>
      </c>
      <c r="I43" s="348" t="s">
        <v>264</v>
      </c>
      <c r="J43" s="347">
        <v>8169</v>
      </c>
      <c r="K43" s="349">
        <v>21719.4</v>
      </c>
      <c r="L43" s="400">
        <v>44580</v>
      </c>
      <c r="M43" s="401">
        <v>21719.4</v>
      </c>
      <c r="N43" s="353">
        <f t="shared" si="1"/>
        <v>0</v>
      </c>
    </row>
    <row r="44" spans="1:14" ht="17.25" thickTop="1" thickBot="1" x14ac:dyDescent="0.3">
      <c r="A44" s="134"/>
      <c r="B44" s="139"/>
      <c r="C44" s="69"/>
      <c r="D44" s="253"/>
      <c r="E44" s="69"/>
      <c r="F44" s="137">
        <f t="shared" si="0"/>
        <v>0</v>
      </c>
      <c r="I44" s="348" t="s">
        <v>264</v>
      </c>
      <c r="J44" s="347">
        <v>8170</v>
      </c>
      <c r="K44" s="349">
        <v>57983.8</v>
      </c>
      <c r="L44" s="400">
        <v>44580</v>
      </c>
      <c r="M44" s="401">
        <v>57983.8</v>
      </c>
      <c r="N44" s="353">
        <f t="shared" si="1"/>
        <v>0</v>
      </c>
    </row>
    <row r="45" spans="1:14" ht="16.5" thickTop="1" x14ac:dyDescent="0.25">
      <c r="A45" s="134"/>
      <c r="B45" s="139"/>
      <c r="C45" s="69"/>
      <c r="D45" s="253"/>
      <c r="E45" s="69"/>
      <c r="F45" s="137">
        <f t="shared" si="0"/>
        <v>0</v>
      </c>
      <c r="I45" s="134"/>
      <c r="J45" s="139"/>
      <c r="K45" s="69"/>
      <c r="L45" s="253"/>
      <c r="M45" s="69">
        <v>0</v>
      </c>
      <c r="N45" s="137">
        <f t="shared" si="1"/>
        <v>0</v>
      </c>
    </row>
    <row r="46" spans="1:14" ht="15.75" hidden="1" x14ac:dyDescent="0.25">
      <c r="A46" s="134"/>
      <c r="B46" s="139"/>
      <c r="C46" s="69"/>
      <c r="D46" s="253"/>
      <c r="E46" s="69"/>
      <c r="F46" s="137">
        <f t="shared" si="0"/>
        <v>0</v>
      </c>
      <c r="I46" s="134"/>
      <c r="J46" s="139"/>
      <c r="K46" s="69"/>
      <c r="L46" s="253"/>
      <c r="M46" s="69"/>
      <c r="N46" s="137">
        <f t="shared" si="1"/>
        <v>0</v>
      </c>
    </row>
    <row r="47" spans="1:14" ht="15.75" hidden="1" x14ac:dyDescent="0.25">
      <c r="A47" s="134"/>
      <c r="B47" s="139"/>
      <c r="C47" s="69"/>
      <c r="D47" s="253"/>
      <c r="E47" s="69"/>
      <c r="F47" s="137">
        <f t="shared" si="0"/>
        <v>0</v>
      </c>
      <c r="I47" s="134"/>
      <c r="J47" s="139"/>
      <c r="K47" s="69"/>
      <c r="L47" s="253"/>
      <c r="M47" s="69"/>
      <c r="N47" s="137">
        <f t="shared" si="1"/>
        <v>0</v>
      </c>
    </row>
    <row r="48" spans="1:14" ht="15.75" hidden="1" x14ac:dyDescent="0.25">
      <c r="A48" s="134"/>
      <c r="B48" s="139"/>
      <c r="C48" s="69"/>
      <c r="D48" s="253"/>
      <c r="E48" s="69"/>
      <c r="F48" s="137">
        <f t="shared" si="0"/>
        <v>0</v>
      </c>
      <c r="I48" s="134"/>
      <c r="J48" s="139"/>
      <c r="K48" s="69"/>
      <c r="L48" s="253"/>
      <c r="M48" s="69"/>
      <c r="N48" s="137">
        <f t="shared" si="1"/>
        <v>0</v>
      </c>
    </row>
    <row r="49" spans="1:14" ht="15.75" hidden="1" x14ac:dyDescent="0.25">
      <c r="A49" s="134"/>
      <c r="B49" s="139"/>
      <c r="C49" s="69"/>
      <c r="D49" s="253"/>
      <c r="E49" s="69"/>
      <c r="F49" s="137">
        <f t="shared" si="0"/>
        <v>0</v>
      </c>
      <c r="I49" s="134"/>
      <c r="J49" s="139"/>
      <c r="K49" s="69"/>
      <c r="L49" s="253"/>
      <c r="M49" s="69"/>
      <c r="N49" s="137">
        <f t="shared" si="1"/>
        <v>0</v>
      </c>
    </row>
    <row r="50" spans="1:14" ht="15.75" hidden="1" x14ac:dyDescent="0.25">
      <c r="A50" s="134"/>
      <c r="B50" s="139"/>
      <c r="C50" s="69"/>
      <c r="D50" s="253"/>
      <c r="E50" s="69"/>
      <c r="F50" s="137">
        <f t="shared" si="0"/>
        <v>0</v>
      </c>
      <c r="I50" s="134"/>
      <c r="J50" s="139"/>
      <c r="K50" s="69"/>
      <c r="L50" s="253"/>
      <c r="M50" s="69"/>
      <c r="N50" s="137">
        <f t="shared" si="1"/>
        <v>0</v>
      </c>
    </row>
    <row r="51" spans="1:14" ht="15.75" hidden="1" x14ac:dyDescent="0.25">
      <c r="A51" s="134"/>
      <c r="B51" s="139"/>
      <c r="C51" s="69"/>
      <c r="D51" s="253"/>
      <c r="E51" s="69"/>
      <c r="F51" s="137">
        <f t="shared" si="0"/>
        <v>0</v>
      </c>
      <c r="I51" s="134"/>
      <c r="J51" s="139"/>
      <c r="K51" s="69"/>
      <c r="L51" s="253"/>
      <c r="M51" s="69"/>
      <c r="N51" s="137">
        <f t="shared" si="1"/>
        <v>0</v>
      </c>
    </row>
    <row r="52" spans="1:14" ht="15.75" hidden="1" x14ac:dyDescent="0.25">
      <c r="A52" s="134"/>
      <c r="B52" s="139"/>
      <c r="C52" s="69"/>
      <c r="D52" s="253"/>
      <c r="E52" s="69"/>
      <c r="F52" s="137">
        <f t="shared" si="0"/>
        <v>0</v>
      </c>
      <c r="I52" s="134"/>
      <c r="J52" s="139"/>
      <c r="K52" s="69"/>
      <c r="L52" s="253"/>
      <c r="M52" s="69"/>
      <c r="N52" s="137">
        <f t="shared" si="1"/>
        <v>0</v>
      </c>
    </row>
    <row r="53" spans="1:14" ht="15.75" hidden="1" x14ac:dyDescent="0.25">
      <c r="A53" s="134"/>
      <c r="B53" s="139"/>
      <c r="C53" s="69"/>
      <c r="D53" s="253"/>
      <c r="E53" s="69"/>
      <c r="F53" s="137">
        <f t="shared" si="0"/>
        <v>0</v>
      </c>
      <c r="I53" s="134"/>
      <c r="J53" s="139"/>
      <c r="K53" s="69"/>
      <c r="L53" s="253"/>
      <c r="M53" s="69"/>
      <c r="N53" s="137">
        <f t="shared" si="1"/>
        <v>0</v>
      </c>
    </row>
    <row r="54" spans="1:14" ht="15.75" hidden="1" x14ac:dyDescent="0.25">
      <c r="A54" s="134"/>
      <c r="B54" s="139"/>
      <c r="C54" s="69"/>
      <c r="D54" s="253"/>
      <c r="E54" s="69"/>
      <c r="F54" s="137">
        <f t="shared" si="0"/>
        <v>0</v>
      </c>
      <c r="I54" s="134"/>
      <c r="J54" s="139"/>
      <c r="K54" s="69"/>
      <c r="L54" s="253"/>
      <c r="M54" s="69"/>
      <c r="N54" s="137">
        <f t="shared" si="1"/>
        <v>0</v>
      </c>
    </row>
    <row r="55" spans="1:14" ht="15.75" hidden="1" x14ac:dyDescent="0.25">
      <c r="A55" s="134"/>
      <c r="B55" s="139"/>
      <c r="C55" s="69"/>
      <c r="D55" s="253"/>
      <c r="E55" s="69"/>
      <c r="F55" s="137">
        <f t="shared" si="0"/>
        <v>0</v>
      </c>
      <c r="I55" s="134"/>
      <c r="J55" s="139"/>
      <c r="K55" s="69"/>
      <c r="L55" s="253"/>
      <c r="M55" s="69"/>
      <c r="N55" s="137">
        <f t="shared" si="1"/>
        <v>0</v>
      </c>
    </row>
    <row r="56" spans="1:14" ht="15.75" hidden="1" x14ac:dyDescent="0.25">
      <c r="A56" s="134"/>
      <c r="B56" s="139"/>
      <c r="C56" s="69"/>
      <c r="D56" s="253"/>
      <c r="E56" s="69"/>
      <c r="F56" s="137">
        <f t="shared" si="0"/>
        <v>0</v>
      </c>
      <c r="I56" s="134"/>
      <c r="J56" s="139"/>
      <c r="K56" s="69"/>
      <c r="L56" s="253"/>
      <c r="M56" s="69"/>
      <c r="N56" s="137">
        <f t="shared" si="1"/>
        <v>0</v>
      </c>
    </row>
    <row r="57" spans="1:14" ht="15.75" hidden="1" x14ac:dyDescent="0.25">
      <c r="A57" s="134"/>
      <c r="B57" s="139"/>
      <c r="C57" s="69"/>
      <c r="D57" s="254"/>
      <c r="E57" s="69"/>
      <c r="F57" s="137">
        <f t="shared" si="0"/>
        <v>0</v>
      </c>
      <c r="I57" s="356"/>
      <c r="J57" s="357"/>
      <c r="K57" s="34"/>
      <c r="L57" s="118"/>
      <c r="M57" s="34"/>
      <c r="N57" s="137">
        <f t="shared" ref="N57:N73" si="2">N56+K57-M57</f>
        <v>0</v>
      </c>
    </row>
    <row r="58" spans="1:14" ht="15.75" hidden="1" x14ac:dyDescent="0.25">
      <c r="A58" s="134"/>
      <c r="B58" s="139"/>
      <c r="C58" s="69"/>
      <c r="D58" s="254"/>
      <c r="E58" s="69"/>
      <c r="F58" s="137">
        <f t="shared" si="0"/>
        <v>0</v>
      </c>
      <c r="I58" s="356"/>
      <c r="J58" s="357"/>
      <c r="K58" s="34"/>
      <c r="L58" s="118"/>
      <c r="M58" s="34"/>
      <c r="N58" s="137">
        <f t="shared" si="2"/>
        <v>0</v>
      </c>
    </row>
    <row r="59" spans="1:14" ht="15.75" hidden="1" x14ac:dyDescent="0.25">
      <c r="A59" s="134"/>
      <c r="B59" s="139"/>
      <c r="C59" s="69"/>
      <c r="D59" s="254"/>
      <c r="E59" s="69"/>
      <c r="F59" s="137">
        <f t="shared" si="0"/>
        <v>0</v>
      </c>
      <c r="I59" s="356"/>
      <c r="J59" s="357"/>
      <c r="K59" s="34"/>
      <c r="L59" s="118"/>
      <c r="M59" s="34"/>
      <c r="N59" s="137">
        <f t="shared" si="2"/>
        <v>0</v>
      </c>
    </row>
    <row r="60" spans="1:14" ht="15.75" hidden="1" x14ac:dyDescent="0.25">
      <c r="A60" s="134"/>
      <c r="B60" s="139"/>
      <c r="C60" s="69"/>
      <c r="D60" s="254"/>
      <c r="E60" s="69"/>
      <c r="F60" s="137">
        <f t="shared" si="0"/>
        <v>0</v>
      </c>
      <c r="I60" s="356"/>
      <c r="J60" s="357"/>
      <c r="K60" s="34"/>
      <c r="L60" s="118"/>
      <c r="M60" s="34"/>
      <c r="N60" s="137">
        <f t="shared" si="2"/>
        <v>0</v>
      </c>
    </row>
    <row r="61" spans="1:14" ht="15.75" hidden="1" x14ac:dyDescent="0.25">
      <c r="A61" s="134"/>
      <c r="B61" s="139"/>
      <c r="C61" s="69"/>
      <c r="D61" s="254"/>
      <c r="E61" s="69"/>
      <c r="F61" s="137">
        <f t="shared" si="0"/>
        <v>0</v>
      </c>
      <c r="I61" s="356"/>
      <c r="J61" s="357"/>
      <c r="K61" s="34"/>
      <c r="L61" s="118"/>
      <c r="M61" s="34"/>
      <c r="N61" s="137">
        <f t="shared" si="2"/>
        <v>0</v>
      </c>
    </row>
    <row r="62" spans="1:14" ht="15.75" hidden="1" x14ac:dyDescent="0.25">
      <c r="A62" s="356"/>
      <c r="B62" s="357"/>
      <c r="C62" s="34"/>
      <c r="D62" s="118"/>
      <c r="E62" s="34"/>
      <c r="F62" s="137">
        <f t="shared" si="0"/>
        <v>0</v>
      </c>
      <c r="I62" s="356"/>
      <c r="J62" s="357"/>
      <c r="K62" s="34"/>
      <c r="L62" s="118"/>
      <c r="M62" s="34"/>
      <c r="N62" s="137">
        <f t="shared" si="2"/>
        <v>0</v>
      </c>
    </row>
    <row r="63" spans="1:14" ht="15.75" hidden="1" x14ac:dyDescent="0.25">
      <c r="A63" s="134"/>
      <c r="B63" s="139"/>
      <c r="C63" s="69"/>
      <c r="D63" s="254"/>
      <c r="E63" s="69"/>
      <c r="F63" s="137">
        <f t="shared" si="0"/>
        <v>0</v>
      </c>
      <c r="I63" s="134"/>
      <c r="J63" s="139"/>
      <c r="K63" s="69"/>
      <c r="L63" s="254"/>
      <c r="M63" s="69"/>
      <c r="N63" s="137">
        <f t="shared" si="2"/>
        <v>0</v>
      </c>
    </row>
    <row r="64" spans="1:14" ht="15.75" hidden="1" x14ac:dyDescent="0.25">
      <c r="A64" s="134"/>
      <c r="B64" s="139"/>
      <c r="C64" s="69"/>
      <c r="D64" s="254"/>
      <c r="E64" s="69"/>
      <c r="F64" s="137">
        <f t="shared" si="0"/>
        <v>0</v>
      </c>
      <c r="I64" s="134"/>
      <c r="J64" s="139"/>
      <c r="K64" s="69"/>
      <c r="L64" s="254"/>
      <c r="M64" s="69"/>
      <c r="N64" s="137">
        <f t="shared" si="2"/>
        <v>0</v>
      </c>
    </row>
    <row r="65" spans="1:14" ht="15.75" hidden="1" x14ac:dyDescent="0.25">
      <c r="A65" s="134"/>
      <c r="B65" s="139"/>
      <c r="C65" s="69"/>
      <c r="D65" s="254"/>
      <c r="E65" s="69"/>
      <c r="F65" s="137">
        <f t="shared" si="0"/>
        <v>0</v>
      </c>
      <c r="I65" s="134"/>
      <c r="J65" s="139"/>
      <c r="K65" s="69"/>
      <c r="L65" s="254"/>
      <c r="M65" s="69"/>
      <c r="N65" s="137">
        <f t="shared" si="2"/>
        <v>0</v>
      </c>
    </row>
    <row r="66" spans="1:14" ht="15.75" hidden="1" x14ac:dyDescent="0.25">
      <c r="A66" s="134"/>
      <c r="B66" s="139"/>
      <c r="C66" s="69"/>
      <c r="D66" s="254"/>
      <c r="E66" s="69"/>
      <c r="F66" s="137">
        <f t="shared" si="0"/>
        <v>0</v>
      </c>
      <c r="I66" s="134"/>
      <c r="J66" s="139"/>
      <c r="K66" s="69"/>
      <c r="L66" s="254"/>
      <c r="M66" s="69"/>
      <c r="N66" s="137">
        <f t="shared" si="2"/>
        <v>0</v>
      </c>
    </row>
    <row r="67" spans="1:14" ht="15.75" hidden="1" x14ac:dyDescent="0.25">
      <c r="A67" s="134"/>
      <c r="B67" s="139"/>
      <c r="C67" s="69"/>
      <c r="D67" s="254"/>
      <c r="E67" s="69"/>
      <c r="F67" s="137">
        <f t="shared" si="0"/>
        <v>0</v>
      </c>
      <c r="I67" s="134"/>
      <c r="J67" s="139"/>
      <c r="K67" s="69"/>
      <c r="L67" s="254"/>
      <c r="M67" s="69"/>
      <c r="N67" s="137">
        <f t="shared" si="2"/>
        <v>0</v>
      </c>
    </row>
    <row r="68" spans="1:14" ht="15.75" hidden="1" x14ac:dyDescent="0.25">
      <c r="A68" s="134"/>
      <c r="B68" s="139"/>
      <c r="C68" s="69"/>
      <c r="D68" s="254"/>
      <c r="E68" s="69"/>
      <c r="F68" s="137">
        <f t="shared" si="0"/>
        <v>0</v>
      </c>
      <c r="I68" s="134"/>
      <c r="J68" s="139"/>
      <c r="K68" s="69"/>
      <c r="L68" s="254"/>
      <c r="M68" s="69"/>
      <c r="N68" s="137">
        <f t="shared" si="2"/>
        <v>0</v>
      </c>
    </row>
    <row r="69" spans="1:14" ht="15.75" hidden="1" x14ac:dyDescent="0.25">
      <c r="A69" s="134"/>
      <c r="B69" s="139"/>
      <c r="C69" s="69"/>
      <c r="D69" s="254"/>
      <c r="E69" s="69"/>
      <c r="F69" s="137">
        <f>F68+C69-E69</f>
        <v>0</v>
      </c>
      <c r="I69" s="134"/>
      <c r="J69" s="139"/>
      <c r="K69" s="69"/>
      <c r="L69" s="254"/>
      <c r="M69" s="69"/>
      <c r="N69" s="137">
        <f t="shared" si="2"/>
        <v>0</v>
      </c>
    </row>
    <row r="70" spans="1:14" ht="15.75" hidden="1" x14ac:dyDescent="0.25">
      <c r="A70" s="134"/>
      <c r="B70" s="139"/>
      <c r="C70" s="69"/>
      <c r="D70" s="254"/>
      <c r="E70" s="69"/>
      <c r="F70" s="137">
        <f>F69+C70-E70</f>
        <v>0</v>
      </c>
      <c r="I70" s="134"/>
      <c r="J70" s="139"/>
      <c r="K70" s="69"/>
      <c r="L70" s="254"/>
      <c r="M70" s="69"/>
      <c r="N70" s="137">
        <f t="shared" si="2"/>
        <v>0</v>
      </c>
    </row>
    <row r="71" spans="1:14" ht="15.75" hidden="1" x14ac:dyDescent="0.25">
      <c r="A71" s="134"/>
      <c r="B71" s="139"/>
      <c r="C71" s="69"/>
      <c r="D71" s="254"/>
      <c r="E71" s="69"/>
      <c r="F71" s="137">
        <f>F70+C71-E71</f>
        <v>0</v>
      </c>
      <c r="I71" s="134"/>
      <c r="J71" s="139"/>
      <c r="K71" s="69"/>
      <c r="L71" s="254"/>
      <c r="M71" s="69"/>
      <c r="N71" s="137">
        <f t="shared" si="2"/>
        <v>0</v>
      </c>
    </row>
    <row r="72" spans="1:14" ht="15.75" hidden="1" x14ac:dyDescent="0.25">
      <c r="A72" s="134"/>
      <c r="B72" s="139"/>
      <c r="C72" s="69"/>
      <c r="D72" s="254"/>
      <c r="E72" s="69"/>
      <c r="F72" s="137">
        <f>F71+C72-E72</f>
        <v>0</v>
      </c>
      <c r="I72" s="134"/>
      <c r="J72" s="139"/>
      <c r="K72" s="69"/>
      <c r="L72" s="254"/>
      <c r="M72" s="69"/>
      <c r="N72" s="137">
        <f t="shared" si="2"/>
        <v>0</v>
      </c>
    </row>
    <row r="73" spans="1:14" ht="16.5" thickBot="1" x14ac:dyDescent="0.3">
      <c r="A73" s="149"/>
      <c r="B73" s="210"/>
      <c r="C73" s="34">
        <v>0</v>
      </c>
      <c r="D73" s="255"/>
      <c r="E73" s="151"/>
      <c r="F73" s="137">
        <f>F72+C73-E73</f>
        <v>0</v>
      </c>
      <c r="I73" s="149"/>
      <c r="J73" s="150"/>
      <c r="K73" s="151">
        <v>0</v>
      </c>
      <c r="L73" s="255"/>
      <c r="M73" s="151">
        <v>0</v>
      </c>
      <c r="N73" s="137">
        <f t="shared" si="2"/>
        <v>0</v>
      </c>
    </row>
    <row r="74" spans="1:14" ht="19.5" thickTop="1" x14ac:dyDescent="0.3">
      <c r="B74" s="211"/>
      <c r="C74" s="212">
        <f>SUM(C3:C73)</f>
        <v>1567070.66</v>
      </c>
      <c r="D74" s="256"/>
      <c r="E74" s="1"/>
      <c r="F74" s="153">
        <f>F73</f>
        <v>0</v>
      </c>
      <c r="K74" s="209">
        <f>SUM(K3:K73)</f>
        <v>590104.74</v>
      </c>
      <c r="L74" s="256"/>
      <c r="M74" s="1">
        <f>SUM(M3:M73)</f>
        <v>590104.74</v>
      </c>
      <c r="N74" s="153">
        <f>K74-M74</f>
        <v>0</v>
      </c>
    </row>
    <row r="75" spans="1:14" ht="15.75" thickBot="1" x14ac:dyDescent="0.3">
      <c r="B75" s="213"/>
      <c r="C75" s="214"/>
      <c r="D75" s="256"/>
      <c r="E75" s="3"/>
      <c r="F75" s="888" t="s">
        <v>207</v>
      </c>
      <c r="K75" s="1"/>
      <c r="L75" s="256"/>
      <c r="M75" s="3"/>
      <c r="N75" s="1"/>
    </row>
    <row r="76" spans="1:14" x14ac:dyDescent="0.25">
      <c r="B76" s="98"/>
      <c r="C76" s="1"/>
      <c r="D76" s="256"/>
      <c r="E76" s="3"/>
      <c r="F76" s="889"/>
      <c r="K76" s="1"/>
      <c r="L76" s="256"/>
      <c r="M76" s="3"/>
      <c r="N76" s="1"/>
    </row>
    <row r="77" spans="1:14" x14ac:dyDescent="0.25">
      <c r="A77"/>
      <c r="B77" s="23"/>
      <c r="I77"/>
      <c r="J77" s="194"/>
    </row>
    <row r="78" spans="1:14" x14ac:dyDescent="0.25">
      <c r="A78"/>
      <c r="B78" s="23"/>
      <c r="I78"/>
      <c r="J78" s="194"/>
    </row>
    <row r="79" spans="1:14" x14ac:dyDescent="0.25">
      <c r="A79"/>
      <c r="B79" s="23"/>
      <c r="I79"/>
      <c r="J79" s="194"/>
    </row>
    <row r="80" spans="1:14" ht="15.75" x14ac:dyDescent="0.25">
      <c r="A80"/>
      <c r="B80" s="23"/>
      <c r="C80" s="96"/>
      <c r="F80"/>
      <c r="I80"/>
      <c r="J80" s="194"/>
      <c r="N80"/>
    </row>
    <row r="81" spans="1:14" ht="15.75" x14ac:dyDescent="0.25">
      <c r="A81"/>
      <c r="B81" s="23"/>
      <c r="C81" s="96"/>
      <c r="F81"/>
      <c r="I81"/>
      <c r="J81" s="194"/>
      <c r="N81"/>
    </row>
    <row r="82" spans="1:14" ht="15.75" x14ac:dyDescent="0.25">
      <c r="A82"/>
      <c r="B82" s="23"/>
      <c r="C82" s="96"/>
      <c r="F82"/>
      <c r="I82"/>
      <c r="J82" s="194"/>
      <c r="N82"/>
    </row>
    <row r="83" spans="1:14" ht="15.75" x14ac:dyDescent="0.25">
      <c r="A83"/>
      <c r="B83" s="23"/>
      <c r="C83" s="96"/>
      <c r="F83"/>
      <c r="I83"/>
      <c r="J83" s="194"/>
      <c r="N83"/>
    </row>
    <row r="84" spans="1:14" ht="15.75" x14ac:dyDescent="0.25">
      <c r="A84"/>
      <c r="B84" s="23"/>
      <c r="C84" s="96"/>
      <c r="F84"/>
      <c r="I84"/>
      <c r="J84" s="194"/>
      <c r="N84"/>
    </row>
    <row r="85" spans="1:14" ht="15.75" x14ac:dyDescent="0.25">
      <c r="A85"/>
      <c r="B85" s="23"/>
      <c r="C85" s="96"/>
      <c r="F85"/>
      <c r="I85"/>
      <c r="J85" s="194"/>
      <c r="N85"/>
    </row>
    <row r="86" spans="1:14" ht="15.75" x14ac:dyDescent="0.25">
      <c r="A86"/>
      <c r="B86" s="23"/>
      <c r="C86" s="96"/>
      <c r="F86"/>
      <c r="I86"/>
      <c r="J86" s="194"/>
      <c r="N86"/>
    </row>
    <row r="87" spans="1:14" ht="15.75" x14ac:dyDescent="0.25">
      <c r="A87"/>
      <c r="B87" s="23"/>
      <c r="C87" s="96"/>
      <c r="F87"/>
      <c r="I87"/>
      <c r="J87" s="194"/>
      <c r="N87"/>
    </row>
    <row r="88" spans="1:14" x14ac:dyDescent="0.25">
      <c r="A88"/>
      <c r="B88" s="23"/>
      <c r="F88"/>
      <c r="I88"/>
      <c r="J88" s="194"/>
      <c r="N88"/>
    </row>
    <row r="89" spans="1:14" x14ac:dyDescent="0.25">
      <c r="A89"/>
      <c r="B89" s="23"/>
      <c r="E89"/>
      <c r="F89"/>
      <c r="I89"/>
      <c r="J89" s="194"/>
      <c r="M89"/>
      <c r="N89"/>
    </row>
    <row r="90" spans="1:14" x14ac:dyDescent="0.25">
      <c r="A90"/>
      <c r="B90" s="23"/>
      <c r="E90"/>
      <c r="F90"/>
      <c r="I90"/>
      <c r="J90" s="194"/>
      <c r="M90"/>
      <c r="N90"/>
    </row>
    <row r="91" spans="1:14" x14ac:dyDescent="0.25">
      <c r="A91"/>
      <c r="B91" s="23"/>
      <c r="E91"/>
      <c r="F91"/>
      <c r="I91"/>
      <c r="J91" s="194"/>
      <c r="M91"/>
      <c r="N91"/>
    </row>
    <row r="92" spans="1:14" x14ac:dyDescent="0.25">
      <c r="A92"/>
      <c r="B92" s="23"/>
      <c r="E92"/>
      <c r="F92"/>
      <c r="I92"/>
      <c r="J92" s="194"/>
      <c r="M92"/>
      <c r="N92"/>
    </row>
    <row r="93" spans="1:14" x14ac:dyDescent="0.25">
      <c r="A93"/>
      <c r="B93" s="23"/>
      <c r="E93"/>
      <c r="F93"/>
      <c r="I93"/>
      <c r="J93" s="194"/>
      <c r="M93"/>
      <c r="N93"/>
    </row>
    <row r="94" spans="1:14" x14ac:dyDescent="0.25">
      <c r="A94"/>
      <c r="B94" s="23"/>
      <c r="E94"/>
      <c r="F94"/>
      <c r="I94"/>
      <c r="J94" s="194"/>
      <c r="M94"/>
      <c r="N94"/>
    </row>
    <row r="95" spans="1:14" x14ac:dyDescent="0.25">
      <c r="B95" s="23"/>
      <c r="E95"/>
      <c r="J95" s="194"/>
      <c r="M95"/>
    </row>
    <row r="96" spans="1:14" x14ac:dyDescent="0.25">
      <c r="B96" s="23"/>
      <c r="E96"/>
      <c r="J96" s="194"/>
      <c r="M96"/>
    </row>
    <row r="97" spans="2:13" x14ac:dyDescent="0.25">
      <c r="B97" s="23"/>
      <c r="E97"/>
      <c r="J97" s="194"/>
      <c r="M97"/>
    </row>
    <row r="98" spans="2:13" x14ac:dyDescent="0.25">
      <c r="B98" s="23"/>
      <c r="E98"/>
      <c r="J98" s="194"/>
      <c r="M98"/>
    </row>
    <row r="99" spans="2:13" x14ac:dyDescent="0.25">
      <c r="B99" s="23"/>
      <c r="E99"/>
      <c r="J99" s="194"/>
      <c r="M99"/>
    </row>
    <row r="100" spans="2:13" x14ac:dyDescent="0.25">
      <c r="B100" s="23"/>
      <c r="E100"/>
      <c r="J100" s="194"/>
      <c r="M100"/>
    </row>
    <row r="101" spans="2:13" x14ac:dyDescent="0.25">
      <c r="B101" s="23"/>
      <c r="E101"/>
      <c r="J101" s="194"/>
      <c r="M101"/>
    </row>
    <row r="102" spans="2:13" x14ac:dyDescent="0.25">
      <c r="B102" s="23"/>
      <c r="E102"/>
      <c r="J102" s="194"/>
      <c r="M102"/>
    </row>
    <row r="103" spans="2:13" x14ac:dyDescent="0.25">
      <c r="B103" s="23"/>
      <c r="E103"/>
      <c r="J103" s="194"/>
      <c r="M103"/>
    </row>
    <row r="104" spans="2:13" x14ac:dyDescent="0.25">
      <c r="B104" s="23"/>
      <c r="J104" s="194"/>
    </row>
    <row r="105" spans="2:13" x14ac:dyDescent="0.25">
      <c r="B105" s="23"/>
      <c r="J105" s="194"/>
    </row>
    <row r="106" spans="2:13" x14ac:dyDescent="0.25">
      <c r="B106" s="23"/>
      <c r="J106" s="194"/>
    </row>
    <row r="107" spans="2:13" x14ac:dyDescent="0.25">
      <c r="B107" s="23"/>
      <c r="J107" s="194"/>
    </row>
    <row r="108" spans="2:13" x14ac:dyDescent="0.25">
      <c r="B108" s="23"/>
      <c r="J108" s="194"/>
    </row>
    <row r="109" spans="2:13" x14ac:dyDescent="0.25">
      <c r="B109" s="23"/>
      <c r="J109" s="194"/>
    </row>
    <row r="110" spans="2:13" ht="18.75" x14ac:dyDescent="0.3">
      <c r="C110" s="154"/>
      <c r="K110" s="154"/>
    </row>
  </sheetData>
  <mergeCells count="1">
    <mergeCell ref="F75:F76"/>
  </mergeCells>
  <pageMargins left="0.35433070866141736" right="0.23622047244094491" top="0.43307086614173229" bottom="0.35433070866141736" header="0.31496062992125984" footer="0.31496062992125984"/>
  <pageSetup scale="9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Z80"/>
  <sheetViews>
    <sheetView topLeftCell="A28" workbookViewId="0">
      <selection activeCell="F61" sqref="F61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18.140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826"/>
      <c r="C1" s="892" t="s">
        <v>316</v>
      </c>
      <c r="D1" s="893"/>
      <c r="E1" s="893"/>
      <c r="F1" s="893"/>
      <c r="G1" s="893"/>
      <c r="H1" s="893"/>
      <c r="I1" s="893"/>
      <c r="J1" s="893"/>
      <c r="K1" s="893"/>
      <c r="L1" s="893"/>
      <c r="M1" s="893"/>
    </row>
    <row r="2" spans="1:25" ht="16.5" thickBot="1" x14ac:dyDescent="0.3">
      <c r="B2" s="827"/>
      <c r="C2" s="3"/>
      <c r="H2" s="5"/>
      <c r="I2" s="6"/>
      <c r="J2" s="7"/>
      <c r="L2" s="8"/>
      <c r="M2" s="6"/>
      <c r="N2" s="9"/>
    </row>
    <row r="3" spans="1:25" ht="21.75" thickBot="1" x14ac:dyDescent="0.35">
      <c r="B3" s="830" t="s">
        <v>0</v>
      </c>
      <c r="C3" s="831"/>
      <c r="D3" s="10"/>
      <c r="E3" s="11"/>
      <c r="F3" s="11"/>
      <c r="H3" s="832" t="s">
        <v>26</v>
      </c>
      <c r="I3" s="832"/>
      <c r="K3" s="165"/>
      <c r="L3" s="13"/>
      <c r="M3" s="14"/>
      <c r="P3" s="869" t="s">
        <v>6</v>
      </c>
      <c r="R3" s="890" t="s">
        <v>216</v>
      </c>
    </row>
    <row r="4" spans="1:25" ht="32.25" thickTop="1" thickBot="1" x14ac:dyDescent="0.35">
      <c r="A4" s="15" t="s">
        <v>1</v>
      </c>
      <c r="B4" s="16"/>
      <c r="C4" s="17">
        <v>754143.23</v>
      </c>
      <c r="D4" s="18">
        <v>44563</v>
      </c>
      <c r="E4" s="833" t="s">
        <v>2</v>
      </c>
      <c r="F4" s="834"/>
      <c r="H4" s="835" t="s">
        <v>3</v>
      </c>
      <c r="I4" s="836"/>
      <c r="J4" s="19"/>
      <c r="K4" s="166"/>
      <c r="L4" s="20"/>
      <c r="M4" s="21" t="s">
        <v>4</v>
      </c>
      <c r="N4" s="22" t="s">
        <v>5</v>
      </c>
      <c r="P4" s="870"/>
      <c r="Q4" s="322" t="s">
        <v>217</v>
      </c>
      <c r="R4" s="891"/>
      <c r="W4" s="879" t="s">
        <v>124</v>
      </c>
      <c r="X4" s="879"/>
      <c r="Y4" s="227"/>
    </row>
    <row r="5" spans="1:25" ht="18" thickBot="1" x14ac:dyDescent="0.35">
      <c r="A5" s="23" t="s">
        <v>7</v>
      </c>
      <c r="B5" s="24">
        <v>44564</v>
      </c>
      <c r="C5" s="25">
        <v>23303</v>
      </c>
      <c r="D5" s="26" t="s">
        <v>319</v>
      </c>
      <c r="E5" s="27">
        <v>44564</v>
      </c>
      <c r="F5" s="28">
        <v>65610</v>
      </c>
      <c r="G5" s="2"/>
      <c r="H5" s="29">
        <v>44564</v>
      </c>
      <c r="I5" s="30">
        <v>80</v>
      </c>
      <c r="J5" s="37"/>
      <c r="K5" s="31"/>
      <c r="L5" s="9"/>
      <c r="M5" s="32">
        <v>15563</v>
      </c>
      <c r="N5" s="33">
        <v>26664</v>
      </c>
      <c r="O5" s="318"/>
      <c r="P5" s="34">
        <f>N5+M5+L5+I5+C5</f>
        <v>65610</v>
      </c>
      <c r="Q5" s="325">
        <f>P5-F5</f>
        <v>0</v>
      </c>
      <c r="R5" s="379">
        <v>0</v>
      </c>
      <c r="S5" s="324"/>
      <c r="W5" s="879"/>
      <c r="X5" s="879"/>
      <c r="Y5" s="233"/>
    </row>
    <row r="6" spans="1:25" ht="18" thickBot="1" x14ac:dyDescent="0.35">
      <c r="A6" s="23"/>
      <c r="B6" s="24">
        <v>44565</v>
      </c>
      <c r="C6" s="25">
        <v>9203</v>
      </c>
      <c r="D6" s="35" t="s">
        <v>320</v>
      </c>
      <c r="E6" s="27">
        <v>44565</v>
      </c>
      <c r="F6" s="28">
        <v>48050</v>
      </c>
      <c r="G6" s="2"/>
      <c r="H6" s="36">
        <v>44565</v>
      </c>
      <c r="I6" s="30">
        <v>492.5</v>
      </c>
      <c r="J6" s="37"/>
      <c r="K6" s="38"/>
      <c r="L6" s="39"/>
      <c r="M6" s="32">
        <v>25940.5</v>
      </c>
      <c r="N6" s="33">
        <v>12414</v>
      </c>
      <c r="O6" s="2"/>
      <c r="P6" s="39">
        <f>N6+M6+L6+I6+C6</f>
        <v>48050</v>
      </c>
      <c r="Q6" s="325">
        <f>P6-F6</f>
        <v>0</v>
      </c>
      <c r="R6" s="319">
        <v>0</v>
      </c>
      <c r="S6" s="147"/>
      <c r="T6" s="128"/>
      <c r="U6" s="380"/>
      <c r="W6" s="234">
        <v>0</v>
      </c>
      <c r="X6" s="237"/>
      <c r="Y6" s="13"/>
    </row>
    <row r="7" spans="1:25" ht="18" thickBot="1" x14ac:dyDescent="0.35">
      <c r="A7" s="23"/>
      <c r="B7" s="24">
        <v>44566</v>
      </c>
      <c r="C7" s="25">
        <v>42261</v>
      </c>
      <c r="D7" s="40" t="s">
        <v>322</v>
      </c>
      <c r="E7" s="27">
        <v>44566</v>
      </c>
      <c r="F7" s="28">
        <v>66006</v>
      </c>
      <c r="G7" s="2"/>
      <c r="H7" s="36">
        <v>44566</v>
      </c>
      <c r="I7" s="30">
        <v>1544</v>
      </c>
      <c r="J7" s="37"/>
      <c r="K7" s="38"/>
      <c r="L7" s="39">
        <v>0</v>
      </c>
      <c r="M7" s="32">
        <v>0</v>
      </c>
      <c r="N7" s="33">
        <v>22201</v>
      </c>
      <c r="O7" s="224"/>
      <c r="P7" s="39">
        <f t="shared" ref="P7:P32" si="0">N7+M7+L7+I7+C7</f>
        <v>66006</v>
      </c>
      <c r="Q7" s="317">
        <f t="shared" ref="Q7:Q35" si="1">P7-F7</f>
        <v>0</v>
      </c>
      <c r="R7" s="319">
        <v>0</v>
      </c>
      <c r="S7" s="147"/>
      <c r="T7" s="128"/>
      <c r="U7" s="34">
        <v>0</v>
      </c>
      <c r="W7" s="234">
        <v>0</v>
      </c>
      <c r="X7" s="237"/>
      <c r="Y7" s="13"/>
    </row>
    <row r="8" spans="1:25" ht="18" thickBot="1" x14ac:dyDescent="0.35">
      <c r="A8" s="23"/>
      <c r="B8" s="24">
        <v>44567</v>
      </c>
      <c r="C8" s="25">
        <v>10121</v>
      </c>
      <c r="D8" s="42" t="s">
        <v>321</v>
      </c>
      <c r="E8" s="27">
        <v>44567</v>
      </c>
      <c r="F8" s="28">
        <v>86406</v>
      </c>
      <c r="G8" s="2"/>
      <c r="H8" s="36">
        <v>44567</v>
      </c>
      <c r="I8" s="30">
        <v>659</v>
      </c>
      <c r="J8" s="43"/>
      <c r="K8" s="38"/>
      <c r="L8" s="39"/>
      <c r="M8" s="32">
        <f>37571+8820</f>
        <v>46391</v>
      </c>
      <c r="N8" s="33">
        <v>29235</v>
      </c>
      <c r="O8" s="2"/>
      <c r="P8" s="39">
        <f t="shared" si="0"/>
        <v>86406</v>
      </c>
      <c r="Q8" s="317">
        <f t="shared" si="1"/>
        <v>0</v>
      </c>
      <c r="R8" s="319">
        <v>0</v>
      </c>
      <c r="S8" s="147"/>
      <c r="T8" s="128"/>
      <c r="U8" s="34">
        <v>0</v>
      </c>
      <c r="W8" s="234">
        <v>0</v>
      </c>
      <c r="X8" s="237"/>
      <c r="Y8" s="13"/>
    </row>
    <row r="9" spans="1:25" ht="18" thickBot="1" x14ac:dyDescent="0.35">
      <c r="A9" s="23"/>
      <c r="B9" s="24">
        <v>44568</v>
      </c>
      <c r="C9" s="25">
        <v>4910</v>
      </c>
      <c r="D9" s="42" t="s">
        <v>323</v>
      </c>
      <c r="E9" s="27">
        <v>44568</v>
      </c>
      <c r="F9" s="28">
        <v>75592</v>
      </c>
      <c r="G9" s="2"/>
      <c r="H9" s="36">
        <v>44568</v>
      </c>
      <c r="I9" s="30">
        <v>596</v>
      </c>
      <c r="J9" s="37"/>
      <c r="K9" s="223"/>
      <c r="L9" s="39"/>
      <c r="M9" s="32">
        <v>39085</v>
      </c>
      <c r="N9" s="33">
        <v>30992</v>
      </c>
      <c r="O9" s="2"/>
      <c r="P9" s="39">
        <f t="shared" ref="P9:P14" si="2">N9+M9+L9+I9+C9</f>
        <v>75583</v>
      </c>
      <c r="Q9" s="337">
        <f t="shared" si="1"/>
        <v>-9</v>
      </c>
      <c r="R9" s="319">
        <v>0</v>
      </c>
      <c r="S9" s="147"/>
      <c r="T9" s="128"/>
      <c r="U9" s="34">
        <v>0</v>
      </c>
      <c r="W9" s="234">
        <v>0</v>
      </c>
      <c r="X9" s="238"/>
      <c r="Y9" s="13"/>
    </row>
    <row r="10" spans="1:25" ht="18" thickBot="1" x14ac:dyDescent="0.35">
      <c r="A10" s="23"/>
      <c r="B10" s="24">
        <v>44569</v>
      </c>
      <c r="C10" s="25">
        <v>12108</v>
      </c>
      <c r="D10" s="40" t="s">
        <v>324</v>
      </c>
      <c r="E10" s="27">
        <v>44569</v>
      </c>
      <c r="F10" s="28">
        <v>86693</v>
      </c>
      <c r="G10" s="2"/>
      <c r="H10" s="36">
        <v>44569</v>
      </c>
      <c r="I10" s="30">
        <v>2848.5</v>
      </c>
      <c r="J10" s="37">
        <v>44569</v>
      </c>
      <c r="K10" s="167" t="s">
        <v>245</v>
      </c>
      <c r="L10" s="45">
        <v>12544.83</v>
      </c>
      <c r="M10" s="32">
        <f>1881+18712</f>
        <v>20593</v>
      </c>
      <c r="N10" s="33">
        <v>40489</v>
      </c>
      <c r="O10" s="2"/>
      <c r="P10" s="39">
        <f t="shared" si="2"/>
        <v>88583.33</v>
      </c>
      <c r="Q10" s="317">
        <v>0</v>
      </c>
      <c r="R10" s="388">
        <v>1891</v>
      </c>
      <c r="S10" s="147"/>
      <c r="T10" s="128"/>
      <c r="U10" s="34">
        <v>0</v>
      </c>
      <c r="W10" s="234">
        <v>0</v>
      </c>
      <c r="X10" s="238"/>
      <c r="Y10" s="13"/>
    </row>
    <row r="11" spans="1:25" ht="18" thickBot="1" x14ac:dyDescent="0.35">
      <c r="A11" s="23"/>
      <c r="B11" s="24">
        <v>44570</v>
      </c>
      <c r="C11" s="25">
        <v>0</v>
      </c>
      <c r="D11" s="35"/>
      <c r="E11" s="27">
        <v>44570</v>
      </c>
      <c r="F11" s="28">
        <v>62715</v>
      </c>
      <c r="G11" s="2"/>
      <c r="H11" s="36">
        <v>44570</v>
      </c>
      <c r="I11" s="30">
        <v>880</v>
      </c>
      <c r="J11" s="43"/>
      <c r="K11" s="168"/>
      <c r="L11" s="39"/>
      <c r="M11" s="32">
        <v>39250</v>
      </c>
      <c r="N11" s="33">
        <v>22585</v>
      </c>
      <c r="O11" s="2"/>
      <c r="P11" s="39">
        <f t="shared" si="2"/>
        <v>62715</v>
      </c>
      <c r="Q11" s="317">
        <f t="shared" si="1"/>
        <v>0</v>
      </c>
      <c r="R11" s="319">
        <v>0</v>
      </c>
      <c r="S11" s="147"/>
      <c r="T11" s="128"/>
      <c r="U11" s="34">
        <v>0</v>
      </c>
      <c r="W11" s="234">
        <v>0</v>
      </c>
      <c r="X11" s="237"/>
      <c r="Y11" s="13"/>
    </row>
    <row r="12" spans="1:25" ht="18" thickBot="1" x14ac:dyDescent="0.35">
      <c r="A12" s="23"/>
      <c r="B12" s="24">
        <v>44571</v>
      </c>
      <c r="C12" s="25">
        <v>20407</v>
      </c>
      <c r="D12" s="35" t="s">
        <v>326</v>
      </c>
      <c r="E12" s="27">
        <v>44571</v>
      </c>
      <c r="F12" s="28">
        <v>63623</v>
      </c>
      <c r="G12" s="2"/>
      <c r="H12" s="36">
        <v>44571</v>
      </c>
      <c r="I12" s="30">
        <v>2154</v>
      </c>
      <c r="J12" s="37"/>
      <c r="K12" s="169"/>
      <c r="L12" s="39"/>
      <c r="M12" s="32">
        <v>14290</v>
      </c>
      <c r="N12" s="33">
        <v>26772</v>
      </c>
      <c r="O12" s="328"/>
      <c r="P12" s="39">
        <f t="shared" si="2"/>
        <v>63623</v>
      </c>
      <c r="Q12" s="317">
        <f t="shared" si="1"/>
        <v>0</v>
      </c>
      <c r="R12" s="319">
        <v>0</v>
      </c>
      <c r="S12" s="147"/>
      <c r="T12" s="128"/>
      <c r="U12" s="34">
        <f>SUM(U7:U11)</f>
        <v>0</v>
      </c>
      <c r="W12" s="234">
        <v>0</v>
      </c>
      <c r="X12" s="237"/>
      <c r="Y12" s="13"/>
    </row>
    <row r="13" spans="1:25" ht="18" thickBot="1" x14ac:dyDescent="0.35">
      <c r="A13" s="23"/>
      <c r="B13" s="24">
        <v>44572</v>
      </c>
      <c r="C13" s="25">
        <v>9161</v>
      </c>
      <c r="D13" s="42" t="s">
        <v>327</v>
      </c>
      <c r="E13" s="27">
        <v>44572</v>
      </c>
      <c r="F13" s="28">
        <v>66645</v>
      </c>
      <c r="G13" s="2"/>
      <c r="H13" s="36">
        <v>44572</v>
      </c>
      <c r="I13" s="30">
        <v>1722.4</v>
      </c>
      <c r="J13" s="37"/>
      <c r="K13" s="38"/>
      <c r="L13" s="39"/>
      <c r="M13" s="32">
        <v>42101</v>
      </c>
      <c r="N13" s="33">
        <v>13661</v>
      </c>
      <c r="O13" s="2"/>
      <c r="P13" s="39">
        <f t="shared" si="2"/>
        <v>66645.399999999994</v>
      </c>
      <c r="Q13" s="317">
        <f t="shared" si="1"/>
        <v>0.39999999999417923</v>
      </c>
      <c r="R13" s="319">
        <v>0</v>
      </c>
      <c r="S13" s="381"/>
      <c r="T13" s="128"/>
      <c r="U13" s="34"/>
      <c r="W13" s="234">
        <v>0</v>
      </c>
      <c r="X13" s="237"/>
      <c r="Y13" s="13"/>
    </row>
    <row r="14" spans="1:25" ht="18" thickBot="1" x14ac:dyDescent="0.35">
      <c r="A14" s="23"/>
      <c r="B14" s="24">
        <v>44573</v>
      </c>
      <c r="C14" s="25">
        <v>6572.5</v>
      </c>
      <c r="D14" s="40" t="s">
        <v>328</v>
      </c>
      <c r="E14" s="27">
        <v>44573</v>
      </c>
      <c r="F14" s="28">
        <v>70058</v>
      </c>
      <c r="G14" s="2"/>
      <c r="H14" s="36">
        <v>44573</v>
      </c>
      <c r="I14" s="30">
        <v>991</v>
      </c>
      <c r="J14" s="37"/>
      <c r="K14" s="38"/>
      <c r="L14" s="39"/>
      <c r="M14" s="32">
        <v>34617.5</v>
      </c>
      <c r="N14" s="33">
        <v>27877</v>
      </c>
      <c r="O14" s="2"/>
      <c r="P14" s="39">
        <f t="shared" si="2"/>
        <v>70058</v>
      </c>
      <c r="Q14" s="386">
        <f t="shared" si="1"/>
        <v>0</v>
      </c>
      <c r="R14" s="319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44574</v>
      </c>
      <c r="C15" s="25">
        <v>7387.5</v>
      </c>
      <c r="D15" s="40" t="s">
        <v>329</v>
      </c>
      <c r="E15" s="27">
        <v>44574</v>
      </c>
      <c r="F15" s="28">
        <v>60979</v>
      </c>
      <c r="G15" s="2"/>
      <c r="H15" s="36">
        <v>44574</v>
      </c>
      <c r="I15" s="30">
        <v>1815</v>
      </c>
      <c r="J15" s="37"/>
      <c r="K15" s="38"/>
      <c r="L15" s="39"/>
      <c r="M15" s="32">
        <f>2150+34222.5</f>
        <v>36372.5</v>
      </c>
      <c r="N15" s="33">
        <v>15404</v>
      </c>
      <c r="P15" s="39">
        <f t="shared" si="0"/>
        <v>60979</v>
      </c>
      <c r="Q15" s="386">
        <f t="shared" si="1"/>
        <v>0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44575</v>
      </c>
      <c r="C16" s="25">
        <v>12884</v>
      </c>
      <c r="D16" s="35" t="s">
        <v>330</v>
      </c>
      <c r="E16" s="27">
        <v>44575</v>
      </c>
      <c r="F16" s="28">
        <v>90379</v>
      </c>
      <c r="G16" s="2"/>
      <c r="H16" s="36">
        <v>44575</v>
      </c>
      <c r="I16" s="30">
        <v>1748</v>
      </c>
      <c r="J16" s="37"/>
      <c r="K16" s="169"/>
      <c r="L16" s="9"/>
      <c r="M16" s="32">
        <v>55872</v>
      </c>
      <c r="N16" s="33">
        <v>19875</v>
      </c>
      <c r="O16" s="330"/>
      <c r="P16" s="39">
        <f t="shared" si="0"/>
        <v>90379</v>
      </c>
      <c r="Q16" s="317">
        <f t="shared" si="1"/>
        <v>0</v>
      </c>
      <c r="R16" s="382">
        <v>0</v>
      </c>
      <c r="S16" s="331"/>
      <c r="W16" s="234">
        <v>0</v>
      </c>
      <c r="X16" s="239"/>
      <c r="Y16" s="233"/>
    </row>
    <row r="17" spans="1:26" ht="18" thickBot="1" x14ac:dyDescent="0.35">
      <c r="A17" s="23"/>
      <c r="B17" s="24">
        <v>44576</v>
      </c>
      <c r="C17" s="25">
        <v>4430</v>
      </c>
      <c r="D17" s="42" t="s">
        <v>112</v>
      </c>
      <c r="E17" s="27">
        <v>44576</v>
      </c>
      <c r="F17" s="28">
        <v>101926</v>
      </c>
      <c r="G17" s="2"/>
      <c r="H17" s="36">
        <v>44576</v>
      </c>
      <c r="I17" s="30">
        <v>9042</v>
      </c>
      <c r="J17" s="37">
        <v>44576</v>
      </c>
      <c r="K17" s="38" t="s">
        <v>325</v>
      </c>
      <c r="L17" s="45">
        <f>12714+1607</f>
        <v>14321</v>
      </c>
      <c r="M17" s="32">
        <f>2319+22277</f>
        <v>24596</v>
      </c>
      <c r="N17" s="33">
        <v>49537</v>
      </c>
      <c r="P17" s="39">
        <f t="shared" si="0"/>
        <v>101926</v>
      </c>
      <c r="Q17" s="317" t="s">
        <v>7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44577</v>
      </c>
      <c r="C18" s="25">
        <v>0</v>
      </c>
      <c r="D18" s="35"/>
      <c r="E18" s="27">
        <v>44577</v>
      </c>
      <c r="F18" s="28">
        <v>75392</v>
      </c>
      <c r="G18" s="2"/>
      <c r="H18" s="36">
        <v>44577</v>
      </c>
      <c r="I18" s="30">
        <v>414</v>
      </c>
      <c r="J18" s="37"/>
      <c r="K18" s="170"/>
      <c r="L18" s="39"/>
      <c r="M18" s="32">
        <f>50200+2694</f>
        <v>52894</v>
      </c>
      <c r="N18" s="33">
        <v>22084</v>
      </c>
      <c r="P18" s="39">
        <f t="shared" si="0"/>
        <v>75392</v>
      </c>
      <c r="Q18" s="317">
        <f t="shared" si="1"/>
        <v>0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44578</v>
      </c>
      <c r="C19" s="25">
        <v>10953</v>
      </c>
      <c r="D19" s="35" t="s">
        <v>333</v>
      </c>
      <c r="E19" s="27">
        <v>44578</v>
      </c>
      <c r="F19" s="28">
        <v>75369</v>
      </c>
      <c r="G19" s="2"/>
      <c r="H19" s="36">
        <v>44578</v>
      </c>
      <c r="I19" s="30">
        <v>283.5</v>
      </c>
      <c r="J19" s="37"/>
      <c r="K19" s="46"/>
      <c r="L19" s="47"/>
      <c r="M19" s="32">
        <v>32043.5</v>
      </c>
      <c r="N19" s="33">
        <v>32089</v>
      </c>
      <c r="P19" s="39">
        <f t="shared" si="0"/>
        <v>75369</v>
      </c>
      <c r="Q19" s="317">
        <f t="shared" si="1"/>
        <v>0</v>
      </c>
      <c r="R19" s="319">
        <v>0</v>
      </c>
      <c r="S19" s="147"/>
      <c r="W19" s="883">
        <f>SUM(W6:W18)</f>
        <v>0</v>
      </c>
      <c r="X19" s="240"/>
      <c r="Y19" s="233"/>
    </row>
    <row r="20" spans="1:26" ht="18" thickBot="1" x14ac:dyDescent="0.35">
      <c r="A20" s="23"/>
      <c r="B20" s="24">
        <v>44579</v>
      </c>
      <c r="C20" s="25">
        <v>9987.68</v>
      </c>
      <c r="D20" s="35" t="s">
        <v>334</v>
      </c>
      <c r="E20" s="27">
        <v>44579</v>
      </c>
      <c r="F20" s="28">
        <v>80067</v>
      </c>
      <c r="G20" s="2"/>
      <c r="H20" s="36">
        <v>44579</v>
      </c>
      <c r="I20" s="30">
        <v>2777</v>
      </c>
      <c r="J20" s="37"/>
      <c r="K20" s="171"/>
      <c r="L20" s="45"/>
      <c r="M20" s="32">
        <f>6300+40345</f>
        <v>46645</v>
      </c>
      <c r="N20" s="33">
        <v>20658</v>
      </c>
      <c r="P20" s="39">
        <f t="shared" si="0"/>
        <v>80067.679999999993</v>
      </c>
      <c r="Q20" s="317">
        <f t="shared" si="1"/>
        <v>0.67999999999301508</v>
      </c>
      <c r="R20" s="319">
        <v>0</v>
      </c>
      <c r="S20" s="147"/>
      <c r="W20" s="884"/>
      <c r="X20" s="268"/>
      <c r="Y20" s="233"/>
    </row>
    <row r="21" spans="1:26" ht="19.5" thickBot="1" x14ac:dyDescent="0.35">
      <c r="A21" s="23"/>
      <c r="B21" s="24">
        <v>44580</v>
      </c>
      <c r="C21" s="25">
        <v>19604</v>
      </c>
      <c r="D21" s="35" t="s">
        <v>336</v>
      </c>
      <c r="E21" s="27">
        <v>44580</v>
      </c>
      <c r="F21" s="28">
        <v>74086</v>
      </c>
      <c r="G21" s="2"/>
      <c r="H21" s="36">
        <v>44580</v>
      </c>
      <c r="I21" s="30">
        <v>3492</v>
      </c>
      <c r="J21" s="37"/>
      <c r="K21" s="48"/>
      <c r="L21" s="45"/>
      <c r="M21" s="32">
        <f>19176+306848+58407+12019.66+3238.65+2807.56</f>
        <v>402496.87</v>
      </c>
      <c r="N21" s="33">
        <v>25767</v>
      </c>
      <c r="P21" s="39">
        <f t="shared" si="0"/>
        <v>451359.87</v>
      </c>
      <c r="Q21" s="387">
        <v>0</v>
      </c>
      <c r="R21" s="389">
        <v>377273.87</v>
      </c>
      <c r="S21" s="147"/>
      <c r="W21" s="885"/>
      <c r="X21" s="885"/>
      <c r="Y21" s="233"/>
      <c r="Z21" s="128"/>
    </row>
    <row r="22" spans="1:26" ht="18" thickBot="1" x14ac:dyDescent="0.35">
      <c r="A22" s="23"/>
      <c r="B22" s="24">
        <v>44581</v>
      </c>
      <c r="C22" s="25">
        <v>7528</v>
      </c>
      <c r="D22" s="35" t="s">
        <v>335</v>
      </c>
      <c r="E22" s="27">
        <v>44581</v>
      </c>
      <c r="F22" s="28">
        <v>74975</v>
      </c>
      <c r="G22" s="2"/>
      <c r="H22" s="36">
        <v>44581</v>
      </c>
      <c r="I22" s="30">
        <v>1194</v>
      </c>
      <c r="J22" s="37"/>
      <c r="K22" s="31"/>
      <c r="L22" s="49"/>
      <c r="M22" s="32">
        <v>43604</v>
      </c>
      <c r="N22" s="33">
        <v>22649</v>
      </c>
      <c r="P22" s="39">
        <f t="shared" si="0"/>
        <v>74975</v>
      </c>
      <c r="Q22" s="317">
        <f t="shared" si="1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44582</v>
      </c>
      <c r="C23" s="25">
        <v>5287</v>
      </c>
      <c r="D23" s="35" t="s">
        <v>328</v>
      </c>
      <c r="E23" s="27">
        <v>44582</v>
      </c>
      <c r="F23" s="28">
        <v>100402</v>
      </c>
      <c r="G23" s="2"/>
      <c r="H23" s="36">
        <v>44582</v>
      </c>
      <c r="I23" s="30">
        <v>3015</v>
      </c>
      <c r="J23" s="50"/>
      <c r="K23" s="172"/>
      <c r="L23" s="45"/>
      <c r="M23" s="32">
        <f>67068+6145</f>
        <v>73213</v>
      </c>
      <c r="N23" s="33">
        <v>18887</v>
      </c>
      <c r="P23" s="39">
        <f t="shared" si="0"/>
        <v>100402</v>
      </c>
      <c r="Q23" s="317">
        <f t="shared" si="1"/>
        <v>0</v>
      </c>
      <c r="R23" s="319">
        <v>0</v>
      </c>
      <c r="S23" s="147"/>
      <c r="W23" s="886"/>
      <c r="X23" s="886"/>
      <c r="Y23" s="233"/>
      <c r="Z23" s="128"/>
    </row>
    <row r="24" spans="1:26" ht="18" thickBot="1" x14ac:dyDescent="0.35">
      <c r="A24" s="23"/>
      <c r="B24" s="24">
        <v>44583</v>
      </c>
      <c r="C24" s="25">
        <v>14793</v>
      </c>
      <c r="D24" s="42" t="s">
        <v>338</v>
      </c>
      <c r="E24" s="27">
        <v>44583</v>
      </c>
      <c r="F24" s="28">
        <v>101068</v>
      </c>
      <c r="G24" s="2"/>
      <c r="H24" s="36">
        <v>44583</v>
      </c>
      <c r="I24" s="30">
        <v>1622</v>
      </c>
      <c r="J24" s="51">
        <v>44583</v>
      </c>
      <c r="K24" s="173" t="s">
        <v>345</v>
      </c>
      <c r="L24" s="52">
        <v>12971.14</v>
      </c>
      <c r="M24" s="32">
        <v>34971</v>
      </c>
      <c r="N24" s="33">
        <v>36711</v>
      </c>
      <c r="P24" s="39">
        <f t="shared" si="0"/>
        <v>101068.14</v>
      </c>
      <c r="Q24" s="317">
        <f t="shared" si="1"/>
        <v>0.13999999999941792</v>
      </c>
      <c r="R24" s="319">
        <v>0</v>
      </c>
      <c r="S24" s="147"/>
      <c r="W24" s="886"/>
      <c r="X24" s="886"/>
      <c r="Y24" s="233"/>
      <c r="Z24" s="128"/>
    </row>
    <row r="25" spans="1:26" ht="19.5" thickBot="1" x14ac:dyDescent="0.35">
      <c r="A25" s="23"/>
      <c r="B25" s="24">
        <v>44584</v>
      </c>
      <c r="C25" s="25">
        <v>0</v>
      </c>
      <c r="D25" s="35"/>
      <c r="E25" s="27">
        <v>44584</v>
      </c>
      <c r="F25" s="28">
        <v>76044</v>
      </c>
      <c r="G25" s="2"/>
      <c r="H25" s="36">
        <v>44584</v>
      </c>
      <c r="I25" s="30">
        <v>1589</v>
      </c>
      <c r="J25" s="50"/>
      <c r="K25" s="38"/>
      <c r="L25" s="54"/>
      <c r="M25" s="32">
        <v>47007</v>
      </c>
      <c r="N25" s="33">
        <v>27448</v>
      </c>
      <c r="P25" s="283">
        <f t="shared" si="0"/>
        <v>76044</v>
      </c>
      <c r="Q25" s="317" t="s">
        <v>7</v>
      </c>
      <c r="R25" s="319">
        <v>0</v>
      </c>
      <c r="W25" s="887"/>
      <c r="X25" s="887"/>
      <c r="Y25" s="233"/>
      <c r="Z25" s="128"/>
    </row>
    <row r="26" spans="1:26" ht="19.5" thickBot="1" x14ac:dyDescent="0.35">
      <c r="A26" s="23"/>
      <c r="B26" s="24">
        <v>44585</v>
      </c>
      <c r="C26" s="25">
        <v>8574</v>
      </c>
      <c r="D26" s="35" t="s">
        <v>339</v>
      </c>
      <c r="E26" s="27">
        <v>44585</v>
      </c>
      <c r="F26" s="28">
        <v>97059</v>
      </c>
      <c r="G26" s="2"/>
      <c r="H26" s="36">
        <v>44585</v>
      </c>
      <c r="I26" s="30">
        <v>145</v>
      </c>
      <c r="J26" s="37"/>
      <c r="K26" s="173"/>
      <c r="L26" s="45"/>
      <c r="M26" s="32">
        <v>42595</v>
      </c>
      <c r="N26" s="33">
        <v>45745</v>
      </c>
      <c r="P26" s="284">
        <f t="shared" si="0"/>
        <v>97059</v>
      </c>
      <c r="Q26" s="317">
        <f t="shared" si="1"/>
        <v>0</v>
      </c>
      <c r="R26" s="319">
        <v>0</v>
      </c>
      <c r="W26" s="887"/>
      <c r="X26" s="887"/>
      <c r="Y26" s="233"/>
      <c r="Z26" s="128"/>
    </row>
    <row r="27" spans="1:26" ht="18" thickBot="1" x14ac:dyDescent="0.35">
      <c r="A27" s="23"/>
      <c r="B27" s="24">
        <v>44586</v>
      </c>
      <c r="C27" s="25">
        <v>6964.5</v>
      </c>
      <c r="D27" s="42" t="s">
        <v>340</v>
      </c>
      <c r="E27" s="27">
        <v>44586</v>
      </c>
      <c r="F27" s="28">
        <v>72776</v>
      </c>
      <c r="G27" s="2"/>
      <c r="H27" s="36">
        <v>44586</v>
      </c>
      <c r="I27" s="30">
        <v>2041</v>
      </c>
      <c r="J27" s="55"/>
      <c r="K27" s="174"/>
      <c r="L27" s="54"/>
      <c r="M27" s="32">
        <v>39912</v>
      </c>
      <c r="N27" s="33">
        <v>23859</v>
      </c>
      <c r="P27" s="39">
        <f t="shared" si="0"/>
        <v>72776.5</v>
      </c>
      <c r="Q27" s="317">
        <f t="shared" si="1"/>
        <v>0.5</v>
      </c>
      <c r="R27" s="319">
        <v>0</v>
      </c>
      <c r="U27" s="1">
        <v>4102</v>
      </c>
      <c r="V27" t="s">
        <v>240</v>
      </c>
      <c r="W27" s="880"/>
      <c r="X27" s="881"/>
      <c r="Y27" s="882"/>
      <c r="Z27" s="128"/>
    </row>
    <row r="28" spans="1:26" ht="18" thickBot="1" x14ac:dyDescent="0.35">
      <c r="A28" s="23"/>
      <c r="B28" s="24">
        <v>44587</v>
      </c>
      <c r="C28" s="25">
        <v>24487</v>
      </c>
      <c r="D28" s="42" t="s">
        <v>341</v>
      </c>
      <c r="E28" s="27">
        <v>44587</v>
      </c>
      <c r="F28" s="28">
        <v>61066</v>
      </c>
      <c r="G28" s="2"/>
      <c r="H28" s="36">
        <v>44587</v>
      </c>
      <c r="I28" s="30">
        <v>1697</v>
      </c>
      <c r="J28" s="56"/>
      <c r="K28" s="57"/>
      <c r="L28" s="54"/>
      <c r="M28" s="32">
        <f>8682+3282</f>
        <v>11964</v>
      </c>
      <c r="N28" s="33">
        <v>22918</v>
      </c>
      <c r="P28" s="34">
        <f t="shared" si="0"/>
        <v>61066</v>
      </c>
      <c r="Q28" s="317">
        <f t="shared" si="1"/>
        <v>0</v>
      </c>
      <c r="R28" s="319">
        <v>0</v>
      </c>
      <c r="U28" s="1">
        <v>60</v>
      </c>
      <c r="V28" t="s">
        <v>240</v>
      </c>
      <c r="W28" s="881"/>
      <c r="X28" s="881"/>
      <c r="Y28" s="882"/>
      <c r="Z28" s="128"/>
    </row>
    <row r="29" spans="1:26" ht="18" thickBot="1" x14ac:dyDescent="0.35">
      <c r="A29" s="23"/>
      <c r="B29" s="24">
        <v>44588</v>
      </c>
      <c r="C29" s="25">
        <v>1751</v>
      </c>
      <c r="D29" s="58" t="s">
        <v>342</v>
      </c>
      <c r="E29" s="27">
        <v>44588</v>
      </c>
      <c r="F29" s="28">
        <v>487994</v>
      </c>
      <c r="G29" s="2"/>
      <c r="H29" s="36">
        <v>44588</v>
      </c>
      <c r="I29" s="30">
        <v>1541</v>
      </c>
      <c r="J29" s="59"/>
      <c r="K29" s="175"/>
      <c r="L29" s="54"/>
      <c r="M29" s="32">
        <f>62811+1115+395460.57+7891.79</f>
        <v>467278.36</v>
      </c>
      <c r="N29" s="33">
        <v>18538</v>
      </c>
      <c r="P29" s="34">
        <f t="shared" si="0"/>
        <v>489108.36</v>
      </c>
      <c r="Q29" s="317">
        <v>0</v>
      </c>
      <c r="R29" s="388">
        <v>1115</v>
      </c>
      <c r="U29" s="336">
        <v>3499</v>
      </c>
      <c r="V29" t="s">
        <v>240</v>
      </c>
      <c r="W29" s="128"/>
      <c r="X29" s="310"/>
      <c r="Y29" s="311"/>
      <c r="Z29" s="128"/>
    </row>
    <row r="30" spans="1:26" ht="18" thickBot="1" x14ac:dyDescent="0.35">
      <c r="A30" s="23"/>
      <c r="B30" s="24">
        <v>44589</v>
      </c>
      <c r="C30" s="25">
        <v>26995.5</v>
      </c>
      <c r="D30" s="58" t="s">
        <v>343</v>
      </c>
      <c r="E30" s="27">
        <v>44589</v>
      </c>
      <c r="F30" s="28">
        <v>93818</v>
      </c>
      <c r="G30" s="2"/>
      <c r="H30" s="36">
        <v>44589</v>
      </c>
      <c r="I30" s="30">
        <v>2252.5</v>
      </c>
      <c r="J30" s="60"/>
      <c r="K30" s="41"/>
      <c r="L30" s="61"/>
      <c r="M30" s="32">
        <v>40300</v>
      </c>
      <c r="N30" s="33">
        <v>24270</v>
      </c>
      <c r="P30" s="34">
        <f t="shared" si="0"/>
        <v>93818</v>
      </c>
      <c r="Q30" s="317">
        <f t="shared" si="1"/>
        <v>0</v>
      </c>
      <c r="R30" s="320"/>
      <c r="U30" s="1">
        <f>SUM(U27:U29)</f>
        <v>7661</v>
      </c>
      <c r="X30" s="225"/>
      <c r="Y30" s="227"/>
    </row>
    <row r="31" spans="1:26" ht="18" thickBot="1" x14ac:dyDescent="0.35">
      <c r="A31" s="23"/>
      <c r="B31" s="24">
        <v>44590</v>
      </c>
      <c r="C31" s="25">
        <v>5625</v>
      </c>
      <c r="D31" s="65" t="s">
        <v>328</v>
      </c>
      <c r="E31" s="27">
        <v>44590</v>
      </c>
      <c r="F31" s="383">
        <v>93087</v>
      </c>
      <c r="G31" s="2"/>
      <c r="H31" s="36">
        <v>44590</v>
      </c>
      <c r="I31" s="384">
        <v>3104.5</v>
      </c>
      <c r="J31" s="60">
        <v>44590</v>
      </c>
      <c r="K31" s="41" t="s">
        <v>344</v>
      </c>
      <c r="L31" s="63">
        <v>12295</v>
      </c>
      <c r="M31" s="32">
        <v>40509.5</v>
      </c>
      <c r="N31" s="33">
        <v>31553</v>
      </c>
      <c r="P31" s="34">
        <f t="shared" si="0"/>
        <v>93087</v>
      </c>
      <c r="Q31" s="287">
        <f t="shared" si="1"/>
        <v>0</v>
      </c>
      <c r="R31" s="321"/>
    </row>
    <row r="32" spans="1:26" ht="18" thickBot="1" x14ac:dyDescent="0.35">
      <c r="A32" s="23"/>
      <c r="B32" s="24">
        <v>44591</v>
      </c>
      <c r="C32" s="25">
        <v>7440</v>
      </c>
      <c r="D32" s="64" t="s">
        <v>347</v>
      </c>
      <c r="E32" s="27">
        <v>44591</v>
      </c>
      <c r="F32" s="28">
        <v>85273</v>
      </c>
      <c r="G32" s="2"/>
      <c r="H32" s="36">
        <v>44591</v>
      </c>
      <c r="I32" s="30">
        <v>1360</v>
      </c>
      <c r="J32" s="60"/>
      <c r="K32" s="41"/>
      <c r="L32" s="61"/>
      <c r="M32" s="32">
        <f>41306+7035</f>
        <v>48341</v>
      </c>
      <c r="N32" s="33">
        <v>28132</v>
      </c>
      <c r="P32" s="34">
        <f t="shared" si="0"/>
        <v>85273</v>
      </c>
      <c r="Q32" s="287">
        <f t="shared" si="1"/>
        <v>0</v>
      </c>
      <c r="R32" s="228">
        <v>2</v>
      </c>
    </row>
    <row r="33" spans="1:18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247"/>
      <c r="L33" s="66"/>
      <c r="M33" s="32">
        <v>0</v>
      </c>
      <c r="N33" s="33">
        <v>0</v>
      </c>
      <c r="P33" s="34">
        <v>0</v>
      </c>
      <c r="Q33" s="287">
        <f t="shared" si="1"/>
        <v>0</v>
      </c>
      <c r="R33" s="228"/>
    </row>
    <row r="34" spans="1:18" ht="18" thickBot="1" x14ac:dyDescent="0.35">
      <c r="A34" s="23"/>
      <c r="B34" s="24">
        <v>44591</v>
      </c>
      <c r="C34" s="25">
        <v>43151.45</v>
      </c>
      <c r="D34" s="64" t="s">
        <v>577</v>
      </c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P34" s="34">
        <v>0</v>
      </c>
      <c r="Q34" s="287">
        <f t="shared" si="1"/>
        <v>0</v>
      </c>
      <c r="R34" s="228"/>
    </row>
    <row r="35" spans="1:18" ht="18" thickBot="1" x14ac:dyDescent="0.35">
      <c r="A35" s="23"/>
      <c r="B35" s="24"/>
      <c r="C35" s="25"/>
      <c r="D35" s="65"/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>
        <v>0</v>
      </c>
      <c r="Q35" s="273">
        <f t="shared" si="1"/>
        <v>0</v>
      </c>
      <c r="R35" s="228"/>
    </row>
    <row r="36" spans="1:18" ht="18" customHeight="1" thickBot="1" x14ac:dyDescent="0.3">
      <c r="A36" s="23"/>
      <c r="B36" s="24"/>
      <c r="C36" s="25"/>
      <c r="D36" s="62"/>
      <c r="E36" s="27"/>
      <c r="F36" s="28"/>
      <c r="G36" s="2"/>
      <c r="H36" s="36"/>
      <c r="I36" s="30"/>
      <c r="J36" s="266" t="s">
        <v>119</v>
      </c>
      <c r="K36" s="250" t="s">
        <v>346</v>
      </c>
      <c r="L36" s="44">
        <v>13275.84</v>
      </c>
      <c r="M36" s="871">
        <f>SUM(M5:M35)</f>
        <v>1818445.73</v>
      </c>
      <c r="N36" s="873">
        <f>SUM(N5:N35)</f>
        <v>739014</v>
      </c>
      <c r="O36" s="276"/>
      <c r="P36" s="277">
        <v>0</v>
      </c>
      <c r="Q36" s="875">
        <f>SUM(Q5:Q35)</f>
        <v>-7.2800000000133878</v>
      </c>
      <c r="R36" s="228"/>
    </row>
    <row r="37" spans="1:18" ht="18" customHeight="1" thickBot="1" x14ac:dyDescent="0.3">
      <c r="A37" s="23"/>
      <c r="B37" s="24"/>
      <c r="C37" s="25"/>
      <c r="D37" s="65"/>
      <c r="E37" s="27"/>
      <c r="F37" s="28"/>
      <c r="G37" s="2"/>
      <c r="H37" s="36"/>
      <c r="I37" s="30"/>
      <c r="J37" s="60" t="s">
        <v>119</v>
      </c>
      <c r="K37" s="41" t="s">
        <v>337</v>
      </c>
      <c r="L37" s="61">
        <v>15060.32</v>
      </c>
      <c r="M37" s="872"/>
      <c r="N37" s="874"/>
      <c r="O37" s="276"/>
      <c r="P37" s="277">
        <v>0</v>
      </c>
      <c r="Q37" s="876"/>
      <c r="R37" s="227" t="s">
        <v>7</v>
      </c>
    </row>
    <row r="38" spans="1:18" ht="18" thickBot="1" x14ac:dyDescent="0.35">
      <c r="A38" s="23"/>
      <c r="B38" s="24"/>
      <c r="C38" s="25"/>
      <c r="D38" s="65"/>
      <c r="E38" s="27"/>
      <c r="F38" s="28"/>
      <c r="G38" s="2"/>
      <c r="H38" s="36"/>
      <c r="I38" s="30"/>
      <c r="J38" s="60"/>
      <c r="K38" s="177"/>
      <c r="L38" s="61"/>
      <c r="M38" s="270"/>
      <c r="N38" s="271"/>
      <c r="P38" s="151">
        <v>0</v>
      </c>
      <c r="Q38" s="274"/>
    </row>
    <row r="39" spans="1:18" ht="19.5" thickBot="1" x14ac:dyDescent="0.35">
      <c r="A39" s="23"/>
      <c r="B39" s="24"/>
      <c r="C39" s="69"/>
      <c r="D39" s="62"/>
      <c r="E39" s="27"/>
      <c r="F39" s="70"/>
      <c r="G39" s="2"/>
      <c r="H39" s="36"/>
      <c r="I39" s="71"/>
      <c r="J39" s="60" t="s">
        <v>575</v>
      </c>
      <c r="K39" s="177" t="s">
        <v>576</v>
      </c>
      <c r="L39" s="61">
        <v>13803.92</v>
      </c>
      <c r="M39" s="278"/>
      <c r="N39" s="278"/>
      <c r="P39" s="34">
        <f>SUM(P5:P38)</f>
        <v>2973429.28</v>
      </c>
      <c r="Q39" s="275"/>
    </row>
    <row r="40" spans="1:18" ht="18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18" ht="18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18" ht="18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51" t="s">
        <v>332</v>
      </c>
      <c r="K42" s="173" t="s">
        <v>325</v>
      </c>
      <c r="L42" s="52">
        <v>6175</v>
      </c>
      <c r="M42" s="269"/>
      <c r="N42" s="269"/>
      <c r="P42" s="34"/>
      <c r="Q42" s="13"/>
    </row>
    <row r="43" spans="1:18" ht="18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50" t="s">
        <v>332</v>
      </c>
      <c r="K43" s="38" t="s">
        <v>331</v>
      </c>
      <c r="L43" s="54">
        <v>7251.17</v>
      </c>
      <c r="M43" s="269"/>
      <c r="N43" s="269"/>
      <c r="P43" s="34"/>
      <c r="Q43" s="13"/>
    </row>
    <row r="44" spans="1:18" ht="18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18" ht="18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18" ht="18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18" ht="18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18" ht="18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355889.13</v>
      </c>
      <c r="D50" s="88"/>
      <c r="E50" s="89" t="s">
        <v>8</v>
      </c>
      <c r="F50" s="90">
        <f>SUM(F5:F49)</f>
        <v>2593158</v>
      </c>
      <c r="G50" s="88"/>
      <c r="H50" s="91" t="s">
        <v>9</v>
      </c>
      <c r="I50" s="92">
        <f>SUM(I5:I49)</f>
        <v>51099.9</v>
      </c>
      <c r="J50" s="93"/>
      <c r="K50" s="94" t="s">
        <v>10</v>
      </c>
      <c r="L50" s="95">
        <f>SUM(L5:L49)</f>
        <v>107698.22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848" t="s">
        <v>11</v>
      </c>
      <c r="I52" s="849"/>
      <c r="J52" s="100"/>
      <c r="K52" s="850">
        <f>I50+L50</f>
        <v>158798.12</v>
      </c>
      <c r="L52" s="877"/>
      <c r="M52" s="272"/>
      <c r="N52" s="272"/>
      <c r="P52" s="34"/>
      <c r="Q52" s="13"/>
    </row>
    <row r="53" spans="1:17" x14ac:dyDescent="0.25">
      <c r="D53" s="854" t="s">
        <v>12</v>
      </c>
      <c r="E53" s="854"/>
      <c r="F53" s="312">
        <f>F50-K52-C50</f>
        <v>2078470.75</v>
      </c>
      <c r="I53" s="102"/>
      <c r="J53" s="103"/>
    </row>
    <row r="54" spans="1:17" ht="18.75" x14ac:dyDescent="0.3">
      <c r="D54" s="878" t="s">
        <v>95</v>
      </c>
      <c r="E54" s="878"/>
      <c r="F54" s="111">
        <v>-1448401.2</v>
      </c>
      <c r="I54" s="855" t="s">
        <v>13</v>
      </c>
      <c r="J54" s="856"/>
      <c r="K54" s="857">
        <f>F56+F57+F58</f>
        <v>1025960.7</v>
      </c>
      <c r="L54" s="857"/>
      <c r="M54" s="404"/>
      <c r="N54" s="404"/>
      <c r="O54" s="404"/>
      <c r="P54" s="404"/>
      <c r="Q54" s="404"/>
    </row>
    <row r="55" spans="1:17" ht="19.5" thickBot="1" x14ac:dyDescent="0.35">
      <c r="D55" s="313" t="s">
        <v>94</v>
      </c>
      <c r="E55" s="314"/>
      <c r="F55" s="315">
        <v>-909001.26</v>
      </c>
      <c r="I55" s="105"/>
      <c r="J55" s="106"/>
      <c r="K55" s="178"/>
      <c r="L55" s="107"/>
      <c r="M55" s="404"/>
      <c r="N55" s="404"/>
      <c r="O55" s="404"/>
      <c r="P55" s="404"/>
      <c r="Q55" s="404"/>
    </row>
    <row r="56" spans="1:17" ht="19.5" thickTop="1" x14ac:dyDescent="0.3">
      <c r="C56" s="4" t="s">
        <v>7</v>
      </c>
      <c r="E56" s="98" t="s">
        <v>14</v>
      </c>
      <c r="F56" s="96">
        <f>SUM(F53:F55)</f>
        <v>-278931.70999999996</v>
      </c>
      <c r="H56" s="23"/>
      <c r="I56" s="108" t="s">
        <v>15</v>
      </c>
      <c r="J56" s="109"/>
      <c r="K56" s="859">
        <f>-C4</f>
        <v>-754143.23</v>
      </c>
      <c r="L56" s="860"/>
    </row>
    <row r="57" spans="1:17" ht="16.5" thickBot="1" x14ac:dyDescent="0.3">
      <c r="D57" s="110" t="s">
        <v>16</v>
      </c>
      <c r="E57" s="98" t="s">
        <v>17</v>
      </c>
      <c r="F57" s="111">
        <v>155152</v>
      </c>
    </row>
    <row r="58" spans="1:17" ht="20.25" thickTop="1" thickBot="1" x14ac:dyDescent="0.35">
      <c r="C58" s="112">
        <v>44591</v>
      </c>
      <c r="D58" s="837" t="s">
        <v>18</v>
      </c>
      <c r="E58" s="838"/>
      <c r="F58" s="113">
        <v>1149740.4099999999</v>
      </c>
      <c r="I58" s="839" t="s">
        <v>198</v>
      </c>
      <c r="J58" s="840"/>
      <c r="K58" s="841">
        <f>K54+K56</f>
        <v>271817.46999999997</v>
      </c>
      <c r="L58" s="841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29">
    <mergeCell ref="Y27:Y28"/>
    <mergeCell ref="M36:M37"/>
    <mergeCell ref="N36:N37"/>
    <mergeCell ref="Q36:Q37"/>
    <mergeCell ref="D58:E58"/>
    <mergeCell ref="I58:J58"/>
    <mergeCell ref="K58:L58"/>
    <mergeCell ref="D53:E53"/>
    <mergeCell ref="D54:E54"/>
    <mergeCell ref="I54:J54"/>
    <mergeCell ref="K54:L54"/>
    <mergeCell ref="K56:L56"/>
    <mergeCell ref="H52:I52"/>
    <mergeCell ref="K52:L52"/>
    <mergeCell ref="W26:X26"/>
    <mergeCell ref="R3:R4"/>
    <mergeCell ref="W27:X28"/>
    <mergeCell ref="B1:B2"/>
    <mergeCell ref="C1:M1"/>
    <mergeCell ref="B3:C3"/>
    <mergeCell ref="H3:I3"/>
    <mergeCell ref="P3:P4"/>
    <mergeCell ref="E4:F4"/>
    <mergeCell ref="H4:I4"/>
    <mergeCell ref="W4:X5"/>
    <mergeCell ref="W19:W20"/>
    <mergeCell ref="W21:X21"/>
    <mergeCell ref="W23:X24"/>
    <mergeCell ref="W25:X25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Q115"/>
  <sheetViews>
    <sheetView topLeftCell="F28" workbookViewId="0">
      <selection activeCell="M46" sqref="M46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6" bestFit="1" customWidth="1"/>
    <col min="13" max="13" width="15.140625" style="4" bestFit="1" customWidth="1"/>
    <col min="14" max="14" width="19.5703125" style="3" bestFit="1" customWidth="1"/>
    <col min="17" max="17" width="13.85546875" bestFit="1" customWidth="1"/>
  </cols>
  <sheetData>
    <row r="1" spans="1:14" ht="43.5" thickTop="1" thickBot="1" x14ac:dyDescent="0.3">
      <c r="A1" s="290" t="s">
        <v>317</v>
      </c>
      <c r="B1" s="291"/>
      <c r="C1" s="292"/>
      <c r="D1" s="371"/>
      <c r="E1" s="292"/>
      <c r="F1" s="378" t="s">
        <v>314</v>
      </c>
      <c r="I1" s="301" t="s">
        <v>318</v>
      </c>
      <c r="J1" s="302"/>
      <c r="K1" s="303"/>
      <c r="L1" s="467"/>
      <c r="M1" s="303"/>
      <c r="N1" s="377" t="s">
        <v>314</v>
      </c>
    </row>
    <row r="2" spans="1:14" ht="21.75" customHeight="1" thickTop="1" thickBot="1" x14ac:dyDescent="0.35">
      <c r="A2" s="297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1:14" ht="15.75" x14ac:dyDescent="0.25">
      <c r="A3" s="393" t="s">
        <v>348</v>
      </c>
      <c r="B3" s="394" t="s">
        <v>374</v>
      </c>
      <c r="C3" s="392">
        <v>52139.3</v>
      </c>
      <c r="D3" s="405">
        <v>44589</v>
      </c>
      <c r="E3" s="392">
        <v>52139.3</v>
      </c>
      <c r="F3" s="392">
        <f>C3-E3</f>
        <v>0</v>
      </c>
      <c r="I3" s="390" t="s">
        <v>348</v>
      </c>
      <c r="J3" s="391">
        <v>8177</v>
      </c>
      <c r="K3" s="392">
        <v>594.17999999999995</v>
      </c>
      <c r="L3" s="468">
        <v>44593</v>
      </c>
      <c r="M3" s="392">
        <v>594.17999999999995</v>
      </c>
      <c r="N3" s="183">
        <f>K3-M3</f>
        <v>0</v>
      </c>
    </row>
    <row r="4" spans="1:14" ht="18.75" x14ac:dyDescent="0.3">
      <c r="A4" s="393" t="s">
        <v>348</v>
      </c>
      <c r="B4" s="394" t="s">
        <v>375</v>
      </c>
      <c r="C4" s="392">
        <v>22993.599999999999</v>
      </c>
      <c r="D4" s="405">
        <v>44589</v>
      </c>
      <c r="E4" s="392">
        <v>22993.599999999999</v>
      </c>
      <c r="F4" s="392">
        <f t="shared" ref="F4:F46" si="0">C4-E4</f>
        <v>0</v>
      </c>
      <c r="G4" s="138"/>
      <c r="I4" s="390" t="s">
        <v>348</v>
      </c>
      <c r="J4" s="391">
        <v>8176</v>
      </c>
      <c r="K4" s="392">
        <v>388.8</v>
      </c>
      <c r="L4" s="468">
        <v>44593</v>
      </c>
      <c r="M4" s="392">
        <v>388.8</v>
      </c>
      <c r="N4" s="137">
        <f>N3+K4-M4</f>
        <v>0</v>
      </c>
    </row>
    <row r="5" spans="1:14" ht="15.75" x14ac:dyDescent="0.25">
      <c r="A5" s="393" t="s">
        <v>350</v>
      </c>
      <c r="B5" s="394" t="s">
        <v>376</v>
      </c>
      <c r="C5" s="392">
        <v>12157.4</v>
      </c>
      <c r="D5" s="405">
        <v>44589</v>
      </c>
      <c r="E5" s="392">
        <v>12157.4</v>
      </c>
      <c r="F5" s="392">
        <f t="shared" si="0"/>
        <v>0</v>
      </c>
      <c r="I5" s="390" t="s">
        <v>348</v>
      </c>
      <c r="J5" s="391">
        <v>8179</v>
      </c>
      <c r="K5" s="392">
        <v>19510.8</v>
      </c>
      <c r="L5" s="468">
        <v>44593</v>
      </c>
      <c r="M5" s="392">
        <v>19510.8</v>
      </c>
      <c r="N5" s="137">
        <f t="shared" ref="N5:N73" si="1">N4+K5-M5</f>
        <v>0</v>
      </c>
    </row>
    <row r="6" spans="1:14" ht="15.75" x14ac:dyDescent="0.25">
      <c r="A6" s="393" t="s">
        <v>351</v>
      </c>
      <c r="B6" s="394" t="s">
        <v>377</v>
      </c>
      <c r="C6" s="392">
        <v>39663.4</v>
      </c>
      <c r="D6" s="405">
        <v>44589</v>
      </c>
      <c r="E6" s="392">
        <v>39663.4</v>
      </c>
      <c r="F6" s="392">
        <f t="shared" si="0"/>
        <v>0</v>
      </c>
      <c r="I6" s="390" t="s">
        <v>350</v>
      </c>
      <c r="J6" s="391">
        <v>8193</v>
      </c>
      <c r="K6" s="392">
        <v>1380.6</v>
      </c>
      <c r="L6" s="468">
        <v>44593</v>
      </c>
      <c r="M6" s="392">
        <v>1380.6</v>
      </c>
      <c r="N6" s="137">
        <f t="shared" si="1"/>
        <v>0</v>
      </c>
    </row>
    <row r="7" spans="1:14" ht="15.75" x14ac:dyDescent="0.25">
      <c r="A7" s="393" t="s">
        <v>351</v>
      </c>
      <c r="B7" s="394" t="s">
        <v>378</v>
      </c>
      <c r="C7" s="392">
        <v>16690</v>
      </c>
      <c r="D7" s="405">
        <v>44589</v>
      </c>
      <c r="E7" s="392">
        <v>16690</v>
      </c>
      <c r="F7" s="392">
        <f t="shared" si="0"/>
        <v>0</v>
      </c>
      <c r="I7" s="390" t="s">
        <v>350</v>
      </c>
      <c r="J7" s="391">
        <v>8194</v>
      </c>
      <c r="K7" s="392">
        <v>247.32</v>
      </c>
      <c r="L7" s="468">
        <v>44593</v>
      </c>
      <c r="M7" s="392">
        <v>247.32</v>
      </c>
      <c r="N7" s="137">
        <f t="shared" si="1"/>
        <v>0</v>
      </c>
    </row>
    <row r="8" spans="1:14" ht="15.75" x14ac:dyDescent="0.25">
      <c r="A8" s="393" t="s">
        <v>352</v>
      </c>
      <c r="B8" s="394" t="s">
        <v>379</v>
      </c>
      <c r="C8" s="392">
        <v>16161</v>
      </c>
      <c r="D8" s="405">
        <v>44589</v>
      </c>
      <c r="E8" s="392">
        <v>16161</v>
      </c>
      <c r="F8" s="392">
        <f t="shared" si="0"/>
        <v>0</v>
      </c>
      <c r="I8" s="390" t="s">
        <v>350</v>
      </c>
      <c r="J8" s="391">
        <v>8196</v>
      </c>
      <c r="K8" s="392">
        <v>80126.8</v>
      </c>
      <c r="L8" s="468">
        <v>44593</v>
      </c>
      <c r="M8" s="392">
        <v>80126.8</v>
      </c>
      <c r="N8" s="137">
        <f t="shared" si="1"/>
        <v>0</v>
      </c>
    </row>
    <row r="9" spans="1:14" ht="15.75" x14ac:dyDescent="0.25">
      <c r="A9" s="393" t="s">
        <v>352</v>
      </c>
      <c r="B9" s="394" t="s">
        <v>380</v>
      </c>
      <c r="C9" s="392">
        <v>4375</v>
      </c>
      <c r="D9" s="405">
        <v>44589</v>
      </c>
      <c r="E9" s="392">
        <v>4375</v>
      </c>
      <c r="F9" s="392">
        <f t="shared" si="0"/>
        <v>0</v>
      </c>
      <c r="I9" s="390" t="s">
        <v>351</v>
      </c>
      <c r="J9" s="391">
        <v>8200</v>
      </c>
      <c r="K9" s="392">
        <v>5165.9799999999996</v>
      </c>
      <c r="L9" s="468">
        <v>44593</v>
      </c>
      <c r="M9" s="392">
        <v>5165.9799999999996</v>
      </c>
      <c r="N9" s="137">
        <f t="shared" si="1"/>
        <v>0</v>
      </c>
    </row>
    <row r="10" spans="1:14" ht="18.75" x14ac:dyDescent="0.3">
      <c r="A10" s="393" t="s">
        <v>353</v>
      </c>
      <c r="B10" s="394" t="s">
        <v>381</v>
      </c>
      <c r="C10" s="392">
        <v>88022.6</v>
      </c>
      <c r="D10" s="405">
        <v>44589</v>
      </c>
      <c r="E10" s="392">
        <v>88022.6</v>
      </c>
      <c r="F10" s="392">
        <f t="shared" si="0"/>
        <v>0</v>
      </c>
      <c r="G10" s="138"/>
      <c r="I10" s="390" t="s">
        <v>351</v>
      </c>
      <c r="J10" s="391">
        <v>8204</v>
      </c>
      <c r="K10" s="392">
        <v>3258.1</v>
      </c>
      <c r="L10" s="468">
        <v>44593</v>
      </c>
      <c r="M10" s="392">
        <v>3258.1</v>
      </c>
      <c r="N10" s="137">
        <f t="shared" si="1"/>
        <v>0</v>
      </c>
    </row>
    <row r="11" spans="1:14" ht="15.75" x14ac:dyDescent="0.25">
      <c r="A11" s="393" t="s">
        <v>353</v>
      </c>
      <c r="B11" s="394" t="s">
        <v>382</v>
      </c>
      <c r="C11" s="392">
        <v>6223.4</v>
      </c>
      <c r="D11" s="405">
        <v>44589</v>
      </c>
      <c r="E11" s="392">
        <v>6223.4</v>
      </c>
      <c r="F11" s="392">
        <f t="shared" si="0"/>
        <v>0</v>
      </c>
      <c r="I11" s="390" t="s">
        <v>351</v>
      </c>
      <c r="J11" s="391">
        <v>8205</v>
      </c>
      <c r="K11" s="392">
        <v>472</v>
      </c>
      <c r="L11" s="468">
        <v>44593</v>
      </c>
      <c r="M11" s="392">
        <v>472</v>
      </c>
      <c r="N11" s="137">
        <f t="shared" si="1"/>
        <v>0</v>
      </c>
    </row>
    <row r="12" spans="1:14" ht="15.75" x14ac:dyDescent="0.25">
      <c r="A12" s="393" t="s">
        <v>354</v>
      </c>
      <c r="B12" s="394" t="s">
        <v>383</v>
      </c>
      <c r="C12" s="392">
        <v>1350</v>
      </c>
      <c r="D12" s="405">
        <v>44589</v>
      </c>
      <c r="E12" s="392">
        <v>1350</v>
      </c>
      <c r="F12" s="392">
        <f t="shared" si="0"/>
        <v>0</v>
      </c>
      <c r="I12" s="390" t="s">
        <v>352</v>
      </c>
      <c r="J12" s="391">
        <v>8208</v>
      </c>
      <c r="K12" s="392">
        <v>2558.1799999999998</v>
      </c>
      <c r="L12" s="468">
        <v>44593</v>
      </c>
      <c r="M12" s="392">
        <v>2558.1799999999998</v>
      </c>
      <c r="N12" s="137">
        <f t="shared" si="1"/>
        <v>0</v>
      </c>
    </row>
    <row r="13" spans="1:14" ht="15.75" x14ac:dyDescent="0.25">
      <c r="A13" s="393" t="s">
        <v>354</v>
      </c>
      <c r="B13" s="394" t="s">
        <v>384</v>
      </c>
      <c r="C13" s="392">
        <v>54930.2</v>
      </c>
      <c r="D13" s="405">
        <v>44589</v>
      </c>
      <c r="E13" s="392">
        <v>54930.2</v>
      </c>
      <c r="F13" s="392">
        <f t="shared" si="0"/>
        <v>0</v>
      </c>
      <c r="I13" s="390" t="s">
        <v>353</v>
      </c>
      <c r="J13" s="391">
        <v>8216</v>
      </c>
      <c r="K13" s="392">
        <v>11429.6</v>
      </c>
      <c r="L13" s="468">
        <v>44593</v>
      </c>
      <c r="M13" s="392">
        <v>11429.6</v>
      </c>
      <c r="N13" s="137">
        <f t="shared" si="1"/>
        <v>0</v>
      </c>
    </row>
    <row r="14" spans="1:14" ht="15.75" x14ac:dyDescent="0.25">
      <c r="A14" s="393" t="s">
        <v>354</v>
      </c>
      <c r="B14" s="394" t="s">
        <v>385</v>
      </c>
      <c r="C14" s="392">
        <v>381</v>
      </c>
      <c r="D14" s="405">
        <v>44589</v>
      </c>
      <c r="E14" s="392">
        <v>381</v>
      </c>
      <c r="F14" s="392">
        <f t="shared" si="0"/>
        <v>0</v>
      </c>
      <c r="I14" s="390" t="s">
        <v>354</v>
      </c>
      <c r="J14" s="391">
        <v>8228</v>
      </c>
      <c r="K14" s="392">
        <v>1470</v>
      </c>
      <c r="L14" s="468">
        <v>44593</v>
      </c>
      <c r="M14" s="392">
        <v>1470</v>
      </c>
      <c r="N14" s="137">
        <f t="shared" si="1"/>
        <v>0</v>
      </c>
    </row>
    <row r="15" spans="1:14" ht="15.75" x14ac:dyDescent="0.25">
      <c r="A15" s="393" t="s">
        <v>354</v>
      </c>
      <c r="B15" s="394" t="s">
        <v>386</v>
      </c>
      <c r="C15" s="392">
        <v>32571.32</v>
      </c>
      <c r="D15" s="405">
        <v>44589</v>
      </c>
      <c r="E15" s="392">
        <v>32571.32</v>
      </c>
      <c r="F15" s="392">
        <f t="shared" si="0"/>
        <v>0</v>
      </c>
      <c r="I15" s="390" t="s">
        <v>355</v>
      </c>
      <c r="J15" s="391">
        <v>8240</v>
      </c>
      <c r="K15" s="392">
        <v>1407</v>
      </c>
      <c r="L15" s="468">
        <v>44593</v>
      </c>
      <c r="M15" s="392">
        <v>1407</v>
      </c>
      <c r="N15" s="137">
        <f t="shared" si="1"/>
        <v>0</v>
      </c>
    </row>
    <row r="16" spans="1:14" ht="15.75" x14ac:dyDescent="0.25">
      <c r="A16" s="393" t="s">
        <v>355</v>
      </c>
      <c r="B16" s="394" t="s">
        <v>387</v>
      </c>
      <c r="C16" s="392">
        <v>40306.14</v>
      </c>
      <c r="D16" s="405">
        <v>44589</v>
      </c>
      <c r="E16" s="392">
        <v>40306.14</v>
      </c>
      <c r="F16" s="392">
        <f t="shared" si="0"/>
        <v>0</v>
      </c>
      <c r="I16" s="390" t="s">
        <v>355</v>
      </c>
      <c r="J16" s="391">
        <v>8245</v>
      </c>
      <c r="K16" s="392">
        <v>120922.4</v>
      </c>
      <c r="L16" s="468">
        <v>44593</v>
      </c>
      <c r="M16" s="392">
        <v>120922.4</v>
      </c>
      <c r="N16" s="137">
        <f t="shared" si="1"/>
        <v>0</v>
      </c>
    </row>
    <row r="17" spans="1:17" ht="15.75" x14ac:dyDescent="0.25">
      <c r="A17" s="393" t="s">
        <v>356</v>
      </c>
      <c r="B17" s="394" t="s">
        <v>388</v>
      </c>
      <c r="C17" s="392">
        <v>0</v>
      </c>
      <c r="D17" s="406" t="s">
        <v>412</v>
      </c>
      <c r="E17" s="392">
        <v>0</v>
      </c>
      <c r="F17" s="392">
        <f t="shared" si="0"/>
        <v>0</v>
      </c>
      <c r="I17" s="390" t="s">
        <v>355</v>
      </c>
      <c r="J17" s="391">
        <v>8247</v>
      </c>
      <c r="K17" s="392">
        <v>4686.3999999999996</v>
      </c>
      <c r="L17" s="468">
        <v>44593</v>
      </c>
      <c r="M17" s="392">
        <v>4686.3999999999996</v>
      </c>
      <c r="N17" s="137">
        <f t="shared" si="1"/>
        <v>0</v>
      </c>
    </row>
    <row r="18" spans="1:17" ht="15.75" x14ac:dyDescent="0.25">
      <c r="A18" s="393" t="s">
        <v>356</v>
      </c>
      <c r="B18" s="394" t="s">
        <v>389</v>
      </c>
      <c r="C18" s="392">
        <v>87756.3</v>
      </c>
      <c r="D18" s="405">
        <v>44589</v>
      </c>
      <c r="E18" s="392">
        <v>87756.3</v>
      </c>
      <c r="F18" s="392">
        <f t="shared" si="0"/>
        <v>0</v>
      </c>
      <c r="I18" s="390" t="s">
        <v>356</v>
      </c>
      <c r="J18" s="391">
        <v>8249</v>
      </c>
      <c r="K18" s="392">
        <v>5822.6</v>
      </c>
      <c r="L18" s="468">
        <v>44593</v>
      </c>
      <c r="M18" s="392">
        <v>5822.6</v>
      </c>
      <c r="N18" s="137">
        <f t="shared" si="1"/>
        <v>0</v>
      </c>
    </row>
    <row r="19" spans="1:17" ht="15.75" x14ac:dyDescent="0.25">
      <c r="A19" s="393" t="s">
        <v>357</v>
      </c>
      <c r="B19" s="394" t="s">
        <v>390</v>
      </c>
      <c r="C19" s="392">
        <v>92082.85</v>
      </c>
      <c r="D19" s="405">
        <v>44589</v>
      </c>
      <c r="E19" s="392">
        <v>92082.85</v>
      </c>
      <c r="F19" s="392">
        <f t="shared" si="0"/>
        <v>0</v>
      </c>
      <c r="I19" s="390" t="s">
        <v>356</v>
      </c>
      <c r="J19" s="391">
        <v>8251</v>
      </c>
      <c r="K19" s="392">
        <v>1530.8</v>
      </c>
      <c r="L19" s="468">
        <v>44593</v>
      </c>
      <c r="M19" s="392">
        <v>1530.8</v>
      </c>
      <c r="N19" s="137">
        <f t="shared" si="1"/>
        <v>0</v>
      </c>
    </row>
    <row r="20" spans="1:17" ht="15.75" x14ac:dyDescent="0.25">
      <c r="A20" s="393" t="s">
        <v>358</v>
      </c>
      <c r="B20" s="394" t="s">
        <v>391</v>
      </c>
      <c r="C20" s="392">
        <v>28628.81</v>
      </c>
      <c r="D20" s="405">
        <v>44589</v>
      </c>
      <c r="E20" s="392">
        <v>28628.81</v>
      </c>
      <c r="F20" s="392">
        <f t="shared" si="0"/>
        <v>0</v>
      </c>
      <c r="I20" s="390" t="s">
        <v>357</v>
      </c>
      <c r="J20" s="391">
        <v>8256</v>
      </c>
      <c r="K20" s="392">
        <v>10637</v>
      </c>
      <c r="L20" s="468">
        <v>44593</v>
      </c>
      <c r="M20" s="392">
        <v>10637</v>
      </c>
      <c r="N20" s="137">
        <f t="shared" si="1"/>
        <v>0</v>
      </c>
    </row>
    <row r="21" spans="1:17" ht="15.75" x14ac:dyDescent="0.25">
      <c r="A21" s="393" t="s">
        <v>358</v>
      </c>
      <c r="B21" s="394" t="s">
        <v>392</v>
      </c>
      <c r="C21" s="392">
        <v>214.8</v>
      </c>
      <c r="D21" s="405">
        <v>44589</v>
      </c>
      <c r="E21" s="392">
        <v>214.8</v>
      </c>
      <c r="F21" s="392">
        <f t="shared" si="0"/>
        <v>0</v>
      </c>
      <c r="I21" s="390" t="s">
        <v>358</v>
      </c>
      <c r="J21" s="391">
        <v>8270</v>
      </c>
      <c r="K21" s="392">
        <v>1146.2</v>
      </c>
      <c r="L21" s="468">
        <v>44593</v>
      </c>
      <c r="M21" s="392">
        <v>1146.2</v>
      </c>
      <c r="N21" s="137">
        <f t="shared" si="1"/>
        <v>0</v>
      </c>
    </row>
    <row r="22" spans="1:17" ht="18.75" x14ac:dyDescent="0.3">
      <c r="A22" s="393" t="s">
        <v>359</v>
      </c>
      <c r="B22" s="394" t="s">
        <v>393</v>
      </c>
      <c r="C22" s="392">
        <v>53381.2</v>
      </c>
      <c r="D22" s="405">
        <v>44589</v>
      </c>
      <c r="E22" s="392">
        <v>53381.2</v>
      </c>
      <c r="F22" s="392">
        <f t="shared" si="0"/>
        <v>0</v>
      </c>
      <c r="G22" s="138"/>
      <c r="I22" s="390" t="s">
        <v>358</v>
      </c>
      <c r="J22" s="391">
        <v>8273</v>
      </c>
      <c r="K22" s="392">
        <v>141067.6</v>
      </c>
      <c r="L22" s="468">
        <v>44593</v>
      </c>
      <c r="M22" s="392">
        <v>141067.6</v>
      </c>
      <c r="N22" s="137">
        <f t="shared" si="1"/>
        <v>0</v>
      </c>
    </row>
    <row r="23" spans="1:17" ht="15.75" x14ac:dyDescent="0.25">
      <c r="A23" s="393" t="s">
        <v>359</v>
      </c>
      <c r="B23" s="394" t="s">
        <v>394</v>
      </c>
      <c r="C23" s="392">
        <v>558</v>
      </c>
      <c r="D23" s="405">
        <v>44589</v>
      </c>
      <c r="E23" s="392">
        <v>558</v>
      </c>
      <c r="F23" s="392">
        <f t="shared" si="0"/>
        <v>0</v>
      </c>
      <c r="I23" s="390" t="s">
        <v>358</v>
      </c>
      <c r="J23" s="391">
        <v>8274</v>
      </c>
      <c r="K23" s="392">
        <v>5205.2</v>
      </c>
      <c r="L23" s="468">
        <v>44593</v>
      </c>
      <c r="M23" s="392">
        <v>5205.2</v>
      </c>
      <c r="N23" s="137">
        <f t="shared" si="1"/>
        <v>0</v>
      </c>
    </row>
    <row r="24" spans="1:17" ht="15.75" x14ac:dyDescent="0.25">
      <c r="A24" s="393" t="s">
        <v>360</v>
      </c>
      <c r="B24" s="394" t="s">
        <v>395</v>
      </c>
      <c r="C24" s="392">
        <v>81629.2</v>
      </c>
      <c r="D24" s="405">
        <v>44589</v>
      </c>
      <c r="E24" s="392">
        <v>81629.2</v>
      </c>
      <c r="F24" s="392">
        <f t="shared" si="0"/>
        <v>0</v>
      </c>
      <c r="I24" s="390" t="s">
        <v>359</v>
      </c>
      <c r="J24" s="391">
        <v>8279</v>
      </c>
      <c r="K24" s="392">
        <v>1487</v>
      </c>
      <c r="L24" s="468">
        <v>44593</v>
      </c>
      <c r="M24" s="392">
        <v>1487</v>
      </c>
      <c r="N24" s="137">
        <f t="shared" si="1"/>
        <v>0</v>
      </c>
    </row>
    <row r="25" spans="1:17" ht="15.75" x14ac:dyDescent="0.25">
      <c r="A25" s="393" t="s">
        <v>361</v>
      </c>
      <c r="B25" s="394" t="s">
        <v>396</v>
      </c>
      <c r="C25" s="392">
        <v>6085</v>
      </c>
      <c r="D25" s="405">
        <v>44589</v>
      </c>
      <c r="E25" s="392">
        <v>6085</v>
      </c>
      <c r="F25" s="392">
        <f t="shared" si="0"/>
        <v>0</v>
      </c>
      <c r="I25" s="390" t="s">
        <v>359</v>
      </c>
      <c r="J25" s="391">
        <v>8283</v>
      </c>
      <c r="K25" s="392">
        <v>71469.2</v>
      </c>
      <c r="L25" s="468">
        <v>44593</v>
      </c>
      <c r="M25" s="392">
        <v>71469.2</v>
      </c>
      <c r="N25" s="137">
        <f t="shared" si="1"/>
        <v>0</v>
      </c>
    </row>
    <row r="26" spans="1:17" ht="15.75" x14ac:dyDescent="0.25">
      <c r="A26" s="393" t="s">
        <v>362</v>
      </c>
      <c r="B26" s="394" t="s">
        <v>397</v>
      </c>
      <c r="C26" s="392">
        <v>42951.199999999997</v>
      </c>
      <c r="D26" s="405">
        <v>44589</v>
      </c>
      <c r="E26" s="392">
        <v>42951.199999999997</v>
      </c>
      <c r="F26" s="392">
        <f t="shared" si="0"/>
        <v>0</v>
      </c>
      <c r="I26" s="390" t="s">
        <v>360</v>
      </c>
      <c r="J26" s="391">
        <v>8284</v>
      </c>
      <c r="K26" s="392">
        <v>2041.4</v>
      </c>
      <c r="L26" s="468">
        <v>44593</v>
      </c>
      <c r="M26" s="392">
        <v>2041.4</v>
      </c>
      <c r="N26" s="137">
        <f t="shared" si="1"/>
        <v>0</v>
      </c>
    </row>
    <row r="27" spans="1:17" ht="15.75" x14ac:dyDescent="0.25">
      <c r="A27" s="393" t="s">
        <v>363</v>
      </c>
      <c r="B27" s="394" t="s">
        <v>398</v>
      </c>
      <c r="C27" s="392">
        <v>0</v>
      </c>
      <c r="D27" s="406" t="s">
        <v>412</v>
      </c>
      <c r="E27" s="392">
        <v>0</v>
      </c>
      <c r="F27" s="392">
        <f t="shared" si="0"/>
        <v>0</v>
      </c>
      <c r="I27" s="390" t="s">
        <v>361</v>
      </c>
      <c r="J27" s="391">
        <v>8300</v>
      </c>
      <c r="K27" s="392">
        <v>5828</v>
      </c>
      <c r="L27" s="468">
        <v>44593</v>
      </c>
      <c r="M27" s="392">
        <v>5828</v>
      </c>
      <c r="N27" s="137">
        <f t="shared" si="1"/>
        <v>0</v>
      </c>
    </row>
    <row r="28" spans="1:17" ht="15.75" x14ac:dyDescent="0.25">
      <c r="A28" s="393" t="s">
        <v>363</v>
      </c>
      <c r="B28" s="394" t="s">
        <v>399</v>
      </c>
      <c r="C28" s="392">
        <v>40814.9</v>
      </c>
      <c r="D28" s="405">
        <v>44589</v>
      </c>
      <c r="E28" s="392">
        <v>40814.9</v>
      </c>
      <c r="F28" s="392">
        <f t="shared" si="0"/>
        <v>0</v>
      </c>
      <c r="I28" s="390" t="s">
        <v>362</v>
      </c>
      <c r="J28" s="391">
        <v>8312</v>
      </c>
      <c r="K28" s="392">
        <v>2464</v>
      </c>
      <c r="L28" s="468">
        <v>44593</v>
      </c>
      <c r="M28" s="392">
        <v>2464</v>
      </c>
      <c r="N28" s="137">
        <f t="shared" si="1"/>
        <v>0</v>
      </c>
    </row>
    <row r="29" spans="1:17" ht="15.75" x14ac:dyDescent="0.25">
      <c r="A29" s="393" t="s">
        <v>364</v>
      </c>
      <c r="B29" s="394" t="s">
        <v>400</v>
      </c>
      <c r="C29" s="392">
        <v>84819.68</v>
      </c>
      <c r="D29" s="405">
        <v>44589</v>
      </c>
      <c r="E29" s="392">
        <v>84819.68</v>
      </c>
      <c r="F29" s="392">
        <f t="shared" si="0"/>
        <v>0</v>
      </c>
      <c r="I29" s="390" t="s">
        <v>363</v>
      </c>
      <c r="J29" s="391">
        <v>8338</v>
      </c>
      <c r="K29" s="392">
        <v>2056.8000000000002</v>
      </c>
      <c r="L29" s="468">
        <v>44593</v>
      </c>
      <c r="M29" s="392">
        <v>2056.8000000000002</v>
      </c>
      <c r="N29" s="137">
        <f t="shared" si="1"/>
        <v>0</v>
      </c>
    </row>
    <row r="30" spans="1:17" ht="18.75" x14ac:dyDescent="0.3">
      <c r="A30" s="393" t="s">
        <v>365</v>
      </c>
      <c r="B30" s="394" t="s">
        <v>401</v>
      </c>
      <c r="C30" s="392">
        <v>74257.8</v>
      </c>
      <c r="D30" s="405">
        <v>44589</v>
      </c>
      <c r="E30" s="392">
        <v>74257.8</v>
      </c>
      <c r="F30" s="392">
        <f t="shared" si="0"/>
        <v>0</v>
      </c>
      <c r="G30" s="138"/>
      <c r="I30" s="390" t="s">
        <v>363</v>
      </c>
      <c r="J30" s="464">
        <v>8340</v>
      </c>
      <c r="K30" s="392">
        <v>219199.6</v>
      </c>
      <c r="L30" s="469">
        <v>44643</v>
      </c>
      <c r="M30" s="479">
        <v>219199.6</v>
      </c>
      <c r="N30" s="137">
        <f t="shared" si="1"/>
        <v>0</v>
      </c>
      <c r="Q30" s="392"/>
    </row>
    <row r="31" spans="1:17" ht="15.75" x14ac:dyDescent="0.25">
      <c r="A31" s="393" t="s">
        <v>366</v>
      </c>
      <c r="B31" s="394" t="s">
        <v>402</v>
      </c>
      <c r="C31" s="392">
        <v>115953.8</v>
      </c>
      <c r="D31" s="405">
        <v>44589</v>
      </c>
      <c r="E31" s="392">
        <v>115953.8</v>
      </c>
      <c r="F31" s="392">
        <f t="shared" si="0"/>
        <v>0</v>
      </c>
      <c r="I31" s="390" t="s">
        <v>364</v>
      </c>
      <c r="J31" s="464">
        <v>8342</v>
      </c>
      <c r="K31" s="392">
        <v>1605</v>
      </c>
      <c r="L31" s="469">
        <v>44643</v>
      </c>
      <c r="M31" s="479">
        <v>1605</v>
      </c>
      <c r="N31" s="137">
        <f t="shared" si="1"/>
        <v>0</v>
      </c>
      <c r="Q31" s="392"/>
    </row>
    <row r="32" spans="1:17" ht="15.75" x14ac:dyDescent="0.25">
      <c r="A32" s="393" t="s">
        <v>366</v>
      </c>
      <c r="B32" s="394" t="s">
        <v>403</v>
      </c>
      <c r="C32" s="392">
        <v>420</v>
      </c>
      <c r="D32" s="405">
        <v>44589</v>
      </c>
      <c r="E32" s="392">
        <v>420</v>
      </c>
      <c r="F32" s="392">
        <f t="shared" si="0"/>
        <v>0</v>
      </c>
      <c r="I32" s="390" t="s">
        <v>365</v>
      </c>
      <c r="J32" s="464">
        <v>8359</v>
      </c>
      <c r="K32" s="392">
        <v>16970.400000000001</v>
      </c>
      <c r="L32" s="469">
        <v>44643</v>
      </c>
      <c r="M32" s="479">
        <v>16970.400000000001</v>
      </c>
      <c r="N32" s="137">
        <f t="shared" si="1"/>
        <v>0</v>
      </c>
      <c r="Q32" s="392"/>
    </row>
    <row r="33" spans="1:17" ht="15.75" x14ac:dyDescent="0.25">
      <c r="A33" s="393" t="s">
        <v>367</v>
      </c>
      <c r="B33" s="394" t="s">
        <v>404</v>
      </c>
      <c r="C33" s="392">
        <v>12359.2</v>
      </c>
      <c r="D33" s="405">
        <v>44589</v>
      </c>
      <c r="E33" s="392">
        <v>12359.2</v>
      </c>
      <c r="F33" s="392">
        <f t="shared" si="0"/>
        <v>0</v>
      </c>
      <c r="I33" s="390" t="s">
        <v>366</v>
      </c>
      <c r="J33" s="464">
        <v>8363</v>
      </c>
      <c r="K33" s="392">
        <v>1544.6</v>
      </c>
      <c r="L33" s="469">
        <v>44643</v>
      </c>
      <c r="M33" s="479">
        <v>1544.6</v>
      </c>
      <c r="N33" s="137">
        <f t="shared" si="1"/>
        <v>0</v>
      </c>
      <c r="Q33" s="392"/>
    </row>
    <row r="34" spans="1:17" ht="15.75" x14ac:dyDescent="0.25">
      <c r="A34" s="393" t="s">
        <v>368</v>
      </c>
      <c r="B34" s="394" t="s">
        <v>405</v>
      </c>
      <c r="C34" s="392">
        <v>66416.800000000003</v>
      </c>
      <c r="D34" s="405">
        <v>44589</v>
      </c>
      <c r="E34" s="392">
        <v>66416.800000000003</v>
      </c>
      <c r="F34" s="392">
        <f t="shared" si="0"/>
        <v>0</v>
      </c>
      <c r="I34" s="390" t="s">
        <v>366</v>
      </c>
      <c r="J34" s="464">
        <v>8365</v>
      </c>
      <c r="K34" s="392">
        <v>1161</v>
      </c>
      <c r="L34" s="469">
        <v>44643</v>
      </c>
      <c r="M34" s="479">
        <v>1161</v>
      </c>
      <c r="N34" s="137">
        <f t="shared" si="1"/>
        <v>0</v>
      </c>
      <c r="Q34" s="392"/>
    </row>
    <row r="35" spans="1:17" ht="15.75" x14ac:dyDescent="0.25">
      <c r="A35" s="393" t="s">
        <v>368</v>
      </c>
      <c r="B35" s="394" t="s">
        <v>406</v>
      </c>
      <c r="C35" s="392">
        <v>10750</v>
      </c>
      <c r="D35" s="405">
        <v>44589</v>
      </c>
      <c r="E35" s="392">
        <v>10750</v>
      </c>
      <c r="F35" s="392">
        <f t="shared" si="0"/>
        <v>0</v>
      </c>
      <c r="I35" s="390" t="s">
        <v>367</v>
      </c>
      <c r="J35" s="464">
        <v>8375</v>
      </c>
      <c r="K35" s="392">
        <v>3838.8</v>
      </c>
      <c r="L35" s="469">
        <v>44643</v>
      </c>
      <c r="M35" s="479">
        <v>3838.8</v>
      </c>
      <c r="N35" s="137">
        <f t="shared" si="1"/>
        <v>0</v>
      </c>
      <c r="Q35" s="392"/>
    </row>
    <row r="36" spans="1:17" ht="15.75" x14ac:dyDescent="0.25">
      <c r="A36" s="393" t="s">
        <v>368</v>
      </c>
      <c r="B36" s="394" t="s">
        <v>407</v>
      </c>
      <c r="C36" s="392">
        <v>28322</v>
      </c>
      <c r="D36" s="405">
        <v>44589</v>
      </c>
      <c r="E36" s="392">
        <v>28322</v>
      </c>
      <c r="F36" s="392">
        <f t="shared" si="0"/>
        <v>0</v>
      </c>
      <c r="I36" s="390" t="s">
        <v>367</v>
      </c>
      <c r="J36" s="464">
        <v>8379</v>
      </c>
      <c r="K36" s="392">
        <v>1696</v>
      </c>
      <c r="L36" s="469">
        <v>44643</v>
      </c>
      <c r="M36" s="479">
        <v>1696</v>
      </c>
      <c r="N36" s="137">
        <f t="shared" si="1"/>
        <v>0</v>
      </c>
      <c r="Q36" s="392"/>
    </row>
    <row r="37" spans="1:17" ht="15.75" x14ac:dyDescent="0.25">
      <c r="A37" s="393" t="s">
        <v>369</v>
      </c>
      <c r="B37" s="394" t="s">
        <v>408</v>
      </c>
      <c r="C37" s="392">
        <v>61861.4</v>
      </c>
      <c r="D37" s="405">
        <v>44589</v>
      </c>
      <c r="E37" s="392">
        <v>61861.4</v>
      </c>
      <c r="F37" s="392">
        <f t="shared" si="0"/>
        <v>0</v>
      </c>
      <c r="I37" s="390" t="s">
        <v>368</v>
      </c>
      <c r="J37" s="464">
        <v>8386</v>
      </c>
      <c r="K37" s="392">
        <v>953.6</v>
      </c>
      <c r="L37" s="469">
        <v>44643</v>
      </c>
      <c r="M37" s="479">
        <v>953.6</v>
      </c>
      <c r="N37" s="137">
        <f t="shared" si="1"/>
        <v>0</v>
      </c>
      <c r="Q37" s="392"/>
    </row>
    <row r="38" spans="1:17" ht="15.75" x14ac:dyDescent="0.25">
      <c r="A38" s="393" t="s">
        <v>370</v>
      </c>
      <c r="B38" s="394" t="s">
        <v>409</v>
      </c>
      <c r="C38" s="392">
        <v>78773.820000000007</v>
      </c>
      <c r="D38" s="443">
        <v>44617</v>
      </c>
      <c r="E38" s="444">
        <v>78773.820000000007</v>
      </c>
      <c r="F38" s="392">
        <f t="shared" si="0"/>
        <v>0</v>
      </c>
      <c r="I38" s="390" t="s">
        <v>369</v>
      </c>
      <c r="J38" s="464">
        <v>8393</v>
      </c>
      <c r="K38" s="392">
        <v>5587.4</v>
      </c>
      <c r="L38" s="469">
        <v>44643</v>
      </c>
      <c r="M38" s="479">
        <v>5587.4</v>
      </c>
      <c r="N38" s="137">
        <f t="shared" si="1"/>
        <v>0</v>
      </c>
      <c r="Q38" s="392"/>
    </row>
    <row r="39" spans="1:17" ht="15.75" x14ac:dyDescent="0.25">
      <c r="A39" s="393" t="s">
        <v>371</v>
      </c>
      <c r="B39" s="394" t="s">
        <v>410</v>
      </c>
      <c r="C39" s="392">
        <v>38574.800000000003</v>
      </c>
      <c r="D39" s="443">
        <v>44617</v>
      </c>
      <c r="E39" s="444">
        <v>38574.800000000003</v>
      </c>
      <c r="F39" s="392">
        <f t="shared" si="0"/>
        <v>0</v>
      </c>
      <c r="I39" s="390" t="s">
        <v>370</v>
      </c>
      <c r="J39" s="464">
        <v>8403</v>
      </c>
      <c r="K39" s="392">
        <v>2021.2</v>
      </c>
      <c r="L39" s="469">
        <v>44643</v>
      </c>
      <c r="M39" s="479">
        <v>2021.2</v>
      </c>
      <c r="N39" s="137">
        <f t="shared" si="1"/>
        <v>0</v>
      </c>
      <c r="Q39" s="392"/>
    </row>
    <row r="40" spans="1:17" ht="15.75" x14ac:dyDescent="0.25">
      <c r="A40" s="393" t="s">
        <v>372</v>
      </c>
      <c r="B40" s="394" t="s">
        <v>411</v>
      </c>
      <c r="C40" s="392">
        <v>53825.279999999999</v>
      </c>
      <c r="D40" s="443">
        <v>44617</v>
      </c>
      <c r="E40" s="444">
        <v>53825.279999999999</v>
      </c>
      <c r="F40" s="392">
        <f t="shared" si="0"/>
        <v>0</v>
      </c>
      <c r="I40" s="390" t="s">
        <v>370</v>
      </c>
      <c r="J40" s="464">
        <v>8404</v>
      </c>
      <c r="K40" s="392">
        <v>175</v>
      </c>
      <c r="L40" s="469">
        <v>44643</v>
      </c>
      <c r="M40" s="479">
        <v>175</v>
      </c>
      <c r="N40" s="137">
        <f t="shared" si="1"/>
        <v>0</v>
      </c>
      <c r="Q40" s="392"/>
    </row>
    <row r="41" spans="1:17" ht="15.75" x14ac:dyDescent="0.25">
      <c r="A41" s="393"/>
      <c r="B41" s="394"/>
      <c r="C41" s="392"/>
      <c r="D41" s="443"/>
      <c r="E41" s="444"/>
      <c r="F41" s="392">
        <f t="shared" si="0"/>
        <v>0</v>
      </c>
      <c r="I41" s="390" t="s">
        <v>370</v>
      </c>
      <c r="J41" s="464">
        <v>8405</v>
      </c>
      <c r="K41" s="392">
        <v>118474.8</v>
      </c>
      <c r="L41" s="469">
        <v>44643</v>
      </c>
      <c r="M41" s="479">
        <v>118474.8</v>
      </c>
      <c r="N41" s="137">
        <f t="shared" si="1"/>
        <v>0</v>
      </c>
      <c r="Q41" s="392"/>
    </row>
    <row r="42" spans="1:17" ht="15.75" x14ac:dyDescent="0.25">
      <c r="A42" s="245"/>
      <c r="B42" s="246"/>
      <c r="C42" s="111"/>
      <c r="D42" s="253"/>
      <c r="E42" s="69"/>
      <c r="F42" s="392">
        <f t="shared" si="0"/>
        <v>0</v>
      </c>
      <c r="I42" s="390" t="s">
        <v>371</v>
      </c>
      <c r="J42" s="464">
        <v>8422</v>
      </c>
      <c r="K42" s="392">
        <v>27106.9</v>
      </c>
      <c r="L42" s="469">
        <v>44643</v>
      </c>
      <c r="M42" s="479">
        <v>27106.9</v>
      </c>
      <c r="N42" s="137">
        <f t="shared" si="1"/>
        <v>0</v>
      </c>
      <c r="Q42" s="392"/>
    </row>
    <row r="43" spans="1:17" ht="15.75" x14ac:dyDescent="0.25">
      <c r="A43" s="245"/>
      <c r="B43" s="894" t="s">
        <v>413</v>
      </c>
      <c r="C43" s="895"/>
      <c r="D43" s="895"/>
      <c r="E43" s="896"/>
      <c r="F43" s="392">
        <f t="shared" si="0"/>
        <v>0</v>
      </c>
      <c r="I43" s="390" t="s">
        <v>371</v>
      </c>
      <c r="J43" s="464">
        <v>8423</v>
      </c>
      <c r="K43" s="392">
        <v>1096.2</v>
      </c>
      <c r="L43" s="469">
        <v>44643</v>
      </c>
      <c r="M43" s="479">
        <v>1096.2</v>
      </c>
      <c r="N43" s="137">
        <f t="shared" si="1"/>
        <v>0</v>
      </c>
      <c r="Q43" s="392"/>
    </row>
    <row r="44" spans="1:17" ht="15" customHeight="1" x14ac:dyDescent="0.25">
      <c r="A44" s="245"/>
      <c r="B44" s="897"/>
      <c r="C44" s="898"/>
      <c r="D44" s="898"/>
      <c r="E44" s="899"/>
      <c r="F44" s="392">
        <f t="shared" si="0"/>
        <v>0</v>
      </c>
      <c r="I44" s="390" t="s">
        <v>372</v>
      </c>
      <c r="J44" s="464">
        <v>8434</v>
      </c>
      <c r="K44" s="392">
        <v>1609</v>
      </c>
      <c r="L44" s="469">
        <v>44643</v>
      </c>
      <c r="M44" s="479">
        <v>1609</v>
      </c>
      <c r="N44" s="137">
        <f t="shared" si="1"/>
        <v>0</v>
      </c>
      <c r="Q44" s="392"/>
    </row>
    <row r="45" spans="1:17" ht="15.75" x14ac:dyDescent="0.25">
      <c r="A45" s="245"/>
      <c r="B45" s="900"/>
      <c r="C45" s="901"/>
      <c r="D45" s="901"/>
      <c r="E45" s="902"/>
      <c r="F45" s="392">
        <f t="shared" si="0"/>
        <v>0</v>
      </c>
      <c r="I45" s="390"/>
      <c r="J45" s="391"/>
      <c r="K45" s="392"/>
      <c r="L45" s="469" t="s">
        <v>310</v>
      </c>
      <c r="M45" s="143"/>
      <c r="N45" s="137">
        <f t="shared" si="1"/>
        <v>0</v>
      </c>
      <c r="Q45" s="392"/>
    </row>
    <row r="46" spans="1:17" ht="15.75" x14ac:dyDescent="0.25">
      <c r="A46" s="245"/>
      <c r="B46" s="246"/>
      <c r="C46" s="111"/>
      <c r="D46" s="253"/>
      <c r="E46" s="69"/>
      <c r="F46" s="392">
        <f t="shared" si="0"/>
        <v>0</v>
      </c>
      <c r="I46" s="390"/>
      <c r="J46" s="391"/>
      <c r="K46" s="392"/>
      <c r="L46" s="469" t="s">
        <v>310</v>
      </c>
      <c r="M46" s="143"/>
      <c r="N46" s="137">
        <f t="shared" si="1"/>
        <v>0</v>
      </c>
      <c r="Q46" s="392"/>
    </row>
    <row r="47" spans="1:17" ht="16.5" thickBot="1" x14ac:dyDescent="0.3">
      <c r="A47" s="245"/>
      <c r="B47" s="909" t="s">
        <v>593</v>
      </c>
      <c r="C47" s="910"/>
      <c r="D47" s="253"/>
      <c r="E47" s="69"/>
      <c r="F47" s="137">
        <f t="shared" ref="F47:F73" si="2">F46+C47-E47</f>
        <v>0</v>
      </c>
      <c r="I47" s="348"/>
      <c r="J47" s="359"/>
      <c r="K47" s="360">
        <v>0</v>
      </c>
      <c r="L47" s="465"/>
      <c r="M47" s="143"/>
      <c r="N47" s="137">
        <f t="shared" si="1"/>
        <v>0</v>
      </c>
      <c r="Q47" s="457"/>
    </row>
    <row r="48" spans="1:17" ht="15.75" x14ac:dyDescent="0.25">
      <c r="A48" s="245"/>
      <c r="B48" s="911"/>
      <c r="C48" s="912"/>
      <c r="D48" s="253"/>
      <c r="E48" s="69"/>
      <c r="F48" s="137">
        <f t="shared" si="2"/>
        <v>0</v>
      </c>
      <c r="I48" s="348"/>
      <c r="J48" s="903" t="s">
        <v>414</v>
      </c>
      <c r="K48" s="904"/>
      <c r="L48" s="905"/>
      <c r="M48" s="206"/>
      <c r="N48" s="137">
        <f>N47+K48-M48</f>
        <v>0</v>
      </c>
    </row>
    <row r="49" spans="1:14" ht="16.5" thickBot="1" x14ac:dyDescent="0.3">
      <c r="A49" s="134"/>
      <c r="B49" s="139"/>
      <c r="C49" s="69"/>
      <c r="D49" s="253"/>
      <c r="E49" s="69"/>
      <c r="F49" s="137">
        <f t="shared" si="2"/>
        <v>0</v>
      </c>
      <c r="I49" s="348"/>
      <c r="J49" s="906"/>
      <c r="K49" s="907"/>
      <c r="L49" s="908"/>
      <c r="M49" s="206"/>
      <c r="N49" s="137">
        <f t="shared" si="1"/>
        <v>0</v>
      </c>
    </row>
    <row r="50" spans="1:14" ht="15.75" x14ac:dyDescent="0.25">
      <c r="A50" s="134"/>
      <c r="B50" s="139"/>
      <c r="C50" s="69"/>
      <c r="D50" s="253"/>
      <c r="E50" s="69"/>
      <c r="F50" s="137">
        <f t="shared" si="2"/>
        <v>0</v>
      </c>
      <c r="I50" s="913" t="s">
        <v>594</v>
      </c>
      <c r="J50" s="914"/>
      <c r="K50" s="215">
        <v>0</v>
      </c>
      <c r="L50" s="466"/>
      <c r="M50" s="69"/>
      <c r="N50" s="137">
        <f t="shared" si="1"/>
        <v>0</v>
      </c>
    </row>
    <row r="51" spans="1:14" ht="15.75" hidden="1" customHeight="1" x14ac:dyDescent="0.25">
      <c r="A51" s="134"/>
      <c r="B51" s="139"/>
      <c r="C51" s="69"/>
      <c r="D51" s="253"/>
      <c r="E51" s="69"/>
      <c r="F51" s="137">
        <f t="shared" si="2"/>
        <v>0</v>
      </c>
      <c r="I51" s="913"/>
      <c r="J51" s="914"/>
      <c r="K51" s="69"/>
      <c r="L51" s="253"/>
      <c r="M51" s="69"/>
      <c r="N51" s="137">
        <f t="shared" si="1"/>
        <v>0</v>
      </c>
    </row>
    <row r="52" spans="1:14" ht="15.75" hidden="1" customHeight="1" x14ac:dyDescent="0.25">
      <c r="A52" s="134"/>
      <c r="B52" s="139"/>
      <c r="C52" s="69"/>
      <c r="D52" s="253"/>
      <c r="E52" s="69"/>
      <c r="F52" s="137">
        <f t="shared" si="2"/>
        <v>0</v>
      </c>
      <c r="I52" s="913"/>
      <c r="J52" s="914"/>
      <c r="K52" s="69"/>
      <c r="L52" s="253"/>
      <c r="M52" s="69"/>
      <c r="N52" s="137">
        <f t="shared" si="1"/>
        <v>0</v>
      </c>
    </row>
    <row r="53" spans="1:14" ht="15.75" hidden="1" customHeight="1" x14ac:dyDescent="0.25">
      <c r="A53" s="134"/>
      <c r="B53" s="139"/>
      <c r="C53" s="69"/>
      <c r="D53" s="253"/>
      <c r="E53" s="69"/>
      <c r="F53" s="137">
        <f t="shared" si="2"/>
        <v>0</v>
      </c>
      <c r="I53" s="913"/>
      <c r="J53" s="914"/>
      <c r="K53" s="69"/>
      <c r="L53" s="253"/>
      <c r="M53" s="69"/>
      <c r="N53" s="137">
        <f t="shared" si="1"/>
        <v>0</v>
      </c>
    </row>
    <row r="54" spans="1:14" ht="15.75" hidden="1" customHeight="1" x14ac:dyDescent="0.25">
      <c r="A54" s="134"/>
      <c r="B54" s="139"/>
      <c r="C54" s="69"/>
      <c r="D54" s="253"/>
      <c r="E54" s="69"/>
      <c r="F54" s="137">
        <f t="shared" si="2"/>
        <v>0</v>
      </c>
      <c r="I54" s="913"/>
      <c r="J54" s="914"/>
      <c r="K54" s="69"/>
      <c r="L54" s="253"/>
      <c r="M54" s="69"/>
      <c r="N54" s="137">
        <f t="shared" si="1"/>
        <v>0</v>
      </c>
    </row>
    <row r="55" spans="1:14" ht="15.75" hidden="1" customHeight="1" x14ac:dyDescent="0.25">
      <c r="A55" s="134"/>
      <c r="B55" s="139"/>
      <c r="C55" s="69"/>
      <c r="D55" s="253"/>
      <c r="E55" s="69"/>
      <c r="F55" s="137">
        <f t="shared" si="2"/>
        <v>0</v>
      </c>
      <c r="I55" s="913"/>
      <c r="J55" s="914"/>
      <c r="K55" s="69"/>
      <c r="L55" s="253"/>
      <c r="M55" s="69"/>
      <c r="N55" s="137">
        <f t="shared" si="1"/>
        <v>0</v>
      </c>
    </row>
    <row r="56" spans="1:14" ht="15.75" hidden="1" customHeight="1" x14ac:dyDescent="0.25">
      <c r="A56" s="134"/>
      <c r="B56" s="139"/>
      <c r="C56" s="69"/>
      <c r="D56" s="253"/>
      <c r="E56" s="69"/>
      <c r="F56" s="137">
        <f t="shared" si="2"/>
        <v>0</v>
      </c>
      <c r="I56" s="913"/>
      <c r="J56" s="914"/>
      <c r="K56" s="69"/>
      <c r="L56" s="253"/>
      <c r="M56" s="69"/>
      <c r="N56" s="137">
        <f t="shared" si="1"/>
        <v>0</v>
      </c>
    </row>
    <row r="57" spans="1:14" ht="15.75" hidden="1" customHeight="1" x14ac:dyDescent="0.25">
      <c r="A57" s="134"/>
      <c r="B57" s="139"/>
      <c r="C57" s="69"/>
      <c r="D57" s="253"/>
      <c r="E57" s="69"/>
      <c r="F57" s="137">
        <f t="shared" si="2"/>
        <v>0</v>
      </c>
      <c r="I57" s="913"/>
      <c r="J57" s="914"/>
      <c r="K57" s="69"/>
      <c r="L57" s="253"/>
      <c r="M57" s="69"/>
      <c r="N57" s="137">
        <f t="shared" si="1"/>
        <v>0</v>
      </c>
    </row>
    <row r="58" spans="1:14" ht="15.75" hidden="1" customHeight="1" x14ac:dyDescent="0.25">
      <c r="A58" s="134"/>
      <c r="B58" s="139"/>
      <c r="C58" s="69"/>
      <c r="D58" s="253"/>
      <c r="E58" s="69"/>
      <c r="F58" s="137">
        <f t="shared" si="2"/>
        <v>0</v>
      </c>
      <c r="I58" s="913"/>
      <c r="J58" s="914"/>
      <c r="K58" s="69"/>
      <c r="L58" s="253"/>
      <c r="M58" s="69"/>
      <c r="N58" s="137">
        <f t="shared" si="1"/>
        <v>0</v>
      </c>
    </row>
    <row r="59" spans="1:14" ht="15.75" hidden="1" customHeight="1" x14ac:dyDescent="0.25">
      <c r="A59" s="134"/>
      <c r="B59" s="139"/>
      <c r="C59" s="69"/>
      <c r="D59" s="253"/>
      <c r="E59" s="69"/>
      <c r="F59" s="137">
        <f t="shared" si="2"/>
        <v>0</v>
      </c>
      <c r="I59" s="913"/>
      <c r="J59" s="914"/>
      <c r="K59" s="69"/>
      <c r="L59" s="253"/>
      <c r="M59" s="69"/>
      <c r="N59" s="137">
        <f t="shared" si="1"/>
        <v>0</v>
      </c>
    </row>
    <row r="60" spans="1:14" ht="15.75" hidden="1" customHeight="1" x14ac:dyDescent="0.25">
      <c r="A60" s="134"/>
      <c r="B60" s="139"/>
      <c r="C60" s="69"/>
      <c r="D60" s="253"/>
      <c r="E60" s="69"/>
      <c r="F60" s="137">
        <f t="shared" si="2"/>
        <v>0</v>
      </c>
      <c r="I60" s="913"/>
      <c r="J60" s="914"/>
      <c r="K60" s="69"/>
      <c r="L60" s="253"/>
      <c r="M60" s="69"/>
      <c r="N60" s="137">
        <f t="shared" si="1"/>
        <v>0</v>
      </c>
    </row>
    <row r="61" spans="1:14" ht="15.75" hidden="1" customHeight="1" x14ac:dyDescent="0.25">
      <c r="A61" s="134"/>
      <c r="B61" s="139"/>
      <c r="C61" s="69"/>
      <c r="D61" s="253"/>
      <c r="E61" s="69"/>
      <c r="F61" s="137">
        <f t="shared" si="2"/>
        <v>0</v>
      </c>
      <c r="I61" s="913"/>
      <c r="J61" s="914"/>
      <c r="K61" s="69"/>
      <c r="L61" s="253"/>
      <c r="M61" s="69"/>
      <c r="N61" s="137">
        <f t="shared" si="1"/>
        <v>0</v>
      </c>
    </row>
    <row r="62" spans="1:14" ht="15.75" hidden="1" customHeight="1" x14ac:dyDescent="0.25">
      <c r="A62" s="134"/>
      <c r="B62" s="139"/>
      <c r="C62" s="69"/>
      <c r="D62" s="254"/>
      <c r="E62" s="69"/>
      <c r="F62" s="137">
        <f t="shared" si="2"/>
        <v>0</v>
      </c>
      <c r="I62" s="913"/>
      <c r="J62" s="914"/>
      <c r="K62" s="34"/>
      <c r="L62" s="118"/>
      <c r="M62" s="34"/>
      <c r="N62" s="137">
        <f t="shared" si="1"/>
        <v>0</v>
      </c>
    </row>
    <row r="63" spans="1:14" ht="15.75" hidden="1" customHeight="1" x14ac:dyDescent="0.25">
      <c r="A63" s="134"/>
      <c r="B63" s="139"/>
      <c r="C63" s="69"/>
      <c r="D63" s="254"/>
      <c r="E63" s="69"/>
      <c r="F63" s="137">
        <f t="shared" si="2"/>
        <v>0</v>
      </c>
      <c r="I63" s="913"/>
      <c r="J63" s="914"/>
      <c r="K63" s="34"/>
      <c r="L63" s="118"/>
      <c r="M63" s="34"/>
      <c r="N63" s="137">
        <f t="shared" si="1"/>
        <v>0</v>
      </c>
    </row>
    <row r="64" spans="1:14" ht="15.75" hidden="1" customHeight="1" x14ac:dyDescent="0.25">
      <c r="A64" s="134"/>
      <c r="B64" s="139"/>
      <c r="C64" s="69"/>
      <c r="D64" s="254"/>
      <c r="E64" s="69"/>
      <c r="F64" s="137">
        <f t="shared" si="2"/>
        <v>0</v>
      </c>
      <c r="I64" s="913"/>
      <c r="J64" s="914"/>
      <c r="K64" s="34"/>
      <c r="L64" s="118"/>
      <c r="M64" s="34"/>
      <c r="N64" s="137">
        <f t="shared" si="1"/>
        <v>0</v>
      </c>
    </row>
    <row r="65" spans="1:14" ht="15.75" hidden="1" customHeight="1" x14ac:dyDescent="0.25">
      <c r="A65" s="134"/>
      <c r="B65" s="139"/>
      <c r="C65" s="69"/>
      <c r="D65" s="254"/>
      <c r="E65" s="69"/>
      <c r="F65" s="137">
        <f t="shared" si="2"/>
        <v>0</v>
      </c>
      <c r="I65" s="913"/>
      <c r="J65" s="914"/>
      <c r="K65" s="34"/>
      <c r="L65" s="118"/>
      <c r="M65" s="34"/>
      <c r="N65" s="137">
        <f t="shared" si="1"/>
        <v>0</v>
      </c>
    </row>
    <row r="66" spans="1:14" ht="15.75" hidden="1" customHeight="1" x14ac:dyDescent="0.25">
      <c r="A66" s="134"/>
      <c r="B66" s="139"/>
      <c r="C66" s="69"/>
      <c r="D66" s="254"/>
      <c r="E66" s="69"/>
      <c r="F66" s="137">
        <f t="shared" si="2"/>
        <v>0</v>
      </c>
      <c r="I66" s="913"/>
      <c r="J66" s="914"/>
      <c r="K66" s="34"/>
      <c r="L66" s="118"/>
      <c r="M66" s="34"/>
      <c r="N66" s="137">
        <f t="shared" si="1"/>
        <v>0</v>
      </c>
    </row>
    <row r="67" spans="1:14" ht="15.75" hidden="1" customHeight="1" x14ac:dyDescent="0.25">
      <c r="A67" s="356"/>
      <c r="B67" s="357"/>
      <c r="C67" s="34"/>
      <c r="D67" s="118"/>
      <c r="E67" s="34"/>
      <c r="F67" s="137">
        <f t="shared" si="2"/>
        <v>0</v>
      </c>
      <c r="I67" s="913"/>
      <c r="J67" s="914"/>
      <c r="K67" s="34"/>
      <c r="L67" s="118"/>
      <c r="M67" s="34"/>
      <c r="N67" s="137">
        <f t="shared" si="1"/>
        <v>0</v>
      </c>
    </row>
    <row r="68" spans="1:14" ht="15.75" hidden="1" customHeight="1" x14ac:dyDescent="0.25">
      <c r="A68" s="134"/>
      <c r="B68" s="139"/>
      <c r="C68" s="69"/>
      <c r="D68" s="254"/>
      <c r="E68" s="69"/>
      <c r="F68" s="137">
        <f t="shared" si="2"/>
        <v>0</v>
      </c>
      <c r="I68" s="913"/>
      <c r="J68" s="914"/>
      <c r="K68" s="69"/>
      <c r="L68" s="254"/>
      <c r="M68" s="69"/>
      <c r="N68" s="137">
        <f t="shared" si="1"/>
        <v>0</v>
      </c>
    </row>
    <row r="69" spans="1:14" ht="15.75" hidden="1" customHeight="1" x14ac:dyDescent="0.25">
      <c r="A69" s="134"/>
      <c r="B69" s="139"/>
      <c r="C69" s="69"/>
      <c r="D69" s="254"/>
      <c r="E69" s="69"/>
      <c r="F69" s="137">
        <f t="shared" si="2"/>
        <v>0</v>
      </c>
      <c r="I69" s="913"/>
      <c r="J69" s="914"/>
      <c r="K69" s="69"/>
      <c r="L69" s="254"/>
      <c r="M69" s="69"/>
      <c r="N69" s="137">
        <f t="shared" si="1"/>
        <v>0</v>
      </c>
    </row>
    <row r="70" spans="1:14" ht="15.75" hidden="1" customHeight="1" x14ac:dyDescent="0.25">
      <c r="A70" s="134"/>
      <c r="B70" s="139"/>
      <c r="C70" s="69"/>
      <c r="D70" s="254"/>
      <c r="E70" s="69"/>
      <c r="F70" s="137">
        <f t="shared" si="2"/>
        <v>0</v>
      </c>
      <c r="I70" s="913"/>
      <c r="J70" s="914"/>
      <c r="K70" s="69"/>
      <c r="L70" s="254"/>
      <c r="M70" s="69"/>
      <c r="N70" s="137">
        <f t="shared" si="1"/>
        <v>0</v>
      </c>
    </row>
    <row r="71" spans="1:14" ht="15.75" hidden="1" customHeight="1" x14ac:dyDescent="0.25">
      <c r="A71" s="134"/>
      <c r="B71" s="139"/>
      <c r="C71" s="69"/>
      <c r="D71" s="254"/>
      <c r="E71" s="69"/>
      <c r="F71" s="137">
        <f t="shared" si="2"/>
        <v>0</v>
      </c>
      <c r="I71" s="913"/>
      <c r="J71" s="914"/>
      <c r="K71" s="69"/>
      <c r="L71" s="254"/>
      <c r="M71" s="69"/>
      <c r="N71" s="137">
        <f t="shared" si="1"/>
        <v>0</v>
      </c>
    </row>
    <row r="72" spans="1:14" ht="15.75" hidden="1" customHeight="1" x14ac:dyDescent="0.25">
      <c r="A72" s="134"/>
      <c r="B72" s="139"/>
      <c r="C72" s="69"/>
      <c r="D72" s="254"/>
      <c r="E72" s="69"/>
      <c r="F72" s="137">
        <f t="shared" si="2"/>
        <v>0</v>
      </c>
      <c r="I72" s="913"/>
      <c r="J72" s="914"/>
      <c r="K72" s="69"/>
      <c r="L72" s="254"/>
      <c r="M72" s="69"/>
      <c r="N72" s="137">
        <f t="shared" si="1"/>
        <v>0</v>
      </c>
    </row>
    <row r="73" spans="1:14" ht="15.75" hidden="1" customHeight="1" x14ac:dyDescent="0.25">
      <c r="A73" s="134"/>
      <c r="B73" s="139"/>
      <c r="C73" s="69"/>
      <c r="D73" s="254"/>
      <c r="E73" s="69"/>
      <c r="F73" s="137">
        <f t="shared" si="2"/>
        <v>0</v>
      </c>
      <c r="I73" s="913"/>
      <c r="J73" s="914"/>
      <c r="K73" s="69"/>
      <c r="L73" s="254"/>
      <c r="M73" s="69"/>
      <c r="N73" s="137">
        <f t="shared" si="1"/>
        <v>0</v>
      </c>
    </row>
    <row r="74" spans="1:14" ht="15.75" hidden="1" customHeight="1" x14ac:dyDescent="0.25">
      <c r="A74" s="134"/>
      <c r="B74" s="139"/>
      <c r="C74" s="69"/>
      <c r="D74" s="254"/>
      <c r="E74" s="69"/>
      <c r="F74" s="137">
        <f>F73+C74-E74</f>
        <v>0</v>
      </c>
      <c r="I74" s="913"/>
      <c r="J74" s="914"/>
      <c r="K74" s="69"/>
      <c r="L74" s="254"/>
      <c r="M74" s="69"/>
      <c r="N74" s="137">
        <f>N73+K74-M74</f>
        <v>0</v>
      </c>
    </row>
    <row r="75" spans="1:14" ht="15.75" hidden="1" customHeight="1" x14ac:dyDescent="0.25">
      <c r="A75" s="134"/>
      <c r="B75" s="139"/>
      <c r="C75" s="69"/>
      <c r="D75" s="254"/>
      <c r="E75" s="69"/>
      <c r="F75" s="137">
        <f>F74+C75-E75</f>
        <v>0</v>
      </c>
      <c r="I75" s="913"/>
      <c r="J75" s="914"/>
      <c r="K75" s="69"/>
      <c r="L75" s="254"/>
      <c r="M75" s="69"/>
      <c r="N75" s="137">
        <f>N74+K75-M75</f>
        <v>0</v>
      </c>
    </row>
    <row r="76" spans="1:14" ht="15.75" hidden="1" customHeight="1" x14ac:dyDescent="0.25">
      <c r="A76" s="134"/>
      <c r="B76" s="139"/>
      <c r="C76" s="69"/>
      <c r="D76" s="254"/>
      <c r="E76" s="69"/>
      <c r="F76" s="137">
        <f>F75+C76-E76</f>
        <v>0</v>
      </c>
      <c r="I76" s="913"/>
      <c r="J76" s="914"/>
      <c r="K76" s="69"/>
      <c r="L76" s="254"/>
      <c r="M76" s="69"/>
      <c r="N76" s="137">
        <f>N75+K76-M76</f>
        <v>0</v>
      </c>
    </row>
    <row r="77" spans="1:14" ht="15.75" hidden="1" customHeight="1" x14ac:dyDescent="0.25">
      <c r="A77" s="134"/>
      <c r="B77" s="139"/>
      <c r="C77" s="69"/>
      <c r="D77" s="254"/>
      <c r="E77" s="69"/>
      <c r="F77" s="137">
        <f>F76+C77-E77</f>
        <v>0</v>
      </c>
      <c r="I77" s="913"/>
      <c r="J77" s="914"/>
      <c r="K77" s="69"/>
      <c r="L77" s="254"/>
      <c r="M77" s="69"/>
      <c r="N77" s="137">
        <f>N76+K77-M77</f>
        <v>0</v>
      </c>
    </row>
    <row r="78" spans="1:14" ht="16.5" thickBot="1" x14ac:dyDescent="0.3">
      <c r="A78" s="149"/>
      <c r="B78" s="210"/>
      <c r="C78" s="34">
        <v>0</v>
      </c>
      <c r="D78" s="255"/>
      <c r="E78" s="151"/>
      <c r="F78" s="137">
        <f>F77+C78-E78</f>
        <v>0</v>
      </c>
      <c r="I78" s="915"/>
      <c r="J78" s="916"/>
      <c r="K78" s="151">
        <v>0</v>
      </c>
      <c r="L78" s="255"/>
      <c r="M78" s="151"/>
      <c r="N78" s="137">
        <f>N77+K78-M78</f>
        <v>0</v>
      </c>
    </row>
    <row r="79" spans="1:14" ht="19.5" thickTop="1" x14ac:dyDescent="0.3">
      <c r="B79" s="211"/>
      <c r="C79" s="212">
        <f>SUM(C3:C78)</f>
        <v>1448401.2000000002</v>
      </c>
      <c r="D79" s="407"/>
      <c r="E79" s="395">
        <f>SUM(E3:E78)</f>
        <v>1448401.2000000002</v>
      </c>
      <c r="F79" s="153">
        <f>SUM(F3:F78)</f>
        <v>0</v>
      </c>
      <c r="K79" s="209">
        <f>SUM(K3:K78)</f>
        <v>907413.46000000008</v>
      </c>
      <c r="L79" s="470"/>
      <c r="M79" s="209">
        <f>SUM(M3:M78)</f>
        <v>907413.46000000008</v>
      </c>
      <c r="N79" s="153">
        <f>N78</f>
        <v>0</v>
      </c>
    </row>
    <row r="80" spans="1:14" ht="15.75" thickBot="1" x14ac:dyDescent="0.3">
      <c r="B80" s="213"/>
      <c r="C80" s="214"/>
      <c r="D80" s="256"/>
      <c r="E80" s="3"/>
      <c r="F80" s="888" t="s">
        <v>207</v>
      </c>
      <c r="K80" s="1"/>
      <c r="M80" s="3"/>
      <c r="N80" s="1"/>
    </row>
    <row r="81" spans="1:14" x14ac:dyDescent="0.25">
      <c r="B81" s="98"/>
      <c r="C81" s="1"/>
      <c r="D81" s="256"/>
      <c r="E81" s="3"/>
      <c r="F81" s="889"/>
      <c r="K81" s="1"/>
      <c r="M81" s="3"/>
      <c r="N81" s="1"/>
    </row>
    <row r="82" spans="1:14" x14ac:dyDescent="0.25">
      <c r="A82"/>
      <c r="B82" s="23"/>
      <c r="I82"/>
      <c r="J82" s="194"/>
    </row>
    <row r="83" spans="1:14" x14ac:dyDescent="0.25">
      <c r="A83"/>
      <c r="B83" s="23"/>
      <c r="I83"/>
      <c r="J83" s="194"/>
    </row>
    <row r="84" spans="1:14" x14ac:dyDescent="0.25">
      <c r="A84"/>
      <c r="B84" s="23"/>
      <c r="I84"/>
      <c r="J84" s="194"/>
    </row>
    <row r="85" spans="1:14" x14ac:dyDescent="0.25">
      <c r="A85"/>
      <c r="B85" s="23"/>
      <c r="F85"/>
      <c r="I85"/>
      <c r="J85" s="194"/>
      <c r="N85"/>
    </row>
    <row r="86" spans="1:14" x14ac:dyDescent="0.25">
      <c r="A86"/>
      <c r="B86" s="23"/>
      <c r="F86"/>
      <c r="I86"/>
      <c r="J86" s="194"/>
      <c r="N86"/>
    </row>
    <row r="87" spans="1:14" x14ac:dyDescent="0.25">
      <c r="A87"/>
      <c r="B87" s="23"/>
      <c r="F87"/>
      <c r="I87"/>
      <c r="J87" s="194"/>
      <c r="N87"/>
    </row>
    <row r="88" spans="1:14" x14ac:dyDescent="0.25">
      <c r="A88"/>
      <c r="B88" s="23"/>
      <c r="F88"/>
      <c r="I88"/>
      <c r="J88" s="194"/>
      <c r="N88"/>
    </row>
    <row r="89" spans="1:14" x14ac:dyDescent="0.25">
      <c r="A89"/>
      <c r="B89" s="23"/>
      <c r="F89"/>
      <c r="I89"/>
      <c r="J89" s="194"/>
      <c r="N89"/>
    </row>
    <row r="90" spans="1:14" x14ac:dyDescent="0.25">
      <c r="A90"/>
      <c r="B90" s="23"/>
      <c r="F90"/>
      <c r="I90"/>
      <c r="J90" s="194"/>
      <c r="N90"/>
    </row>
    <row r="91" spans="1:14" x14ac:dyDescent="0.25">
      <c r="A91"/>
      <c r="B91" s="23"/>
      <c r="F91"/>
      <c r="I91"/>
      <c r="J91" s="194"/>
      <c r="N91"/>
    </row>
    <row r="92" spans="1:14" x14ac:dyDescent="0.25">
      <c r="A92"/>
      <c r="B92" s="23"/>
      <c r="F92"/>
      <c r="I92"/>
      <c r="J92" s="194"/>
      <c r="N92"/>
    </row>
    <row r="93" spans="1:14" x14ac:dyDescent="0.25">
      <c r="A93"/>
      <c r="B93" s="23"/>
      <c r="F93"/>
      <c r="I93"/>
      <c r="J93" s="194"/>
      <c r="N93"/>
    </row>
    <row r="94" spans="1:14" x14ac:dyDescent="0.25">
      <c r="A94"/>
      <c r="B94" s="23"/>
      <c r="E94"/>
      <c r="F94"/>
      <c r="I94"/>
      <c r="J94" s="194"/>
      <c r="M94"/>
      <c r="N94"/>
    </row>
    <row r="95" spans="1:14" x14ac:dyDescent="0.25">
      <c r="A95"/>
      <c r="B95" s="23"/>
      <c r="E95"/>
      <c r="F95"/>
      <c r="I95"/>
      <c r="J95" s="194"/>
      <c r="M95"/>
      <c r="N95"/>
    </row>
    <row r="96" spans="1:14" x14ac:dyDescent="0.25">
      <c r="A96"/>
      <c r="B96" s="23"/>
      <c r="E96"/>
      <c r="F96"/>
      <c r="I96"/>
      <c r="J96" s="194"/>
      <c r="M96"/>
      <c r="N96"/>
    </row>
    <row r="97" spans="1:14" x14ac:dyDescent="0.25">
      <c r="A97"/>
      <c r="B97" s="23"/>
      <c r="E97"/>
      <c r="F97"/>
      <c r="I97"/>
      <c r="J97" s="194"/>
      <c r="M97"/>
      <c r="N97"/>
    </row>
    <row r="98" spans="1:14" x14ac:dyDescent="0.25">
      <c r="A98"/>
      <c r="B98" s="23"/>
      <c r="E98"/>
      <c r="F98"/>
      <c r="I98"/>
      <c r="J98" s="194"/>
      <c r="M98"/>
      <c r="N98"/>
    </row>
    <row r="99" spans="1:14" x14ac:dyDescent="0.25">
      <c r="A99"/>
      <c r="B99" s="23"/>
      <c r="E99"/>
      <c r="F99"/>
      <c r="I99"/>
      <c r="J99" s="194"/>
      <c r="M99"/>
      <c r="N99"/>
    </row>
    <row r="100" spans="1:14" x14ac:dyDescent="0.25">
      <c r="B100" s="23"/>
      <c r="E100"/>
      <c r="J100" s="194"/>
      <c r="M100"/>
    </row>
    <row r="101" spans="1:14" x14ac:dyDescent="0.25">
      <c r="B101" s="23"/>
      <c r="E101"/>
      <c r="J101" s="194"/>
      <c r="M101"/>
    </row>
    <row r="102" spans="1:14" x14ac:dyDescent="0.25">
      <c r="B102" s="23"/>
      <c r="E102"/>
      <c r="J102" s="194"/>
      <c r="M102"/>
    </row>
    <row r="103" spans="1:14" x14ac:dyDescent="0.25">
      <c r="B103" s="23"/>
      <c r="E103"/>
      <c r="J103" s="194"/>
      <c r="M103"/>
    </row>
    <row r="104" spans="1:14" x14ac:dyDescent="0.25">
      <c r="B104" s="23"/>
      <c r="E104"/>
      <c r="J104" s="194"/>
      <c r="M104"/>
    </row>
    <row r="105" spans="1:14" x14ac:dyDescent="0.25">
      <c r="B105" s="23"/>
      <c r="E105"/>
      <c r="J105" s="194"/>
      <c r="M105"/>
    </row>
    <row r="106" spans="1:14" x14ac:dyDescent="0.25">
      <c r="B106" s="23"/>
      <c r="E106"/>
      <c r="J106" s="194"/>
      <c r="M106"/>
    </row>
    <row r="107" spans="1:14" x14ac:dyDescent="0.25">
      <c r="B107" s="23"/>
      <c r="E107"/>
      <c r="J107" s="194"/>
      <c r="M107"/>
    </row>
    <row r="108" spans="1:14" x14ac:dyDescent="0.25">
      <c r="B108" s="23"/>
      <c r="E108"/>
      <c r="J108" s="194"/>
      <c r="M108"/>
    </row>
    <row r="109" spans="1:14" x14ac:dyDescent="0.25">
      <c r="B109" s="23"/>
      <c r="J109" s="194"/>
    </row>
    <row r="110" spans="1:14" x14ac:dyDescent="0.25">
      <c r="B110" s="23"/>
      <c r="J110" s="194"/>
    </row>
    <row r="111" spans="1:14" x14ac:dyDescent="0.25">
      <c r="B111" s="23"/>
      <c r="J111" s="194"/>
    </row>
    <row r="112" spans="1:14" x14ac:dyDescent="0.25">
      <c r="B112" s="23"/>
      <c r="J112" s="194"/>
    </row>
    <row r="113" spans="2:11" x14ac:dyDescent="0.25">
      <c r="B113" s="23"/>
      <c r="J113" s="194"/>
    </row>
    <row r="114" spans="2:11" x14ac:dyDescent="0.25">
      <c r="B114" s="23"/>
      <c r="J114" s="194"/>
    </row>
    <row r="115" spans="2:11" ht="18.75" x14ac:dyDescent="0.3">
      <c r="C115" s="154"/>
      <c r="K115" s="154"/>
    </row>
  </sheetData>
  <mergeCells count="5">
    <mergeCell ref="F80:F81"/>
    <mergeCell ref="B43:E45"/>
    <mergeCell ref="J48:L49"/>
    <mergeCell ref="B47:C48"/>
    <mergeCell ref="I50:J78"/>
  </mergeCells>
  <pageMargins left="0.7" right="0.7" top="0.75" bottom="0.75" header="0.3" footer="0.3"/>
  <pageSetup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Z80"/>
  <sheetViews>
    <sheetView topLeftCell="A25" workbookViewId="0">
      <selection activeCell="C2" sqref="C2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18.140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826"/>
      <c r="C1" s="892" t="s">
        <v>646</v>
      </c>
      <c r="D1" s="893"/>
      <c r="E1" s="893"/>
      <c r="F1" s="893"/>
      <c r="G1" s="893"/>
      <c r="H1" s="893"/>
      <c r="I1" s="893"/>
      <c r="J1" s="893"/>
      <c r="K1" s="893"/>
      <c r="L1" s="893"/>
      <c r="M1" s="893"/>
    </row>
    <row r="2" spans="1:25" ht="16.5" thickBot="1" x14ac:dyDescent="0.3">
      <c r="B2" s="827"/>
      <c r="C2" s="3"/>
      <c r="H2" s="5"/>
      <c r="I2" s="6"/>
      <c r="J2" s="7"/>
      <c r="L2" s="8"/>
      <c r="M2" s="6"/>
      <c r="N2" s="9"/>
    </row>
    <row r="3" spans="1:25" ht="21.75" thickBot="1" x14ac:dyDescent="0.35">
      <c r="B3" s="830" t="s">
        <v>0</v>
      </c>
      <c r="C3" s="831"/>
      <c r="D3" s="10"/>
      <c r="E3" s="11"/>
      <c r="F3" s="11"/>
      <c r="H3" s="832" t="s">
        <v>26</v>
      </c>
      <c r="I3" s="832"/>
      <c r="K3" s="165"/>
      <c r="L3" s="13"/>
      <c r="M3" s="14"/>
      <c r="P3" s="869" t="s">
        <v>6</v>
      </c>
      <c r="R3" s="890" t="s">
        <v>216</v>
      </c>
    </row>
    <row r="4" spans="1:25" ht="32.25" thickTop="1" thickBot="1" x14ac:dyDescent="0.35">
      <c r="A4" s="15" t="s">
        <v>1</v>
      </c>
      <c r="B4" s="16"/>
      <c r="C4" s="17">
        <v>1149740.4099999999</v>
      </c>
      <c r="D4" s="18">
        <v>44591</v>
      </c>
      <c r="E4" s="833" t="s">
        <v>2</v>
      </c>
      <c r="F4" s="834"/>
      <c r="H4" s="835" t="s">
        <v>3</v>
      </c>
      <c r="I4" s="836"/>
      <c r="J4" s="19"/>
      <c r="K4" s="166"/>
      <c r="L4" s="20"/>
      <c r="M4" s="21" t="s">
        <v>4</v>
      </c>
      <c r="N4" s="22" t="s">
        <v>5</v>
      </c>
      <c r="P4" s="870"/>
      <c r="Q4" s="322" t="s">
        <v>217</v>
      </c>
      <c r="R4" s="891"/>
      <c r="W4" s="879" t="s">
        <v>124</v>
      </c>
      <c r="X4" s="879"/>
      <c r="Y4" s="227"/>
    </row>
    <row r="5" spans="1:25" ht="18" thickBot="1" x14ac:dyDescent="0.35">
      <c r="A5" s="23" t="s">
        <v>7</v>
      </c>
      <c r="B5" s="24">
        <v>44592</v>
      </c>
      <c r="C5" s="25">
        <v>8981.5</v>
      </c>
      <c r="D5" s="26" t="s">
        <v>415</v>
      </c>
      <c r="E5" s="27">
        <v>44592</v>
      </c>
      <c r="F5" s="28">
        <v>85750</v>
      </c>
      <c r="G5" s="2"/>
      <c r="H5" s="29">
        <v>44592</v>
      </c>
      <c r="I5" s="30">
        <v>510</v>
      </c>
      <c r="J5" s="37"/>
      <c r="K5" s="31"/>
      <c r="L5" s="9"/>
      <c r="M5" s="32">
        <v>45686.5</v>
      </c>
      <c r="N5" s="33">
        <v>30572</v>
      </c>
      <c r="O5" s="318"/>
      <c r="P5" s="34">
        <f>N5+M5+L5+I5+C5</f>
        <v>85750</v>
      </c>
      <c r="Q5" s="325">
        <f>P5-F5</f>
        <v>0</v>
      </c>
      <c r="R5" s="379">
        <v>0</v>
      </c>
      <c r="S5" s="324"/>
      <c r="W5" s="879"/>
      <c r="X5" s="879"/>
      <c r="Y5" s="233"/>
    </row>
    <row r="6" spans="1:25" ht="18" thickBot="1" x14ac:dyDescent="0.35">
      <c r="A6" s="23"/>
      <c r="B6" s="24">
        <v>44593</v>
      </c>
      <c r="C6" s="25">
        <v>9273</v>
      </c>
      <c r="D6" s="35" t="s">
        <v>416</v>
      </c>
      <c r="E6" s="27">
        <v>44593</v>
      </c>
      <c r="F6" s="28">
        <v>94833</v>
      </c>
      <c r="G6" s="2"/>
      <c r="H6" s="36">
        <v>44593</v>
      </c>
      <c r="I6" s="30">
        <v>1459</v>
      </c>
      <c r="J6" s="37"/>
      <c r="K6" s="38"/>
      <c r="L6" s="39"/>
      <c r="M6" s="32">
        <v>96069</v>
      </c>
      <c r="N6" s="33">
        <v>32598</v>
      </c>
      <c r="O6" s="2"/>
      <c r="P6" s="39">
        <f>N6+M6+L6+I6+C6</f>
        <v>139399</v>
      </c>
      <c r="Q6" s="325">
        <v>0</v>
      </c>
      <c r="R6" s="388">
        <v>44566</v>
      </c>
      <c r="S6" s="147"/>
      <c r="T6" s="128"/>
      <c r="U6" s="380"/>
      <c r="W6" s="234">
        <v>0</v>
      </c>
      <c r="X6" s="237"/>
      <c r="Y6" s="13"/>
    </row>
    <row r="7" spans="1:25" ht="18" thickBot="1" x14ac:dyDescent="0.35">
      <c r="A7" s="23"/>
      <c r="B7" s="24">
        <v>44594</v>
      </c>
      <c r="C7" s="25">
        <v>31778</v>
      </c>
      <c r="D7" s="40" t="s">
        <v>417</v>
      </c>
      <c r="E7" s="27">
        <v>44594</v>
      </c>
      <c r="F7" s="28">
        <v>89368</v>
      </c>
      <c r="G7" s="2"/>
      <c r="H7" s="36">
        <v>44594</v>
      </c>
      <c r="I7" s="30">
        <v>2943.5</v>
      </c>
      <c r="J7" s="37"/>
      <c r="K7" s="38"/>
      <c r="L7" s="39"/>
      <c r="M7" s="32">
        <v>15870.5</v>
      </c>
      <c r="N7" s="33">
        <v>38776</v>
      </c>
      <c r="O7" s="224"/>
      <c r="P7" s="39">
        <f t="shared" ref="P7:P32" si="0">N7+M7+L7+I7+C7</f>
        <v>89368</v>
      </c>
      <c r="Q7" s="317">
        <f t="shared" ref="Q7:Q35" si="1">P7-F7</f>
        <v>0</v>
      </c>
      <c r="R7" s="319">
        <v>0</v>
      </c>
      <c r="S7" s="147"/>
      <c r="T7" s="128"/>
      <c r="U7" s="34">
        <v>0</v>
      </c>
      <c r="W7" s="234">
        <v>0</v>
      </c>
      <c r="X7" s="237"/>
      <c r="Y7" s="13"/>
    </row>
    <row r="8" spans="1:25" ht="18" thickBot="1" x14ac:dyDescent="0.35">
      <c r="A8" s="23"/>
      <c r="B8" s="24">
        <v>44595</v>
      </c>
      <c r="C8" s="25">
        <v>32229</v>
      </c>
      <c r="D8" s="42" t="s">
        <v>418</v>
      </c>
      <c r="E8" s="27">
        <v>44595</v>
      </c>
      <c r="F8" s="28">
        <v>60473</v>
      </c>
      <c r="G8" s="2"/>
      <c r="H8" s="36">
        <v>44595</v>
      </c>
      <c r="I8" s="30">
        <v>1185</v>
      </c>
      <c r="J8" s="43"/>
      <c r="K8" s="38"/>
      <c r="L8" s="39"/>
      <c r="M8" s="32">
        <v>11161</v>
      </c>
      <c r="N8" s="33">
        <v>15898</v>
      </c>
      <c r="O8" s="2"/>
      <c r="P8" s="39">
        <f t="shared" si="0"/>
        <v>60473</v>
      </c>
      <c r="Q8" s="317">
        <f t="shared" si="1"/>
        <v>0</v>
      </c>
      <c r="R8" s="319">
        <v>0</v>
      </c>
      <c r="S8" s="147"/>
      <c r="T8" s="128"/>
      <c r="U8" s="34">
        <v>0</v>
      </c>
      <c r="W8" s="234">
        <v>0</v>
      </c>
      <c r="X8" s="237"/>
      <c r="Y8" s="13"/>
    </row>
    <row r="9" spans="1:25" ht="18" thickBot="1" x14ac:dyDescent="0.35">
      <c r="A9" s="23"/>
      <c r="B9" s="24">
        <v>44596</v>
      </c>
      <c r="C9" s="25">
        <v>3029</v>
      </c>
      <c r="D9" s="42" t="s">
        <v>419</v>
      </c>
      <c r="E9" s="27">
        <v>44596</v>
      </c>
      <c r="F9" s="28">
        <v>92390</v>
      </c>
      <c r="G9" s="2"/>
      <c r="H9" s="36">
        <v>44596</v>
      </c>
      <c r="I9" s="30">
        <v>2606.5</v>
      </c>
      <c r="J9" s="37"/>
      <c r="K9" s="223"/>
      <c r="L9" s="39"/>
      <c r="M9" s="32">
        <v>66431.5</v>
      </c>
      <c r="N9" s="33">
        <v>20323</v>
      </c>
      <c r="O9" s="2"/>
      <c r="P9" s="39">
        <f t="shared" ref="P9:P14" si="2">N9+M9+L9+I9+C9</f>
        <v>92390</v>
      </c>
      <c r="Q9" s="317">
        <f t="shared" si="1"/>
        <v>0</v>
      </c>
      <c r="R9" s="319">
        <v>0</v>
      </c>
      <c r="S9" s="147"/>
      <c r="T9" s="128"/>
      <c r="U9" s="34">
        <v>0</v>
      </c>
      <c r="W9" s="234">
        <v>0</v>
      </c>
      <c r="X9" s="238"/>
      <c r="Y9" s="13"/>
    </row>
    <row r="10" spans="1:25" ht="18" thickBot="1" x14ac:dyDescent="0.35">
      <c r="A10" s="23"/>
      <c r="B10" s="24">
        <v>44597</v>
      </c>
      <c r="C10" s="25">
        <v>15656</v>
      </c>
      <c r="D10" s="40" t="s">
        <v>420</v>
      </c>
      <c r="E10" s="27">
        <v>44597</v>
      </c>
      <c r="F10" s="28">
        <v>97034</v>
      </c>
      <c r="G10" s="2"/>
      <c r="H10" s="36">
        <v>44597</v>
      </c>
      <c r="I10" s="30">
        <v>3824</v>
      </c>
      <c r="J10" s="37">
        <v>44597</v>
      </c>
      <c r="K10" s="167" t="s">
        <v>421</v>
      </c>
      <c r="L10" s="45">
        <v>9659.41</v>
      </c>
      <c r="M10" s="32">
        <v>21600</v>
      </c>
      <c r="N10" s="33">
        <v>46252</v>
      </c>
      <c r="O10" s="2"/>
      <c r="P10" s="39">
        <f>N10+M10+L10+I10+C10</f>
        <v>96991.41</v>
      </c>
      <c r="Q10" s="317">
        <f t="shared" si="1"/>
        <v>-42.589999999996508</v>
      </c>
      <c r="R10" s="319">
        <v>0</v>
      </c>
      <c r="S10" s="147"/>
      <c r="T10" s="128"/>
      <c r="U10" s="34">
        <v>0</v>
      </c>
      <c r="W10" s="234">
        <v>0</v>
      </c>
      <c r="X10" s="238"/>
      <c r="Y10" s="13"/>
    </row>
    <row r="11" spans="1:25" ht="18" thickBot="1" x14ac:dyDescent="0.35">
      <c r="A11" s="23"/>
      <c r="B11" s="24">
        <v>44598</v>
      </c>
      <c r="C11" s="25">
        <v>4784</v>
      </c>
      <c r="D11" s="35" t="s">
        <v>424</v>
      </c>
      <c r="E11" s="27">
        <v>44598</v>
      </c>
      <c r="F11" s="28">
        <v>75320</v>
      </c>
      <c r="G11" s="2"/>
      <c r="H11" s="36">
        <v>44598</v>
      </c>
      <c r="I11" s="30">
        <v>2399</v>
      </c>
      <c r="J11" s="43"/>
      <c r="K11" s="168"/>
      <c r="L11" s="39"/>
      <c r="M11" s="32">
        <v>42682</v>
      </c>
      <c r="N11" s="33">
        <v>25499</v>
      </c>
      <c r="O11" s="2"/>
      <c r="P11" s="39">
        <f t="shared" si="2"/>
        <v>75364</v>
      </c>
      <c r="Q11" s="325">
        <f t="shared" si="1"/>
        <v>44</v>
      </c>
      <c r="R11" s="319">
        <v>0</v>
      </c>
      <c r="S11" s="147"/>
      <c r="T11" s="128"/>
      <c r="U11" s="34">
        <v>0</v>
      </c>
      <c r="W11" s="234">
        <v>0</v>
      </c>
      <c r="X11" s="237"/>
      <c r="Y11" s="13"/>
    </row>
    <row r="12" spans="1:25" ht="18" thickBot="1" x14ac:dyDescent="0.35">
      <c r="A12" s="23"/>
      <c r="B12" s="24">
        <v>44599</v>
      </c>
      <c r="C12" s="25">
        <v>15387</v>
      </c>
      <c r="D12" s="35" t="s">
        <v>425</v>
      </c>
      <c r="E12" s="27">
        <v>44599</v>
      </c>
      <c r="F12" s="28">
        <v>87730</v>
      </c>
      <c r="G12" s="2"/>
      <c r="H12" s="36">
        <v>44599</v>
      </c>
      <c r="I12" s="30">
        <v>410.5</v>
      </c>
      <c r="J12" s="37"/>
      <c r="K12" s="169"/>
      <c r="L12" s="39"/>
      <c r="M12" s="32">
        <f>7964+42823.5</f>
        <v>50787.5</v>
      </c>
      <c r="N12" s="33">
        <v>21145</v>
      </c>
      <c r="O12" s="328"/>
      <c r="P12" s="39">
        <f t="shared" si="2"/>
        <v>87730</v>
      </c>
      <c r="Q12" s="317">
        <f t="shared" si="1"/>
        <v>0</v>
      </c>
      <c r="R12" s="319">
        <v>0</v>
      </c>
      <c r="S12" s="147"/>
      <c r="T12" s="128"/>
      <c r="U12" s="34">
        <f>SUM(U7:U11)</f>
        <v>0</v>
      </c>
      <c r="W12" s="234">
        <v>0</v>
      </c>
      <c r="X12" s="237"/>
      <c r="Y12" s="13"/>
    </row>
    <row r="13" spans="1:25" ht="18" thickBot="1" x14ac:dyDescent="0.35">
      <c r="A13" s="23"/>
      <c r="B13" s="24">
        <v>44600</v>
      </c>
      <c r="C13" s="25">
        <v>8670</v>
      </c>
      <c r="D13" s="42" t="s">
        <v>428</v>
      </c>
      <c r="E13" s="27">
        <v>44600</v>
      </c>
      <c r="F13" s="28">
        <v>98373</v>
      </c>
      <c r="G13" s="2"/>
      <c r="H13" s="36">
        <v>44600</v>
      </c>
      <c r="I13" s="30">
        <v>1328</v>
      </c>
      <c r="J13" s="37"/>
      <c r="K13" s="38"/>
      <c r="L13" s="39"/>
      <c r="M13" s="32">
        <v>61009</v>
      </c>
      <c r="N13" s="33">
        <v>27366</v>
      </c>
      <c r="O13" s="2"/>
      <c r="P13" s="39">
        <f t="shared" si="2"/>
        <v>98373</v>
      </c>
      <c r="Q13" s="317">
        <f t="shared" si="1"/>
        <v>0</v>
      </c>
      <c r="R13" s="319">
        <v>0</v>
      </c>
      <c r="S13" s="381"/>
      <c r="T13" s="128"/>
      <c r="U13" s="34"/>
      <c r="W13" s="234">
        <v>0</v>
      </c>
      <c r="X13" s="237"/>
      <c r="Y13" s="13"/>
    </row>
    <row r="14" spans="1:25" ht="18" thickBot="1" x14ac:dyDescent="0.35">
      <c r="A14" s="23"/>
      <c r="B14" s="24">
        <v>44601</v>
      </c>
      <c r="C14" s="25">
        <v>15994</v>
      </c>
      <c r="D14" s="40" t="s">
        <v>426</v>
      </c>
      <c r="E14" s="27">
        <v>44601</v>
      </c>
      <c r="F14" s="28">
        <v>147661</v>
      </c>
      <c r="G14" s="2"/>
      <c r="H14" s="36">
        <v>44601</v>
      </c>
      <c r="I14" s="30">
        <v>3417</v>
      </c>
      <c r="J14" s="37"/>
      <c r="K14" s="38"/>
      <c r="L14" s="39"/>
      <c r="M14" s="32">
        <v>108127</v>
      </c>
      <c r="N14" s="33">
        <v>20123</v>
      </c>
      <c r="O14" s="2"/>
      <c r="P14" s="39">
        <f t="shared" si="2"/>
        <v>147661</v>
      </c>
      <c r="Q14" s="317" t="s">
        <v>427</v>
      </c>
      <c r="R14" s="319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44602</v>
      </c>
      <c r="C15" s="25">
        <v>5420</v>
      </c>
      <c r="D15" s="40" t="s">
        <v>429</v>
      </c>
      <c r="E15" s="27">
        <v>44602</v>
      </c>
      <c r="F15" s="28">
        <v>93319</v>
      </c>
      <c r="G15" s="2"/>
      <c r="H15" s="36">
        <v>44602</v>
      </c>
      <c r="I15" s="30">
        <v>2651</v>
      </c>
      <c r="J15" s="37"/>
      <c r="K15" s="38"/>
      <c r="L15" s="39"/>
      <c r="M15" s="32">
        <f>37988+10000+3340</f>
        <v>51328</v>
      </c>
      <c r="N15" s="33">
        <v>35435</v>
      </c>
      <c r="P15" s="39">
        <f t="shared" si="0"/>
        <v>94834</v>
      </c>
      <c r="Q15" s="418">
        <f t="shared" si="1"/>
        <v>1515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44603</v>
      </c>
      <c r="C16" s="25">
        <v>9368</v>
      </c>
      <c r="D16" s="35" t="s">
        <v>430</v>
      </c>
      <c r="E16" s="27">
        <v>44603</v>
      </c>
      <c r="F16" s="28">
        <v>98105</v>
      </c>
      <c r="G16" s="2"/>
      <c r="H16" s="36">
        <v>44603</v>
      </c>
      <c r="I16" s="30">
        <v>472.5</v>
      </c>
      <c r="J16" s="37"/>
      <c r="K16" s="169"/>
      <c r="L16" s="9"/>
      <c r="M16" s="32">
        <f>53682.5+10000+100</f>
        <v>63782.5</v>
      </c>
      <c r="N16" s="33">
        <v>24582</v>
      </c>
      <c r="O16" s="330"/>
      <c r="P16" s="39">
        <f t="shared" si="0"/>
        <v>98205</v>
      </c>
      <c r="Q16" s="325">
        <f t="shared" si="1"/>
        <v>100</v>
      </c>
      <c r="R16" s="319">
        <v>0</v>
      </c>
      <c r="S16" s="331"/>
      <c r="W16" s="234">
        <v>0</v>
      </c>
      <c r="X16" s="239"/>
      <c r="Y16" s="233"/>
    </row>
    <row r="17" spans="1:26" ht="18" thickBot="1" x14ac:dyDescent="0.35">
      <c r="A17" s="23"/>
      <c r="B17" s="24">
        <v>44604</v>
      </c>
      <c r="C17" s="25">
        <v>16691</v>
      </c>
      <c r="D17" s="42" t="s">
        <v>432</v>
      </c>
      <c r="E17" s="27">
        <v>44604</v>
      </c>
      <c r="F17" s="28">
        <v>124649</v>
      </c>
      <c r="G17" s="2"/>
      <c r="H17" s="36">
        <v>44604</v>
      </c>
      <c r="I17" s="30">
        <v>2742</v>
      </c>
      <c r="J17" s="37">
        <v>44604</v>
      </c>
      <c r="K17" s="38" t="s">
        <v>433</v>
      </c>
      <c r="L17" s="45">
        <v>13699.71</v>
      </c>
      <c r="M17" s="32">
        <v>43768</v>
      </c>
      <c r="N17" s="33">
        <v>47548</v>
      </c>
      <c r="P17" s="39">
        <f t="shared" si="0"/>
        <v>124448.70999999999</v>
      </c>
      <c r="Q17" s="317">
        <f t="shared" si="1"/>
        <v>-200.29000000000815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44605</v>
      </c>
      <c r="C18" s="25">
        <v>0</v>
      </c>
      <c r="D18" s="35"/>
      <c r="E18" s="27">
        <v>44605</v>
      </c>
      <c r="F18" s="28">
        <v>89703</v>
      </c>
      <c r="G18" s="2"/>
      <c r="H18" s="36">
        <v>44605</v>
      </c>
      <c r="I18" s="30">
        <v>1050</v>
      </c>
      <c r="J18" s="37"/>
      <c r="K18" s="170"/>
      <c r="L18" s="39"/>
      <c r="M18" s="32">
        <v>59160</v>
      </c>
      <c r="N18" s="33">
        <v>29493</v>
      </c>
      <c r="P18" s="39">
        <f t="shared" si="0"/>
        <v>89703</v>
      </c>
      <c r="Q18" s="317">
        <f t="shared" si="1"/>
        <v>0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44606</v>
      </c>
      <c r="C19" s="25">
        <v>17472</v>
      </c>
      <c r="D19" s="35" t="s">
        <v>434</v>
      </c>
      <c r="E19" s="27">
        <v>44606</v>
      </c>
      <c r="F19" s="28">
        <v>132950</v>
      </c>
      <c r="G19" s="2"/>
      <c r="H19" s="36">
        <v>44606</v>
      </c>
      <c r="I19" s="30">
        <v>3720</v>
      </c>
      <c r="J19" s="37"/>
      <c r="K19" s="46"/>
      <c r="L19" s="47"/>
      <c r="M19" s="32">
        <v>72650</v>
      </c>
      <c r="N19" s="33">
        <v>39309</v>
      </c>
      <c r="P19" s="39">
        <f t="shared" si="0"/>
        <v>133151</v>
      </c>
      <c r="Q19" s="325">
        <f t="shared" si="1"/>
        <v>201</v>
      </c>
      <c r="R19" s="319">
        <v>0</v>
      </c>
      <c r="S19" s="147"/>
      <c r="W19" s="883">
        <f>SUM(W6:W18)</f>
        <v>0</v>
      </c>
      <c r="X19" s="240"/>
      <c r="Y19" s="233"/>
    </row>
    <row r="20" spans="1:26" ht="18" thickBot="1" x14ac:dyDescent="0.35">
      <c r="A20" s="23"/>
      <c r="B20" s="24">
        <v>44607</v>
      </c>
      <c r="C20" s="25">
        <v>36451</v>
      </c>
      <c r="D20" s="35" t="s">
        <v>435</v>
      </c>
      <c r="E20" s="27">
        <v>44607</v>
      </c>
      <c r="F20" s="28">
        <v>72030</v>
      </c>
      <c r="G20" s="2"/>
      <c r="H20" s="36">
        <v>44607</v>
      </c>
      <c r="I20" s="30">
        <v>4564.5</v>
      </c>
      <c r="J20" s="37"/>
      <c r="K20" s="171"/>
      <c r="L20" s="45"/>
      <c r="M20" s="32">
        <v>13632.5</v>
      </c>
      <c r="N20" s="33">
        <v>17382</v>
      </c>
      <c r="P20" s="39">
        <f t="shared" si="0"/>
        <v>72030</v>
      </c>
      <c r="Q20" s="325">
        <f t="shared" si="1"/>
        <v>0</v>
      </c>
      <c r="R20" s="319">
        <v>0</v>
      </c>
      <c r="S20" s="147"/>
      <c r="W20" s="884"/>
      <c r="X20" s="268"/>
      <c r="Y20" s="233"/>
    </row>
    <row r="21" spans="1:26" ht="18" thickBot="1" x14ac:dyDescent="0.35">
      <c r="A21" s="23"/>
      <c r="B21" s="24">
        <v>44608</v>
      </c>
      <c r="C21" s="25">
        <v>13737</v>
      </c>
      <c r="D21" s="35" t="s">
        <v>426</v>
      </c>
      <c r="E21" s="27">
        <v>44608</v>
      </c>
      <c r="F21" s="28">
        <v>88777</v>
      </c>
      <c r="G21" s="2"/>
      <c r="H21" s="36">
        <v>44608</v>
      </c>
      <c r="I21" s="30">
        <v>778.5</v>
      </c>
      <c r="J21" s="37"/>
      <c r="K21" s="48"/>
      <c r="L21" s="45"/>
      <c r="M21" s="32">
        <f>3529+18072+51674.5</f>
        <v>73275.5</v>
      </c>
      <c r="N21" s="33">
        <v>17543</v>
      </c>
      <c r="P21" s="39">
        <f t="shared" si="0"/>
        <v>105334</v>
      </c>
      <c r="Q21" s="417">
        <v>-1515</v>
      </c>
      <c r="R21" s="388">
        <v>18072</v>
      </c>
      <c r="S21" s="147"/>
      <c r="W21" s="885"/>
      <c r="X21" s="885"/>
      <c r="Y21" s="233"/>
      <c r="Z21" s="128"/>
    </row>
    <row r="22" spans="1:26" ht="18" thickBot="1" x14ac:dyDescent="0.35">
      <c r="A22" s="23"/>
      <c r="B22" s="24">
        <v>44609</v>
      </c>
      <c r="C22" s="25">
        <v>39620</v>
      </c>
      <c r="D22" s="35" t="s">
        <v>436</v>
      </c>
      <c r="E22" s="27">
        <v>44609</v>
      </c>
      <c r="F22" s="28">
        <v>78137</v>
      </c>
      <c r="G22" s="2"/>
      <c r="H22" s="36">
        <v>44609</v>
      </c>
      <c r="I22" s="30">
        <v>1308.5</v>
      </c>
      <c r="J22" s="37"/>
      <c r="K22" s="31"/>
      <c r="L22" s="49"/>
      <c r="M22" s="32">
        <v>14143.5</v>
      </c>
      <c r="N22" s="33">
        <v>23065</v>
      </c>
      <c r="P22" s="39">
        <f t="shared" si="0"/>
        <v>78137</v>
      </c>
      <c r="Q22" s="325">
        <f t="shared" si="1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44610</v>
      </c>
      <c r="C23" s="25">
        <v>12767</v>
      </c>
      <c r="D23" s="35" t="s">
        <v>437</v>
      </c>
      <c r="E23" s="27">
        <v>44610</v>
      </c>
      <c r="F23" s="28">
        <v>103716</v>
      </c>
      <c r="G23" s="2"/>
      <c r="H23" s="36">
        <v>44610</v>
      </c>
      <c r="I23" s="30">
        <v>7591</v>
      </c>
      <c r="J23" s="50"/>
      <c r="K23" s="172"/>
      <c r="L23" s="45"/>
      <c r="M23" s="32">
        <v>51898</v>
      </c>
      <c r="N23" s="33">
        <v>31460</v>
      </c>
      <c r="P23" s="39">
        <f t="shared" si="0"/>
        <v>103716</v>
      </c>
      <c r="Q23" s="325">
        <f t="shared" si="1"/>
        <v>0</v>
      </c>
      <c r="R23" s="319">
        <v>0</v>
      </c>
      <c r="S23" s="147"/>
      <c r="W23" s="886"/>
      <c r="X23" s="886"/>
      <c r="Y23" s="233"/>
      <c r="Z23" s="128"/>
    </row>
    <row r="24" spans="1:26" ht="18" thickBot="1" x14ac:dyDescent="0.35">
      <c r="A24" s="23"/>
      <c r="B24" s="24">
        <v>44611</v>
      </c>
      <c r="C24" s="25">
        <v>18706</v>
      </c>
      <c r="D24" s="42" t="s">
        <v>438</v>
      </c>
      <c r="E24" s="27">
        <v>44611</v>
      </c>
      <c r="F24" s="28">
        <v>167635</v>
      </c>
      <c r="G24" s="2"/>
      <c r="H24" s="36">
        <v>44611</v>
      </c>
      <c r="I24" s="30">
        <v>4947</v>
      </c>
      <c r="J24" s="51">
        <v>44611</v>
      </c>
      <c r="K24" s="173" t="s">
        <v>439</v>
      </c>
      <c r="L24" s="52">
        <v>12038</v>
      </c>
      <c r="M24" s="32">
        <v>79954</v>
      </c>
      <c r="N24" s="33">
        <v>51990</v>
      </c>
      <c r="P24" s="39">
        <f>N24+M24+L24+I24+C24</f>
        <v>167635</v>
      </c>
      <c r="Q24" s="325">
        <f t="shared" si="1"/>
        <v>0</v>
      </c>
      <c r="R24" s="319">
        <v>0</v>
      </c>
      <c r="S24" s="147"/>
      <c r="W24" s="886"/>
      <c r="X24" s="886"/>
      <c r="Y24" s="233"/>
      <c r="Z24" s="128"/>
    </row>
    <row r="25" spans="1:26" ht="19.5" thickBot="1" x14ac:dyDescent="0.35">
      <c r="A25" s="23"/>
      <c r="B25" s="24">
        <v>44612</v>
      </c>
      <c r="C25" s="25">
        <v>22985.5</v>
      </c>
      <c r="D25" s="35" t="s">
        <v>441</v>
      </c>
      <c r="E25" s="27">
        <v>44612</v>
      </c>
      <c r="F25" s="28">
        <v>78991</v>
      </c>
      <c r="G25" s="2"/>
      <c r="H25" s="36">
        <v>44612</v>
      </c>
      <c r="I25" s="30">
        <v>2120</v>
      </c>
      <c r="J25" s="50"/>
      <c r="K25" s="38"/>
      <c r="L25" s="54"/>
      <c r="M25" s="32">
        <v>28600</v>
      </c>
      <c r="N25" s="33">
        <v>25290</v>
      </c>
      <c r="P25" s="283">
        <f t="shared" si="0"/>
        <v>78995.5</v>
      </c>
      <c r="Q25" s="325">
        <f t="shared" si="1"/>
        <v>4.5</v>
      </c>
      <c r="R25" s="319">
        <v>0</v>
      </c>
      <c r="W25" s="887"/>
      <c r="X25" s="887"/>
      <c r="Y25" s="233"/>
      <c r="Z25" s="128"/>
    </row>
    <row r="26" spans="1:26" ht="19.5" thickBot="1" x14ac:dyDescent="0.35">
      <c r="A26" s="23"/>
      <c r="B26" s="24">
        <v>44613</v>
      </c>
      <c r="C26" s="25">
        <v>9006</v>
      </c>
      <c r="D26" s="35" t="s">
        <v>442</v>
      </c>
      <c r="E26" s="27">
        <v>44613</v>
      </c>
      <c r="F26" s="28">
        <v>97381</v>
      </c>
      <c r="G26" s="2"/>
      <c r="H26" s="36">
        <v>44613</v>
      </c>
      <c r="I26" s="30">
        <v>1027</v>
      </c>
      <c r="J26" s="37"/>
      <c r="K26" s="173"/>
      <c r="L26" s="45"/>
      <c r="M26" s="32">
        <v>42345</v>
      </c>
      <c r="N26" s="33">
        <v>45003</v>
      </c>
      <c r="P26" s="284">
        <f t="shared" si="0"/>
        <v>97381</v>
      </c>
      <c r="Q26" s="325">
        <f t="shared" si="1"/>
        <v>0</v>
      </c>
      <c r="R26" s="319">
        <v>0</v>
      </c>
      <c r="W26" s="887"/>
      <c r="X26" s="887"/>
      <c r="Y26" s="233"/>
      <c r="Z26" s="128"/>
    </row>
    <row r="27" spans="1:26" ht="18" thickBot="1" x14ac:dyDescent="0.35">
      <c r="A27" s="23"/>
      <c r="B27" s="24">
        <v>44614</v>
      </c>
      <c r="C27" s="25">
        <v>7975.9</v>
      </c>
      <c r="D27" s="42" t="s">
        <v>443</v>
      </c>
      <c r="E27" s="27">
        <v>44614</v>
      </c>
      <c r="F27" s="28">
        <v>55967</v>
      </c>
      <c r="G27" s="2"/>
      <c r="H27" s="36">
        <v>44614</v>
      </c>
      <c r="I27" s="30">
        <v>1430.5</v>
      </c>
      <c r="J27" s="55"/>
      <c r="K27" s="174"/>
      <c r="L27" s="54"/>
      <c r="M27" s="32">
        <v>26862</v>
      </c>
      <c r="N27" s="33">
        <v>19699</v>
      </c>
      <c r="P27" s="39">
        <f t="shared" si="0"/>
        <v>55967.4</v>
      </c>
      <c r="Q27" s="325">
        <f t="shared" si="1"/>
        <v>0.40000000000145519</v>
      </c>
      <c r="R27" s="319">
        <v>0</v>
      </c>
      <c r="W27" s="880"/>
      <c r="X27" s="881"/>
      <c r="Y27" s="882"/>
      <c r="Z27" s="128"/>
    </row>
    <row r="28" spans="1:26" ht="18" thickBot="1" x14ac:dyDescent="0.35">
      <c r="A28" s="23"/>
      <c r="B28" s="24">
        <v>44615</v>
      </c>
      <c r="C28" s="25">
        <v>14054</v>
      </c>
      <c r="D28" s="42" t="s">
        <v>444</v>
      </c>
      <c r="E28" s="27">
        <v>44615</v>
      </c>
      <c r="F28" s="28">
        <v>75249</v>
      </c>
      <c r="G28" s="2"/>
      <c r="H28" s="36">
        <v>44615</v>
      </c>
      <c r="I28" s="30">
        <v>2110</v>
      </c>
      <c r="J28" s="56"/>
      <c r="K28" s="57"/>
      <c r="L28" s="54"/>
      <c r="M28" s="32">
        <f>1001+259+46764</f>
        <v>48024</v>
      </c>
      <c r="N28" s="33">
        <v>11061</v>
      </c>
      <c r="P28" s="34">
        <f t="shared" si="0"/>
        <v>75249</v>
      </c>
      <c r="Q28" s="325">
        <f t="shared" si="1"/>
        <v>0</v>
      </c>
      <c r="R28" s="319">
        <v>0</v>
      </c>
      <c r="W28" s="881"/>
      <c r="X28" s="881"/>
      <c r="Y28" s="882"/>
      <c r="Z28" s="128"/>
    </row>
    <row r="29" spans="1:26" ht="18" thickBot="1" x14ac:dyDescent="0.35">
      <c r="A29" s="23"/>
      <c r="B29" s="24">
        <v>44616</v>
      </c>
      <c r="C29" s="25">
        <v>6774</v>
      </c>
      <c r="D29" s="58" t="s">
        <v>445</v>
      </c>
      <c r="E29" s="27">
        <v>44616</v>
      </c>
      <c r="F29" s="28">
        <v>65978</v>
      </c>
      <c r="G29" s="2"/>
      <c r="H29" s="36">
        <v>44616</v>
      </c>
      <c r="I29" s="30">
        <v>1660</v>
      </c>
      <c r="J29" s="59"/>
      <c r="K29" s="175"/>
      <c r="L29" s="54"/>
      <c r="M29" s="32">
        <f>3507.28+46135</f>
        <v>49642.28</v>
      </c>
      <c r="N29" s="33">
        <f>7491+411</f>
        <v>7902</v>
      </c>
      <c r="O29" s="421" t="s">
        <v>461</v>
      </c>
      <c r="P29" s="34">
        <f t="shared" si="0"/>
        <v>65978.28</v>
      </c>
      <c r="Q29" s="325">
        <f t="shared" si="1"/>
        <v>0.27999999999883585</v>
      </c>
      <c r="R29" s="319">
        <v>0</v>
      </c>
      <c r="T29" s="423">
        <v>7491</v>
      </c>
      <c r="U29" s="336"/>
      <c r="W29" s="128"/>
      <c r="X29" s="310"/>
      <c r="Y29" s="311"/>
      <c r="Z29" s="128"/>
    </row>
    <row r="30" spans="1:26" ht="18" thickBot="1" x14ac:dyDescent="0.35">
      <c r="A30" s="23"/>
      <c r="B30" s="24">
        <v>44617</v>
      </c>
      <c r="C30" s="25">
        <v>10378</v>
      </c>
      <c r="D30" s="58" t="s">
        <v>446</v>
      </c>
      <c r="E30" s="27">
        <v>44617</v>
      </c>
      <c r="F30" s="28">
        <v>749838</v>
      </c>
      <c r="G30" s="2"/>
      <c r="H30" s="36">
        <v>44617</v>
      </c>
      <c r="I30" s="30">
        <v>1490</v>
      </c>
      <c r="J30" s="60"/>
      <c r="K30" s="41"/>
      <c r="L30" s="61"/>
      <c r="M30" s="32">
        <f>680259.73+69394+54204.48</f>
        <v>803858.21</v>
      </c>
      <c r="N30" s="33">
        <v>26626</v>
      </c>
      <c r="O30" s="422" t="s">
        <v>462</v>
      </c>
      <c r="P30" s="34">
        <f t="shared" si="0"/>
        <v>842352.21</v>
      </c>
      <c r="Q30" s="325">
        <v>0</v>
      </c>
      <c r="R30" s="420">
        <v>92514</v>
      </c>
      <c r="T30" s="423">
        <v>26626</v>
      </c>
      <c r="X30" s="225"/>
      <c r="Y30" s="227"/>
    </row>
    <row r="31" spans="1:26" ht="18" thickBot="1" x14ac:dyDescent="0.35">
      <c r="A31" s="23"/>
      <c r="B31" s="24">
        <v>44618</v>
      </c>
      <c r="C31" s="25">
        <v>6319</v>
      </c>
      <c r="D31" s="65" t="s">
        <v>447</v>
      </c>
      <c r="E31" s="27">
        <v>44618</v>
      </c>
      <c r="F31" s="28">
        <v>107356</v>
      </c>
      <c r="G31" s="2"/>
      <c r="H31" s="36">
        <v>44618</v>
      </c>
      <c r="I31" s="30">
        <v>4829</v>
      </c>
      <c r="J31" s="60">
        <v>44618</v>
      </c>
      <c r="K31" s="41" t="s">
        <v>448</v>
      </c>
      <c r="L31" s="63">
        <v>16621.14</v>
      </c>
      <c r="M31" s="32">
        <f>998+41741</f>
        <v>42739</v>
      </c>
      <c r="N31" s="33">
        <f>10137+26711</f>
        <v>36848</v>
      </c>
      <c r="O31" s="421" t="s">
        <v>463</v>
      </c>
      <c r="P31" s="34">
        <f t="shared" si="0"/>
        <v>107356.14</v>
      </c>
      <c r="Q31" s="111">
        <f t="shared" si="1"/>
        <v>0.13999999999941792</v>
      </c>
      <c r="R31" s="321">
        <v>0</v>
      </c>
      <c r="T31" s="423">
        <v>10137</v>
      </c>
    </row>
    <row r="32" spans="1:26" ht="18" thickBot="1" x14ac:dyDescent="0.35">
      <c r="A32" s="23"/>
      <c r="B32" s="24">
        <v>44619</v>
      </c>
      <c r="C32" s="25">
        <v>3900</v>
      </c>
      <c r="D32" s="64" t="s">
        <v>450</v>
      </c>
      <c r="E32" s="27">
        <v>44619</v>
      </c>
      <c r="F32" s="28">
        <v>86103</v>
      </c>
      <c r="G32" s="2"/>
      <c r="H32" s="36">
        <v>44619</v>
      </c>
      <c r="I32" s="30">
        <v>1109</v>
      </c>
      <c r="J32" s="60"/>
      <c r="K32" s="41"/>
      <c r="L32" s="61"/>
      <c r="M32" s="32">
        <f>51650+7128</f>
        <v>58778</v>
      </c>
      <c r="N32" s="33">
        <v>22320</v>
      </c>
      <c r="P32" s="34">
        <f t="shared" si="0"/>
        <v>86107</v>
      </c>
      <c r="Q32" s="111">
        <f t="shared" si="1"/>
        <v>4</v>
      </c>
      <c r="R32" s="228">
        <v>0</v>
      </c>
      <c r="T32" s="423">
        <v>0</v>
      </c>
    </row>
    <row r="33" spans="1:20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247"/>
      <c r="L33" s="66"/>
      <c r="M33" s="32">
        <v>0</v>
      </c>
      <c r="N33" s="33">
        <v>0</v>
      </c>
      <c r="P33" s="34">
        <v>0</v>
      </c>
      <c r="Q33" s="111">
        <f t="shared" si="1"/>
        <v>0</v>
      </c>
      <c r="R33" s="228"/>
      <c r="T33" s="424">
        <f>SUM(T29:T32)</f>
        <v>44254</v>
      </c>
    </row>
    <row r="34" spans="1:20" ht="18" thickBot="1" x14ac:dyDescent="0.35">
      <c r="A34" s="23"/>
      <c r="B34" s="24">
        <v>44602</v>
      </c>
      <c r="C34" s="25">
        <v>808.83</v>
      </c>
      <c r="D34" s="64" t="s">
        <v>572</v>
      </c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P34" s="34">
        <v>0</v>
      </c>
      <c r="Q34" s="111">
        <f t="shared" si="1"/>
        <v>0</v>
      </c>
      <c r="R34" s="228"/>
    </row>
    <row r="35" spans="1:20" ht="18" thickBot="1" x14ac:dyDescent="0.35">
      <c r="A35" s="23"/>
      <c r="B35" s="24">
        <v>44604</v>
      </c>
      <c r="C35" s="25">
        <v>622709.4</v>
      </c>
      <c r="D35" s="64" t="s">
        <v>570</v>
      </c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>
        <v>0</v>
      </c>
      <c r="Q35" s="419">
        <f t="shared" si="1"/>
        <v>0</v>
      </c>
      <c r="R35" s="228"/>
    </row>
    <row r="36" spans="1:20" ht="18" customHeight="1" thickBot="1" x14ac:dyDescent="0.3">
      <c r="A36" s="23"/>
      <c r="B36" s="24">
        <v>44609</v>
      </c>
      <c r="C36" s="25">
        <v>18633.96</v>
      </c>
      <c r="D36" s="65" t="s">
        <v>571</v>
      </c>
      <c r="E36" s="27"/>
      <c r="F36" s="28"/>
      <c r="G36" s="2"/>
      <c r="H36" s="36"/>
      <c r="I36" s="30"/>
      <c r="J36" s="266"/>
      <c r="K36" s="250"/>
      <c r="L36" s="44"/>
      <c r="M36" s="871">
        <f>SUM(M5:M35)</f>
        <v>2143864.4900000002</v>
      </c>
      <c r="N36" s="873">
        <f>SUM(N5:N35)</f>
        <v>791108</v>
      </c>
      <c r="O36" s="276"/>
      <c r="P36" s="277">
        <v>0</v>
      </c>
      <c r="Q36" s="917">
        <f>SUM(Q5:Q35)</f>
        <v>111.43999999999505</v>
      </c>
      <c r="R36" s="228"/>
    </row>
    <row r="37" spans="1:20" ht="18" customHeight="1" thickBot="1" x14ac:dyDescent="0.3">
      <c r="A37" s="23"/>
      <c r="B37" s="24"/>
      <c r="C37" s="25"/>
      <c r="D37" s="65"/>
      <c r="E37" s="27"/>
      <c r="F37" s="28"/>
      <c r="G37" s="2"/>
      <c r="H37" s="36"/>
      <c r="I37" s="30"/>
      <c r="J37" s="60" t="s">
        <v>422</v>
      </c>
      <c r="K37" s="41" t="s">
        <v>423</v>
      </c>
      <c r="L37" s="61">
        <v>16518.78</v>
      </c>
      <c r="M37" s="872"/>
      <c r="N37" s="874"/>
      <c r="O37" s="276"/>
      <c r="P37" s="277">
        <v>0</v>
      </c>
      <c r="Q37" s="918"/>
      <c r="R37" s="227" t="s">
        <v>7</v>
      </c>
    </row>
    <row r="38" spans="1:20" ht="18" thickBot="1" x14ac:dyDescent="0.35">
      <c r="A38" s="23"/>
      <c r="B38" s="24"/>
      <c r="C38" s="25"/>
      <c r="D38" s="65"/>
      <c r="E38" s="27"/>
      <c r="F38" s="28"/>
      <c r="G38" s="2"/>
      <c r="H38" s="36"/>
      <c r="I38" s="30"/>
      <c r="J38" s="60" t="s">
        <v>422</v>
      </c>
      <c r="K38" s="177" t="s">
        <v>431</v>
      </c>
      <c r="L38" s="61">
        <v>17618.78</v>
      </c>
      <c r="M38" s="270"/>
      <c r="N38" s="271"/>
      <c r="P38" s="151">
        <v>0</v>
      </c>
      <c r="Q38" s="274"/>
    </row>
    <row r="39" spans="1:20" ht="19.5" thickBot="1" x14ac:dyDescent="0.35">
      <c r="A39" s="23"/>
      <c r="B39" s="24"/>
      <c r="C39" s="69"/>
      <c r="D39" s="62"/>
      <c r="E39" s="27"/>
      <c r="F39" s="70"/>
      <c r="G39" s="2"/>
      <c r="H39" s="36"/>
      <c r="I39" s="71"/>
      <c r="J39" s="60" t="s">
        <v>422</v>
      </c>
      <c r="K39" s="177" t="s">
        <v>440</v>
      </c>
      <c r="L39" s="61">
        <v>14981.03</v>
      </c>
      <c r="M39" s="919">
        <f>M36+N36</f>
        <v>2934972.49</v>
      </c>
      <c r="N39" s="920"/>
      <c r="P39" s="34">
        <f>SUM(P5:P38)</f>
        <v>3450079.65</v>
      </c>
      <c r="Q39" s="275"/>
    </row>
    <row r="40" spans="1:20" ht="18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 t="s">
        <v>422</v>
      </c>
      <c r="K40" s="41" t="s">
        <v>449</v>
      </c>
      <c r="L40" s="61">
        <v>13372.77</v>
      </c>
      <c r="M40" s="278"/>
      <c r="N40" s="278"/>
      <c r="P40" s="34"/>
      <c r="Q40" s="13"/>
    </row>
    <row r="41" spans="1:20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20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51"/>
      <c r="K42" s="173"/>
      <c r="L42" s="52"/>
      <c r="M42" s="269"/>
      <c r="N42" s="269"/>
      <c r="P42" s="34"/>
      <c r="Q42" s="13"/>
    </row>
    <row r="43" spans="1:20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50"/>
      <c r="K43" s="38"/>
      <c r="L43" s="54"/>
      <c r="M43" s="269"/>
      <c r="N43" s="269"/>
      <c r="P43" s="34"/>
      <c r="Q43" s="13"/>
    </row>
    <row r="44" spans="1:20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20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20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20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20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458" t="s">
        <v>573</v>
      </c>
      <c r="K49" s="164" t="s">
        <v>574</v>
      </c>
      <c r="L49" s="9">
        <v>17279.18</v>
      </c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1039558.0900000001</v>
      </c>
      <c r="D50" s="88"/>
      <c r="E50" s="89" t="s">
        <v>8</v>
      </c>
      <c r="F50" s="90">
        <f>SUM(F5:F49)</f>
        <v>3294816</v>
      </c>
      <c r="G50" s="88"/>
      <c r="H50" s="91" t="s">
        <v>9</v>
      </c>
      <c r="I50" s="92">
        <f>SUM(I5:I49)</f>
        <v>65683</v>
      </c>
      <c r="J50" s="93"/>
      <c r="K50" s="94" t="s">
        <v>10</v>
      </c>
      <c r="L50" s="95">
        <f>SUM(L5:L49)</f>
        <v>131788.79999999999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848" t="s">
        <v>11</v>
      </c>
      <c r="I52" s="849"/>
      <c r="J52" s="100"/>
      <c r="K52" s="850">
        <f>I50+L50</f>
        <v>197471.8</v>
      </c>
      <c r="L52" s="877"/>
      <c r="M52" s="272"/>
      <c r="N52" s="272"/>
      <c r="P52" s="34"/>
      <c r="Q52" s="13"/>
    </row>
    <row r="53" spans="1:17" x14ac:dyDescent="0.25">
      <c r="D53" s="854" t="s">
        <v>12</v>
      </c>
      <c r="E53" s="854"/>
      <c r="F53" s="312">
        <f>F50-K52-C50</f>
        <v>2057786.11</v>
      </c>
      <c r="I53" s="102"/>
      <c r="J53" s="103"/>
    </row>
    <row r="54" spans="1:17" ht="18.75" x14ac:dyDescent="0.3">
      <c r="D54" s="878" t="s">
        <v>95</v>
      </c>
      <c r="E54" s="878"/>
      <c r="F54" s="111">
        <v>-1702928.14</v>
      </c>
      <c r="I54" s="855" t="s">
        <v>13</v>
      </c>
      <c r="J54" s="856"/>
      <c r="K54" s="857">
        <f>F56+F57+F58</f>
        <v>1147965.3400000003</v>
      </c>
      <c r="L54" s="857"/>
      <c r="M54" s="404"/>
      <c r="N54" s="404"/>
      <c r="O54" s="404"/>
      <c r="P54" s="404"/>
      <c r="Q54" s="404"/>
    </row>
    <row r="55" spans="1:17" ht="19.5" thickBot="1" x14ac:dyDescent="0.35">
      <c r="D55" s="313" t="s">
        <v>94</v>
      </c>
      <c r="E55" s="314"/>
      <c r="F55" s="315">
        <v>-553174.07999999996</v>
      </c>
      <c r="I55" s="105"/>
      <c r="J55" s="106"/>
      <c r="K55" s="178"/>
      <c r="L55" s="107"/>
      <c r="M55" s="404"/>
      <c r="N55" s="404"/>
      <c r="O55" s="404"/>
      <c r="P55" s="404"/>
      <c r="Q55" s="404"/>
    </row>
    <row r="56" spans="1:17" ht="19.5" thickTop="1" x14ac:dyDescent="0.3">
      <c r="C56" s="4" t="s">
        <v>7</v>
      </c>
      <c r="E56" s="98" t="s">
        <v>14</v>
      </c>
      <c r="F56" s="96">
        <f>SUM(F53:F55)</f>
        <v>-198316.10999999975</v>
      </c>
      <c r="H56" s="23"/>
      <c r="I56" s="108" t="s">
        <v>15</v>
      </c>
      <c r="J56" s="109"/>
      <c r="K56" s="859">
        <f>-C4</f>
        <v>-1149740.4099999999</v>
      </c>
      <c r="L56" s="860"/>
    </row>
    <row r="57" spans="1:17" ht="16.5" thickBot="1" x14ac:dyDescent="0.3">
      <c r="D57" s="110" t="s">
        <v>16</v>
      </c>
      <c r="E57" s="98" t="s">
        <v>17</v>
      </c>
      <c r="F57" s="111">
        <v>79713</v>
      </c>
    </row>
    <row r="58" spans="1:17" ht="20.25" thickTop="1" thickBot="1" x14ac:dyDescent="0.35">
      <c r="C58" s="112">
        <v>44619</v>
      </c>
      <c r="D58" s="837" t="s">
        <v>18</v>
      </c>
      <c r="E58" s="838"/>
      <c r="F58" s="113">
        <v>1266568.45</v>
      </c>
      <c r="I58" s="839" t="s">
        <v>97</v>
      </c>
      <c r="J58" s="840"/>
      <c r="K58" s="841">
        <f>K54+K56</f>
        <v>-1775.0699999995995</v>
      </c>
      <c r="L58" s="841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30">
    <mergeCell ref="D58:E58"/>
    <mergeCell ref="I58:J58"/>
    <mergeCell ref="K58:L58"/>
    <mergeCell ref="W27:X28"/>
    <mergeCell ref="Y27:Y28"/>
    <mergeCell ref="M36:M37"/>
    <mergeCell ref="N36:N37"/>
    <mergeCell ref="Q36:Q37"/>
    <mergeCell ref="H52:I52"/>
    <mergeCell ref="K52:L52"/>
    <mergeCell ref="D53:E53"/>
    <mergeCell ref="D54:E54"/>
    <mergeCell ref="I54:J54"/>
    <mergeCell ref="K54:L54"/>
    <mergeCell ref="K56:L56"/>
    <mergeCell ref="M39:N39"/>
    <mergeCell ref="W26:X26"/>
    <mergeCell ref="B1:B2"/>
    <mergeCell ref="C1:M1"/>
    <mergeCell ref="B3:C3"/>
    <mergeCell ref="H3:I3"/>
    <mergeCell ref="P3:P4"/>
    <mergeCell ref="R3:R4"/>
    <mergeCell ref="E4:F4"/>
    <mergeCell ref="H4:I4"/>
    <mergeCell ref="W4:X5"/>
    <mergeCell ref="W19:W20"/>
    <mergeCell ref="W21:X21"/>
    <mergeCell ref="W23:X24"/>
    <mergeCell ref="W25:X25"/>
  </mergeCells>
  <pageMargins left="0.23" right="0.23" top="0.4" bottom="0.28000000000000003" header="0.3" footer="0.3"/>
  <pageSetup orientation="landscape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28</vt:i4>
      </vt:variant>
    </vt:vector>
  </HeadingPairs>
  <TitlesOfParts>
    <vt:vector size="28" baseType="lpstr">
      <vt:lpstr>OCTUBRE      2 0 2 1     </vt:lpstr>
      <vt:lpstr>REMISIONES    OCTUBRE    2021  </vt:lpstr>
      <vt:lpstr>     NOVIEMBRE   2 0 2 1     </vt:lpstr>
      <vt:lpstr>REMISIONES  NOVIEMBRE  2021  </vt:lpstr>
      <vt:lpstr>DICIEMBRE    2 0 2 1      </vt:lpstr>
      <vt:lpstr>REMISIONES  DICIEMBRE  2021   </vt:lpstr>
      <vt:lpstr>    E N E R O     2 0 2 2   </vt:lpstr>
      <vt:lpstr>COMPRAS  DE ENERO  2022</vt:lpstr>
      <vt:lpstr>FEBRERO       2 0 2 2      </vt:lpstr>
      <vt:lpstr>COMPRAS   FEBRERO    2 0  2 2  </vt:lpstr>
      <vt:lpstr>    M A R Z O     2 0 2 2      </vt:lpstr>
      <vt:lpstr>COMPRAS     MARZO     2022    </vt:lpstr>
      <vt:lpstr>     A B R I L     2 0 2 2     </vt:lpstr>
      <vt:lpstr>   COMPRAS    ABRIL    2 02 2 2</vt:lpstr>
      <vt:lpstr>DEPOSITOS A NLP</vt:lpstr>
      <vt:lpstr>    MAYO     2022    </vt:lpstr>
      <vt:lpstr>COMPRAS     MAYO   2022   </vt:lpstr>
      <vt:lpstr>      JUNIO      2 0 2 2       </vt:lpstr>
      <vt:lpstr>     COMPRAS  JUNIO   2022    </vt:lpstr>
      <vt:lpstr>        J U L I O     2 0 2 2  </vt:lpstr>
      <vt:lpstr>   COMPRAS    JULIO   2022   </vt:lpstr>
      <vt:lpstr>   A G O S T O   2 0 2 2    </vt:lpstr>
      <vt:lpstr>  COMPRAS  AGOSTO    2022     </vt:lpstr>
      <vt:lpstr> S E P T I E M B R E     2022  </vt:lpstr>
      <vt:lpstr>COMPRAS  SEPTIEMBRE  2022    </vt:lpstr>
      <vt:lpstr>   O C T U B R E     2 0 2 2   </vt:lpstr>
      <vt:lpstr> COMPRAS  OCTUBRE   2022    </vt:lpstr>
      <vt:lpstr>Hoja4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2022-10-21T14:50:46Z</cp:lastPrinted>
  <dcterms:created xsi:type="dcterms:W3CDTF">2021-11-04T19:08:42Z</dcterms:created>
  <dcterms:modified xsi:type="dcterms:W3CDTF">2022-10-21T20:48:46Z</dcterms:modified>
</cp:coreProperties>
</file>