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0" yWindow="0" windowWidth="20715" windowHeight="11730" firstSheet="5" activeTab="6"/>
  </bookViews>
  <sheets>
    <sheet name="  E N E R O    2 0 2 3     " sheetId="1" r:id="rId1"/>
    <sheet name=" COMPRAS   ENERO  2023   " sheetId="2" r:id="rId2"/>
    <sheet name="  F E B R E R O    2 0 2 3    " sheetId="8" r:id="rId3"/>
    <sheet name="COMPRAS FEBRERO 2023   " sheetId="4" r:id="rId4"/>
    <sheet name="  M A R Z O    2 0 2 3       " sheetId="5" r:id="rId5"/>
    <sheet name="  COMPRAS    MARZO  2023     " sheetId="10" r:id="rId6"/>
    <sheet name="inventario de  marzo 2023" sheetId="9" r:id="rId7"/>
    <sheet name="Hoja6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5" l="1"/>
  <c r="M31" i="5"/>
  <c r="M30" i="5" l="1"/>
  <c r="M29" i="5"/>
  <c r="M28" i="5"/>
  <c r="M27" i="5" l="1"/>
  <c r="N25" i="5" l="1"/>
  <c r="M25" i="5"/>
  <c r="M23" i="5"/>
  <c r="N22" i="5"/>
  <c r="M22" i="5"/>
  <c r="M24" i="5"/>
  <c r="M21" i="5" l="1"/>
  <c r="M20" i="5"/>
  <c r="M19" i="5" l="1"/>
  <c r="M18" i="5"/>
  <c r="M17" i="5" l="1"/>
  <c r="M16" i="5"/>
  <c r="M15" i="5"/>
  <c r="M14" i="5"/>
  <c r="M13" i="5"/>
  <c r="M12" i="5"/>
  <c r="M11" i="5"/>
  <c r="M10" i="5" l="1"/>
  <c r="M9" i="5"/>
  <c r="M8" i="5"/>
  <c r="Q7" i="5"/>
  <c r="M7" i="5"/>
  <c r="M6" i="5"/>
  <c r="M5" i="5" l="1"/>
  <c r="P5" i="5"/>
  <c r="E79" i="10" l="1"/>
  <c r="C79" i="10"/>
  <c r="J37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5" i="5"/>
  <c r="L49" i="5"/>
  <c r="I49" i="5"/>
  <c r="F49" i="5"/>
  <c r="C49" i="5"/>
  <c r="R45" i="5"/>
  <c r="N45" i="5"/>
  <c r="Q44" i="5"/>
  <c r="P44" i="5"/>
  <c r="P43" i="5"/>
  <c r="Q43" i="5" s="1"/>
  <c r="Q42" i="5"/>
  <c r="Q41" i="5"/>
  <c r="Q40" i="5"/>
  <c r="Q39" i="5"/>
  <c r="Q38" i="5"/>
  <c r="Q37" i="5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P8" i="5"/>
  <c r="P7" i="5"/>
  <c r="P6" i="5"/>
  <c r="K51" i="5" l="1"/>
  <c r="F52" i="5" s="1"/>
  <c r="F55" i="5" s="1"/>
  <c r="K53" i="5" s="1"/>
  <c r="K57" i="5" s="1"/>
  <c r="Q45" i="5"/>
  <c r="M45" i="5"/>
  <c r="P43" i="8"/>
  <c r="P44" i="8"/>
  <c r="R45" i="8"/>
  <c r="M51" i="5" l="1"/>
  <c r="P45" i="5"/>
  <c r="M34" i="8"/>
  <c r="M33" i="8"/>
  <c r="M32" i="8"/>
  <c r="M31" i="8"/>
  <c r="M30" i="8"/>
  <c r="M29" i="8"/>
  <c r="M27" i="8"/>
  <c r="M26" i="8"/>
  <c r="M25" i="8" l="1"/>
  <c r="M24" i="8"/>
  <c r="M23" i="8"/>
  <c r="M22" i="8"/>
  <c r="M21" i="8"/>
  <c r="M20" i="8"/>
  <c r="M19" i="8"/>
  <c r="M18" i="8" l="1"/>
  <c r="M17" i="8"/>
  <c r="M15" i="8" l="1"/>
  <c r="M13" i="8" l="1"/>
  <c r="M12" i="8"/>
  <c r="M11" i="8"/>
  <c r="M9" i="8"/>
  <c r="M8" i="8"/>
  <c r="M7" i="8"/>
  <c r="M6" i="8"/>
  <c r="M5" i="8"/>
  <c r="M25" i="1" l="1"/>
  <c r="M24" i="1" l="1"/>
  <c r="C23" i="1"/>
  <c r="M23" i="1"/>
  <c r="M22" i="1"/>
  <c r="M21" i="1" l="1"/>
  <c r="M20" i="1"/>
  <c r="M19" i="1" l="1"/>
  <c r="M18" i="1"/>
  <c r="M17" i="1"/>
  <c r="M16" i="1"/>
  <c r="M15" i="1"/>
  <c r="M13" i="1"/>
  <c r="M12" i="1"/>
  <c r="M11" i="1"/>
  <c r="M10" i="1" l="1"/>
  <c r="M9" i="1"/>
  <c r="M8" i="1"/>
  <c r="M5" i="1" l="1"/>
  <c r="F53" i="1" l="1"/>
  <c r="K55" i="8" l="1"/>
  <c r="L49" i="8"/>
  <c r="I49" i="8"/>
  <c r="F49" i="8"/>
  <c r="C49" i="8"/>
  <c r="N45" i="8"/>
  <c r="M45" i="8"/>
  <c r="Q44" i="8"/>
  <c r="Q43" i="8"/>
  <c r="Q42" i="8"/>
  <c r="Q41" i="8"/>
  <c r="Q40" i="8"/>
  <c r="Q39" i="8"/>
  <c r="Q38" i="8"/>
  <c r="Q37" i="8"/>
  <c r="P36" i="8"/>
  <c r="Q36" i="8" s="1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P10" i="8"/>
  <c r="Q10" i="8" s="1"/>
  <c r="P9" i="8"/>
  <c r="Q9" i="8" s="1"/>
  <c r="P8" i="8"/>
  <c r="Q8" i="8" s="1"/>
  <c r="P7" i="8"/>
  <c r="Q7" i="8" s="1"/>
  <c r="P6" i="8"/>
  <c r="P5" i="8"/>
  <c r="E79" i="4"/>
  <c r="C79" i="4"/>
  <c r="J3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E79" i="2"/>
  <c r="C79" i="2"/>
  <c r="J3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59" i="1"/>
  <c r="L53" i="1"/>
  <c r="I53" i="1"/>
  <c r="C53" i="1"/>
  <c r="N49" i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P10" i="1"/>
  <c r="Q10" i="1" s="1"/>
  <c r="P9" i="1"/>
  <c r="Q9" i="1" s="1"/>
  <c r="P8" i="1"/>
  <c r="P7" i="1"/>
  <c r="Q7" i="1" s="1"/>
  <c r="P6" i="1"/>
  <c r="P5" i="1"/>
  <c r="P45" i="8" l="1"/>
  <c r="K51" i="8"/>
  <c r="F52" i="8" s="1"/>
  <c r="F55" i="8" s="1"/>
  <c r="K53" i="8" s="1"/>
  <c r="K57" i="8" s="1"/>
  <c r="Q45" i="8"/>
  <c r="M51" i="8"/>
  <c r="K55" i="1"/>
  <c r="F56" i="1" s="1"/>
  <c r="F59" i="1" s="1"/>
  <c r="K57" i="1" s="1"/>
  <c r="K61" i="1" s="1"/>
  <c r="Q49" i="1"/>
  <c r="M49" i="1"/>
  <c r="M55" i="1" s="1"/>
  <c r="P49" i="1" l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<sst xmlns="http://schemas.openxmlformats.org/spreadsheetml/2006/main" count="266" uniqueCount="168">
  <si>
    <t>COMPRAS</t>
  </si>
  <si>
    <t>MARISOL ORTIZ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</si>
  <si>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</si>
  <si>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</si>
  <si>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</si>
  <si>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</si>
  <si>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</si>
  <si>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</si>
  <si>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</si>
  <si>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</si>
  <si>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</si>
  <si>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</si>
  <si>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</si>
  <si>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</si>
  <si>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</si>
  <si>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</si>
  <si>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</si>
  <si>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</si>
  <si>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</si>
  <si>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</si>
  <si>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</si>
  <si>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</si>
  <si>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</si>
  <si>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</si>
  <si>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</si>
  <si>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</si>
  <si>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</si>
  <si>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</si>
  <si>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</si>
  <si>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BALANCE      ABASTO 4 CARNES    H E R R A D U R A    ENERO    2 0 2 3</t>
  </si>
  <si>
    <t xml:space="preserve">      REMISIONES  ABASTO 4 CARNES       2 0 2 3</t>
  </si>
  <si>
    <t>22848 D</t>
  </si>
  <si>
    <t>22894 D</t>
  </si>
  <si>
    <t>22962 D</t>
  </si>
  <si>
    <t>23115 D</t>
  </si>
  <si>
    <t>23224 D</t>
  </si>
  <si>
    <t>23348 D</t>
  </si>
  <si>
    <t>23409 D</t>
  </si>
  <si>
    <t>23496 D</t>
  </si>
  <si>
    <t>23554 D</t>
  </si>
  <si>
    <t>23638 D</t>
  </si>
  <si>
    <t>23643 D</t>
  </si>
  <si>
    <t>23737 D</t>
  </si>
  <si>
    <t>23842 D</t>
  </si>
  <si>
    <t>24029 D</t>
  </si>
  <si>
    <t>24118 D</t>
  </si>
  <si>
    <t>24321 D</t>
  </si>
  <si>
    <t>24520 D</t>
  </si>
  <si>
    <t>24525 D</t>
  </si>
  <si>
    <t>24564 D</t>
  </si>
  <si>
    <t>24607 D</t>
  </si>
  <si>
    <t>24661 D</t>
  </si>
  <si>
    <t>24729 D</t>
  </si>
  <si>
    <t>24739 D</t>
  </si>
  <si>
    <t>24829 D</t>
  </si>
  <si>
    <t>24930 D</t>
  </si>
  <si>
    <t>00163 E</t>
  </si>
  <si>
    <t>00141 E</t>
  </si>
  <si>
    <t>00168 E</t>
  </si>
  <si>
    <t>00265 E</t>
  </si>
  <si>
    <t>00272 E</t>
  </si>
  <si>
    <t>BALANCE      ABASTO 4 CARNES    H E R R A D U R A    FEBRERO   2 0 2 3</t>
  </si>
  <si>
    <t>00399 E</t>
  </si>
  <si>
    <t>00406 E</t>
  </si>
  <si>
    <t>00529 D</t>
  </si>
  <si>
    <t>00575 D</t>
  </si>
  <si>
    <t>00643 D</t>
  </si>
  <si>
    <t>LONGANIZA</t>
  </si>
  <si>
    <t>LONGANIZA--ARABE</t>
  </si>
  <si>
    <t>COMPRAS CENTRAL</t>
  </si>
  <si>
    <t>NOMINA # 2</t>
  </si>
  <si>
    <t>Inspeccion Bascula</t>
  </si>
  <si>
    <t>BONOS ANUAL</t>
  </si>
  <si>
    <t>NOMINA # 3</t>
  </si>
  <si>
    <t>GOUDA</t>
  </si>
  <si>
    <t xml:space="preserve">LONGANIZA--COMPRAS CENTRAL </t>
  </si>
  <si>
    <t>NOMINA # 4</t>
  </si>
  <si>
    <t>00735 E</t>
  </si>
  <si>
    <t>00841 E</t>
  </si>
  <si>
    <t>00856 E</t>
  </si>
  <si>
    <t>00994 E</t>
  </si>
  <si>
    <t>01082 E</t>
  </si>
  <si>
    <t>01222 E</t>
  </si>
  <si>
    <t>01330 E</t>
  </si>
  <si>
    <t>01369 E</t>
  </si>
  <si>
    <t>01407 E</t>
  </si>
  <si>
    <t>01504 E</t>
  </si>
  <si>
    <t>01524 E</t>
  </si>
  <si>
    <t>01628 E</t>
  </si>
  <si>
    <t>01742 E</t>
  </si>
  <si>
    <t>01809 E</t>
  </si>
  <si>
    <t>01812 E</t>
  </si>
  <si>
    <t>01868 E</t>
  </si>
  <si>
    <t>01904 E</t>
  </si>
  <si>
    <t>02052 E</t>
  </si>
  <si>
    <t>02197 E</t>
  </si>
  <si>
    <t>02403 E</t>
  </si>
  <si>
    <t>02520 E</t>
  </si>
  <si>
    <t>02598 E</t>
  </si>
  <si>
    <t>02237 E</t>
  </si>
  <si>
    <t>CHORIZO</t>
  </si>
  <si>
    <t>Base Refri</t>
  </si>
  <si>
    <t>NOMINA # 5</t>
  </si>
  <si>
    <t>LONGANIZA-CHORIZO</t>
  </si>
  <si>
    <t>NOMINA # 6</t>
  </si>
  <si>
    <t>QUESO-Y PALITOS DE QUESO</t>
  </si>
  <si>
    <t>NOMINA # 7</t>
  </si>
  <si>
    <t>NOMINA # 8</t>
  </si>
  <si>
    <t>Fumigacion</t>
  </si>
  <si>
    <t>ADT</t>
  </si>
  <si>
    <t>LUZ</t>
  </si>
  <si>
    <t>TELMEX</t>
  </si>
  <si>
    <t>COMISIONES BANCO</t>
  </si>
  <si>
    <t>FUMIGACION</t>
  </si>
  <si>
    <t>FEBRERO.,</t>
  </si>
  <si>
    <t>BALANCE      ABASTO 4 CARNES    H E R R A D U R A     MARZO       2 0 2 3</t>
  </si>
  <si>
    <t>2776 E</t>
  </si>
  <si>
    <t>2844 E</t>
  </si>
  <si>
    <t>2916 E</t>
  </si>
  <si>
    <t>3040 E</t>
  </si>
  <si>
    <t>3155 E</t>
  </si>
  <si>
    <t>3173 E</t>
  </si>
  <si>
    <t>3174 E</t>
  </si>
  <si>
    <t>3176 E</t>
  </si>
  <si>
    <t>3266 E</t>
  </si>
  <si>
    <t>3378 E</t>
  </si>
  <si>
    <t>3379 E</t>
  </si>
  <si>
    <t>3427 E</t>
  </si>
  <si>
    <t>3604 E</t>
  </si>
  <si>
    <t>3606 E</t>
  </si>
  <si>
    <t>3607 E</t>
  </si>
  <si>
    <t>3693 E</t>
  </si>
  <si>
    <t>3811 E</t>
  </si>
  <si>
    <t>3816 E</t>
  </si>
  <si>
    <t>3851 E</t>
  </si>
  <si>
    <t>3852 E</t>
  </si>
  <si>
    <t>3865 E</t>
  </si>
  <si>
    <t>4008 E</t>
  </si>
  <si>
    <t>4040 E</t>
  </si>
  <si>
    <t>4210 E--4213</t>
  </si>
  <si>
    <t>4211-E---4204</t>
  </si>
  <si>
    <t>4231 E</t>
  </si>
  <si>
    <t>4294 E</t>
  </si>
  <si>
    <t>4350 E</t>
  </si>
  <si>
    <t>4481 E</t>
  </si>
  <si>
    <t>4486 E</t>
  </si>
  <si>
    <t>4550 E</t>
  </si>
  <si>
    <t>4564 E</t>
  </si>
  <si>
    <t>4700 E</t>
  </si>
  <si>
    <t>4750 E</t>
  </si>
  <si>
    <t>4883 E</t>
  </si>
  <si>
    <t>4905 E</t>
  </si>
  <si>
    <t>5044 E</t>
  </si>
  <si>
    <t>5046 E</t>
  </si>
  <si>
    <t>5167 E</t>
  </si>
  <si>
    <t>5200 E</t>
  </si>
  <si>
    <t>5245 E</t>
  </si>
  <si>
    <t>5279 E</t>
  </si>
  <si>
    <t>5368 E</t>
  </si>
  <si>
    <t>5464 E</t>
  </si>
  <si>
    <t>NOMINA # 9</t>
  </si>
  <si>
    <t>queso</t>
  </si>
  <si>
    <t>NOMINA # 10</t>
  </si>
  <si>
    <t>NOMINA # 11</t>
  </si>
  <si>
    <t>chaorizo-queso gouda</t>
  </si>
  <si>
    <t>NOMINA # 12</t>
  </si>
  <si>
    <t xml:space="preserve">LONGANIZA-COMPRAS CENTRAL </t>
  </si>
  <si>
    <t>proteccion civil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</si>
</sst>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3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1" fillId="0" borderId="7" xfId="0" applyFont="1" applyBorder="1"/>
    <xf numFmtId="164" fontId="12" fillId="0" borderId="8" xfId="0" applyNumberFormat="1" applyFont="1" applyBorder="1" applyAlignment="1">
      <alignment horizontal="center"/>
    </xf>
    <xf numFmtId="44" fontId="13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20" xfId="0" applyNumberFormat="1" applyFont="1" applyFill="1" applyBorder="1"/>
    <xf numFmtId="44" fontId="2" fillId="0" borderId="21" xfId="1" applyFont="1" applyFill="1" applyBorder="1"/>
    <xf numFmtId="0" fontId="5" fillId="0" borderId="0" xfId="0" applyFont="1" applyFill="1" applyAlignment="1">
      <alignment horizontal="center"/>
    </xf>
    <xf numFmtId="44" fontId="19" fillId="0" borderId="22" xfId="1" applyFont="1" applyFill="1" applyBorder="1"/>
    <xf numFmtId="44" fontId="2" fillId="0" borderId="23" xfId="1" applyFont="1" applyFill="1" applyBorder="1"/>
    <xf numFmtId="1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16" fontId="5" fillId="0" borderId="0" xfId="0" applyNumberFormat="1" applyFont="1" applyFill="1" applyAlignment="1">
      <alignment horizontal="center"/>
    </xf>
    <xf numFmtId="166" fontId="20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4" xfId="0" applyFont="1" applyFill="1" applyBorder="1" applyAlignment="1">
      <alignment horizontal="center"/>
    </xf>
    <xf numFmtId="44" fontId="2" fillId="0" borderId="25" xfId="1" applyFont="1" applyFill="1" applyBorder="1"/>
    <xf numFmtId="166" fontId="18" fillId="0" borderId="10" xfId="0" applyNumberFormat="1" applyFont="1" applyFill="1" applyBorder="1"/>
    <xf numFmtId="0" fontId="5" fillId="0" borderId="24" xfId="0" applyFont="1" applyFill="1" applyBorder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" fillId="0" borderId="24" xfId="0" applyFont="1" applyFill="1" applyBorder="1"/>
    <xf numFmtId="166" fontId="22" fillId="0" borderId="10" xfId="0" applyNumberFormat="1" applyFont="1" applyFill="1" applyBorder="1"/>
    <xf numFmtId="16" fontId="2" fillId="0" borderId="24" xfId="0" applyNumberFormat="1" applyFont="1" applyFill="1" applyBorder="1"/>
    <xf numFmtId="165" fontId="21" fillId="0" borderId="26" xfId="0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" fontId="21" fillId="0" borderId="24" xfId="0" applyNumberFormat="1" applyFont="1" applyFill="1" applyBorder="1"/>
    <xf numFmtId="0" fontId="23" fillId="0" borderId="24" xfId="0" applyFont="1" applyFill="1" applyBorder="1" applyAlignment="1">
      <alignment wrapText="1"/>
    </xf>
    <xf numFmtId="166" fontId="5" fillId="0" borderId="10" xfId="0" applyNumberFormat="1" applyFont="1" applyFill="1" applyBorder="1"/>
    <xf numFmtId="0" fontId="23" fillId="0" borderId="24" xfId="0" applyFont="1" applyFill="1" applyBorder="1"/>
    <xf numFmtId="16" fontId="24" fillId="0" borderId="26" xfId="0" applyNumberFormat="1" applyFont="1" applyFill="1" applyBorder="1"/>
    <xf numFmtId="0" fontId="23" fillId="0" borderId="27" xfId="0" applyFont="1" applyFill="1" applyBorder="1" applyAlignment="1">
      <alignment horizontal="center" wrapText="1"/>
    </xf>
    <xf numFmtId="44" fontId="2" fillId="0" borderId="28" xfId="1" applyFont="1" applyFill="1" applyBorder="1"/>
    <xf numFmtId="165" fontId="2" fillId="0" borderId="26" xfId="0" applyNumberFormat="1" applyFont="1" applyFill="1" applyBorder="1" applyAlignment="1">
      <alignment horizontal="left"/>
    </xf>
    <xf numFmtId="16" fontId="5" fillId="0" borderId="26" xfId="0" applyNumberFormat="1" applyFont="1" applyFill="1" applyBorder="1" applyAlignment="1">
      <alignment horizontal="center"/>
    </xf>
    <xf numFmtId="44" fontId="2" fillId="0" borderId="28" xfId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6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1" fillId="0" borderId="29" xfId="1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5" fontId="2" fillId="0" borderId="24" xfId="1" applyNumberFormat="1" applyFont="1" applyFill="1" applyBorder="1" applyAlignment="1">
      <alignment horizontal="left"/>
    </xf>
    <xf numFmtId="0" fontId="21" fillId="0" borderId="24" xfId="0" applyFont="1" applyFill="1" applyBorder="1" applyAlignment="1">
      <alignment horizontal="left"/>
    </xf>
    <xf numFmtId="165" fontId="2" fillId="0" borderId="24" xfId="1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66" fontId="18" fillId="0" borderId="31" xfId="0" applyNumberFormat="1" applyFont="1" applyFill="1" applyBorder="1"/>
    <xf numFmtId="16" fontId="2" fillId="0" borderId="27" xfId="0" applyNumberFormat="1" applyFont="1" applyFill="1" applyBorder="1" applyAlignment="1">
      <alignment horizontal="left"/>
    </xf>
    <xf numFmtId="165" fontId="5" fillId="0" borderId="24" xfId="1" applyNumberFormat="1" applyFont="1" applyFill="1" applyBorder="1" applyAlignment="1">
      <alignment horizontal="center"/>
    </xf>
    <xf numFmtId="0" fontId="5" fillId="0" borderId="24" xfId="0" applyFont="1" applyFill="1" applyBorder="1"/>
    <xf numFmtId="44" fontId="5" fillId="0" borderId="25" xfId="1" applyFont="1" applyFill="1" applyBorder="1"/>
    <xf numFmtId="166" fontId="22" fillId="0" borderId="24" xfId="0" applyNumberFormat="1" applyFont="1" applyFill="1" applyBorder="1"/>
    <xf numFmtId="0" fontId="5" fillId="0" borderId="24" xfId="0" applyFont="1" applyFill="1" applyBorder="1" applyAlignment="1">
      <alignment horizontal="left"/>
    </xf>
    <xf numFmtId="44" fontId="5" fillId="0" borderId="24" xfId="1" applyFont="1" applyFill="1" applyBorder="1" applyAlignment="1">
      <alignment horizontal="right"/>
    </xf>
    <xf numFmtId="166" fontId="5" fillId="0" borderId="24" xfId="0" applyNumberFormat="1" applyFont="1" applyFill="1" applyBorder="1"/>
    <xf numFmtId="44" fontId="5" fillId="0" borderId="24" xfId="1" applyFont="1" applyFill="1" applyBorder="1"/>
    <xf numFmtId="166" fontId="18" fillId="0" borderId="24" xfId="0" applyNumberFormat="1" applyFont="1" applyFill="1" applyBorder="1"/>
    <xf numFmtId="0" fontId="13" fillId="0" borderId="0" xfId="0" applyFont="1" applyFill="1" applyAlignment="1">
      <alignment horizontal="left" wrapText="1"/>
    </xf>
    <xf numFmtId="44" fontId="5" fillId="0" borderId="0" xfId="1" applyFont="1" applyFill="1"/>
    <xf numFmtId="166" fontId="20" fillId="0" borderId="24" xfId="0" applyNumberFormat="1" applyFont="1" applyFill="1" applyBorder="1"/>
    <xf numFmtId="165" fontId="13" fillId="0" borderId="24" xfId="1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wrapText="1"/>
    </xf>
    <xf numFmtId="0" fontId="22" fillId="0" borderId="24" xfId="0" applyFont="1" applyFill="1" applyBorder="1" applyAlignment="1">
      <alignment horizontal="left" vertical="center"/>
    </xf>
    <xf numFmtId="16" fontId="18" fillId="0" borderId="24" xfId="0" applyNumberFormat="1" applyFont="1" applyFill="1" applyBorder="1" applyAlignment="1">
      <alignment horizontal="left"/>
    </xf>
    <xf numFmtId="44" fontId="2" fillId="0" borderId="32" xfId="1" applyFont="1" applyFill="1" applyBorder="1"/>
    <xf numFmtId="44" fontId="2" fillId="0" borderId="5" xfId="1" applyFont="1" applyFill="1" applyBorder="1"/>
    <xf numFmtId="44" fontId="19" fillId="0" borderId="33" xfId="1" applyFont="1" applyFill="1" applyBorder="1"/>
    <xf numFmtId="44" fontId="2" fillId="0" borderId="34" xfId="1" applyFont="1" applyFill="1" applyBorder="1"/>
    <xf numFmtId="166" fontId="13" fillId="0" borderId="24" xfId="0" applyNumberFormat="1" applyFont="1" applyFill="1" applyBorder="1"/>
    <xf numFmtId="0" fontId="26" fillId="0" borderId="32" xfId="0" applyFont="1" applyFill="1" applyBorder="1" applyAlignment="1">
      <alignment horizontal="center"/>
    </xf>
    <xf numFmtId="44" fontId="2" fillId="0" borderId="35" xfId="1" applyFont="1" applyFill="1" applyBorder="1"/>
    <xf numFmtId="16" fontId="5" fillId="0" borderId="24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38" xfId="1" applyFont="1" applyFill="1" applyBorder="1"/>
    <xf numFmtId="44" fontId="2" fillId="0" borderId="24" xfId="1" applyFont="1" applyFill="1" applyBorder="1"/>
    <xf numFmtId="0" fontId="26" fillId="0" borderId="2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center"/>
    </xf>
    <xf numFmtId="0" fontId="0" fillId="0" borderId="24" xfId="0" applyFill="1" applyBorder="1"/>
    <xf numFmtId="44" fontId="16" fillId="0" borderId="42" xfId="1" applyFont="1" applyFill="1" applyBorder="1" applyAlignment="1">
      <alignment horizontal="center" vertical="center"/>
    </xf>
    <xf numFmtId="44" fontId="16" fillId="0" borderId="34" xfId="1" applyFont="1" applyFill="1" applyBorder="1" applyAlignment="1">
      <alignment horizontal="center" vertical="center"/>
    </xf>
    <xf numFmtId="44" fontId="2" fillId="0" borderId="43" xfId="1" applyFont="1" applyFill="1" applyBorder="1"/>
    <xf numFmtId="166" fontId="13" fillId="0" borderId="0" xfId="0" applyNumberFormat="1" applyFont="1"/>
    <xf numFmtId="0" fontId="26" fillId="0" borderId="24" xfId="0" applyFont="1" applyBorder="1" applyAlignment="1">
      <alignment horizontal="center"/>
    </xf>
    <xf numFmtId="0" fontId="0" fillId="0" borderId="24" xfId="0" applyBorder="1"/>
    <xf numFmtId="164" fontId="2" fillId="0" borderId="16" xfId="0" applyNumberFormat="1" applyFont="1" applyBorder="1" applyAlignment="1">
      <alignment horizontal="center"/>
    </xf>
    <xf numFmtId="15" fontId="2" fillId="0" borderId="44" xfId="0" applyNumberFormat="1" applyFont="1" applyBorder="1"/>
    <xf numFmtId="15" fontId="2" fillId="0" borderId="24" xfId="0" applyNumberFormat="1" applyFont="1" applyBorder="1"/>
    <xf numFmtId="0" fontId="5" fillId="0" borderId="24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5" fontId="2" fillId="0" borderId="45" xfId="0" applyNumberFormat="1" applyFont="1" applyBorder="1"/>
    <xf numFmtId="15" fontId="2" fillId="0" borderId="29" xfId="0" applyNumberFormat="1" applyFont="1" applyBorder="1"/>
    <xf numFmtId="165" fontId="22" fillId="0" borderId="20" xfId="1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44" fontId="2" fillId="0" borderId="22" xfId="1" applyFont="1" applyFill="1" applyBorder="1"/>
    <xf numFmtId="164" fontId="5" fillId="0" borderId="46" xfId="0" applyNumberFormat="1" applyFont="1" applyBorder="1" applyAlignment="1">
      <alignment horizontal="center"/>
    </xf>
    <xf numFmtId="44" fontId="13" fillId="0" borderId="47" xfId="1" applyFont="1" applyBorder="1"/>
    <xf numFmtId="0" fontId="0" fillId="0" borderId="48" xfId="0" applyBorder="1"/>
    <xf numFmtId="0" fontId="27" fillId="0" borderId="48" xfId="0" applyFont="1" applyBorder="1" applyAlignment="1">
      <alignment horizontal="center"/>
    </xf>
    <xf numFmtId="44" fontId="28" fillId="0" borderId="48" xfId="1" applyFont="1" applyBorder="1"/>
    <xf numFmtId="0" fontId="2" fillId="0" borderId="48" xfId="0" applyFont="1" applyBorder="1" applyAlignment="1">
      <alignment horizontal="center"/>
    </xf>
    <xf numFmtId="44" fontId="2" fillId="0" borderId="49" xfId="1" applyFont="1" applyBorder="1"/>
    <xf numFmtId="165" fontId="2" fillId="0" borderId="0" xfId="1" applyNumberFormat="1" applyFont="1" applyBorder="1"/>
    <xf numFmtId="166" fontId="2" fillId="0" borderId="50" xfId="0" applyNumberFormat="1" applyFont="1" applyBorder="1" applyAlignment="1">
      <alignment horizontal="center"/>
    </xf>
    <xf numFmtId="44" fontId="2" fillId="0" borderId="3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13" fillId="0" borderId="51" xfId="0" applyNumberFormat="1" applyFont="1" applyBorder="1" applyAlignment="1">
      <alignment horizontal="center" vertical="center" wrapText="1"/>
    </xf>
    <xf numFmtId="44" fontId="3" fillId="0" borderId="24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5" xfId="0" applyFont="1" applyBorder="1" applyAlignment="1">
      <alignment horizontal="left"/>
    </xf>
    <xf numFmtId="165" fontId="3" fillId="0" borderId="52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4" xfId="1" applyFont="1" applyFill="1" applyBorder="1"/>
    <xf numFmtId="168" fontId="30" fillId="0" borderId="25" xfId="1" applyNumberFormat="1" applyFont="1" applyBorder="1"/>
    <xf numFmtId="44" fontId="31" fillId="0" borderId="5" xfId="1" applyFont="1" applyBorder="1"/>
    <xf numFmtId="44" fontId="32" fillId="0" borderId="0" xfId="1" applyFont="1"/>
    <xf numFmtId="0" fontId="32" fillId="0" borderId="0" xfId="0" applyFont="1" applyAlignment="1">
      <alignment horizontal="center"/>
    </xf>
    <xf numFmtId="0" fontId="5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3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21" fillId="0" borderId="0" xfId="0" applyFont="1"/>
    <xf numFmtId="44" fontId="34" fillId="0" borderId="0" xfId="1" applyFont="1"/>
    <xf numFmtId="166" fontId="13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" fillId="7" borderId="56" xfId="0" applyFont="1" applyFill="1" applyBorder="1" applyAlignment="1">
      <alignment horizontal="center"/>
    </xf>
    <xf numFmtId="44" fontId="2" fillId="7" borderId="56" xfId="1" applyFont="1" applyFill="1" applyBorder="1"/>
    <xf numFmtId="164" fontId="3" fillId="7" borderId="56" xfId="0" applyNumberFormat="1" applyFont="1" applyFill="1" applyBorder="1"/>
    <xf numFmtId="164" fontId="38" fillId="7" borderId="5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53" xfId="1" applyFont="1" applyBorder="1" applyAlignment="1">
      <alignment horizontal="center"/>
    </xf>
    <xf numFmtId="164" fontId="3" fillId="0" borderId="58" xfId="0" applyNumberFormat="1" applyFont="1" applyFill="1" applyBorder="1"/>
    <xf numFmtId="49" fontId="3" fillId="0" borderId="59" xfId="0" applyNumberFormat="1" applyFont="1" applyFill="1" applyBorder="1" applyAlignment="1">
      <alignment horizontal="center" wrapText="1"/>
    </xf>
    <xf numFmtId="44" fontId="3" fillId="0" borderId="59" xfId="1" applyFont="1" applyFill="1" applyBorder="1"/>
    <xf numFmtId="44" fontId="3" fillId="0" borderId="0" xfId="1" applyFont="1" applyBorder="1" applyAlignment="1">
      <alignment horizontal="center"/>
    </xf>
    <xf numFmtId="164" fontId="3" fillId="0" borderId="24" xfId="0" applyNumberFormat="1" applyFont="1" applyFill="1" applyBorder="1"/>
    <xf numFmtId="49" fontId="3" fillId="0" borderId="24" xfId="0" applyNumberFormat="1" applyFont="1" applyFill="1" applyBorder="1" applyAlignment="1">
      <alignment horizontal="center"/>
    </xf>
    <xf numFmtId="44" fontId="39" fillId="0" borderId="60" xfId="1" applyFont="1" applyBorder="1"/>
    <xf numFmtId="0" fontId="15" fillId="0" borderId="0" xfId="0" applyFont="1"/>
    <xf numFmtId="164" fontId="3" fillId="0" borderId="24" xfId="0" applyNumberFormat="1" applyFont="1" applyBorder="1"/>
    <xf numFmtId="49" fontId="3" fillId="0" borderId="24" xfId="0" applyNumberFormat="1" applyFont="1" applyBorder="1" applyAlignment="1">
      <alignment horizontal="center"/>
    </xf>
    <xf numFmtId="44" fontId="2" fillId="0" borderId="0" xfId="0" applyNumberFormat="1" applyFont="1"/>
    <xf numFmtId="164" fontId="2" fillId="0" borderId="24" xfId="0" applyNumberFormat="1" applyFont="1" applyBorder="1"/>
    <xf numFmtId="49" fontId="2" fillId="0" borderId="24" xfId="0" applyNumberFormat="1" applyFont="1" applyBorder="1" applyAlignment="1">
      <alignment horizontal="center"/>
    </xf>
    <xf numFmtId="164" fontId="40" fillId="0" borderId="24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40" fillId="0" borderId="24" xfId="0" applyNumberFormat="1" applyFont="1" applyFill="1" applyBorder="1" applyAlignment="1">
      <alignment horizontal="center"/>
    </xf>
    <xf numFmtId="1" fontId="41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Fill="1" applyBorder="1" applyAlignment="1">
      <alignment horizontal="center"/>
    </xf>
    <xf numFmtId="1" fontId="42" fillId="0" borderId="6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2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Border="1" applyAlignment="1">
      <alignment horizontal="center"/>
    </xf>
    <xf numFmtId="1" fontId="42" fillId="0" borderId="61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44" fontId="16" fillId="0" borderId="8" xfId="1" applyFont="1" applyBorder="1"/>
    <xf numFmtId="44" fontId="2" fillId="0" borderId="53" xfId="1" applyFont="1" applyBorder="1"/>
    <xf numFmtId="44" fontId="43" fillId="4" borderId="60" xfId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/>
    <xf numFmtId="44" fontId="14" fillId="0" borderId="0" xfId="1" applyFont="1"/>
    <xf numFmtId="164" fontId="37" fillId="7" borderId="55" xfId="0" applyNumberFormat="1" applyFont="1" applyFill="1" applyBorder="1" applyAlignment="1">
      <alignment horizontal="left" vertical="center"/>
    </xf>
    <xf numFmtId="164" fontId="44" fillId="0" borderId="59" xfId="0" applyNumberFormat="1" applyFont="1" applyBorder="1"/>
    <xf numFmtId="44" fontId="44" fillId="0" borderId="59" xfId="1" applyFont="1" applyFill="1" applyBorder="1"/>
    <xf numFmtId="44" fontId="44" fillId="0" borderId="24" xfId="1" applyFont="1" applyFill="1" applyBorder="1"/>
    <xf numFmtId="164" fontId="13" fillId="0" borderId="59" xfId="0" applyNumberFormat="1" applyFont="1" applyBorder="1"/>
    <xf numFmtId="44" fontId="13" fillId="0" borderId="24" xfId="1" applyFont="1" applyFill="1" applyBorder="1"/>
    <xf numFmtId="164" fontId="45" fillId="0" borderId="24" xfId="0" applyNumberFormat="1" applyFont="1" applyBorder="1"/>
    <xf numFmtId="44" fontId="45" fillId="0" borderId="24" xfId="1" applyFont="1" applyFill="1" applyBorder="1"/>
    <xf numFmtId="164" fontId="46" fillId="0" borderId="24" xfId="0" applyNumberFormat="1" applyFont="1" applyBorder="1"/>
    <xf numFmtId="44" fontId="46" fillId="0" borderId="24" xfId="1" applyFont="1" applyFill="1" applyBorder="1"/>
    <xf numFmtId="164" fontId="46" fillId="0" borderId="59" xfId="0" applyNumberFormat="1" applyFont="1" applyBorder="1"/>
    <xf numFmtId="44" fontId="3" fillId="8" borderId="0" xfId="1" applyFont="1" applyFill="1"/>
    <xf numFmtId="0" fontId="2" fillId="9" borderId="24" xfId="0" applyFont="1" applyFill="1" applyBorder="1" applyAlignment="1">
      <alignment horizontal="center" wrapText="1"/>
    </xf>
    <xf numFmtId="0" fontId="2" fillId="10" borderId="24" xfId="0" applyFont="1" applyFill="1" applyBorder="1"/>
    <xf numFmtId="164" fontId="3" fillId="4" borderId="24" xfId="0" applyNumberFormat="1" applyFont="1" applyFill="1" applyBorder="1"/>
    <xf numFmtId="44" fontId="3" fillId="4" borderId="24" xfId="1" applyFont="1" applyFill="1" applyBorder="1"/>
    <xf numFmtId="164" fontId="3" fillId="11" borderId="24" xfId="0" applyNumberFormat="1" applyFont="1" applyFill="1" applyBorder="1"/>
    <xf numFmtId="44" fontId="3" fillId="11" borderId="24" xfId="1" applyFont="1" applyFill="1" applyBorder="1"/>
    <xf numFmtId="164" fontId="3" fillId="12" borderId="24" xfId="0" applyNumberFormat="1" applyFont="1" applyFill="1" applyBorder="1"/>
    <xf numFmtId="44" fontId="3" fillId="12" borderId="24" xfId="1" applyFont="1" applyFill="1" applyBorder="1"/>
    <xf numFmtId="16" fontId="13" fillId="0" borderId="24" xfId="0" applyNumberFormat="1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center"/>
    </xf>
    <xf numFmtId="16" fontId="15" fillId="8" borderId="24" xfId="0" applyNumberFormat="1" applyFont="1" applyFill="1" applyBorder="1" applyAlignment="1">
      <alignment horizontal="left"/>
    </xf>
    <xf numFmtId="44" fontId="2" fillId="0" borderId="63" xfId="1" applyFont="1" applyFill="1" applyBorder="1"/>
    <xf numFmtId="44" fontId="3" fillId="0" borderId="64" xfId="1" applyFont="1" applyFill="1" applyBorder="1"/>
    <xf numFmtId="44" fontId="3" fillId="8" borderId="65" xfId="1" applyFont="1" applyFill="1" applyBorder="1"/>
    <xf numFmtId="44" fontId="3" fillId="0" borderId="65" xfId="1" applyFont="1" applyFill="1" applyBorder="1"/>
    <xf numFmtId="44" fontId="47" fillId="0" borderId="64" xfId="1" applyFont="1" applyFill="1" applyBorder="1"/>
    <xf numFmtId="44" fontId="2" fillId="0" borderId="66" xfId="1" applyFont="1" applyFill="1" applyBorder="1"/>
    <xf numFmtId="44" fontId="3" fillId="0" borderId="67" xfId="1" applyFont="1" applyFill="1" applyBorder="1"/>
    <xf numFmtId="44" fontId="3" fillId="0" borderId="68" xfId="1" applyFont="1" applyFill="1" applyBorder="1"/>
    <xf numFmtId="44" fontId="3" fillId="9" borderId="64" xfId="1" applyFont="1" applyFill="1" applyBorder="1"/>
    <xf numFmtId="16" fontId="15" fillId="0" borderId="24" xfId="0" applyNumberFormat="1" applyFont="1" applyFill="1" applyBorder="1" applyAlignment="1">
      <alignment horizontal="left"/>
    </xf>
    <xf numFmtId="164" fontId="46" fillId="0" borderId="59" xfId="0" applyNumberFormat="1" applyFont="1" applyFill="1" applyBorder="1"/>
    <xf numFmtId="164" fontId="48" fillId="0" borderId="24" xfId="0" applyNumberFormat="1" applyFont="1" applyBorder="1" applyAlignment="1">
      <alignment horizontal="center"/>
    </xf>
    <xf numFmtId="164" fontId="48" fillId="0" borderId="24" xfId="0" applyNumberFormat="1" applyFont="1" applyFill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1" fontId="3" fillId="0" borderId="24" xfId="0" applyNumberFormat="1" applyFont="1" applyFill="1" applyBorder="1" applyAlignment="1">
      <alignment horizontal="center"/>
    </xf>
    <xf numFmtId="44" fontId="19" fillId="13" borderId="22" xfId="1" applyFont="1" applyFill="1" applyBorder="1"/>
    <xf numFmtId="44" fontId="3" fillId="13" borderId="64" xfId="1" applyFont="1" applyFill="1" applyBorder="1"/>
    <xf numFmtId="44" fontId="10" fillId="3" borderId="1" xfId="1" applyFont="1" applyFill="1" applyBorder="1" applyAlignment="1">
      <alignment horizontal="center" wrapText="1"/>
    </xf>
    <xf numFmtId="44" fontId="10" fillId="3" borderId="3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44" fontId="16" fillId="0" borderId="37" xfId="1" applyFont="1" applyFill="1" applyBorder="1" applyAlignment="1">
      <alignment horizontal="center" vertical="center"/>
    </xf>
    <xf numFmtId="44" fontId="16" fillId="0" borderId="41" xfId="1" applyFont="1" applyFill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7" fontId="14" fillId="0" borderId="7" xfId="1" applyNumberFormat="1" applyFont="1" applyFill="1" applyBorder="1" applyAlignment="1">
      <alignment horizontal="center" vertical="center" wrapText="1"/>
    </xf>
    <xf numFmtId="167" fontId="14" fillId="0" borderId="53" xfId="1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44" fontId="16" fillId="0" borderId="36" xfId="1" applyFont="1" applyFill="1" applyBorder="1" applyAlignment="1">
      <alignment horizontal="center" vertical="center"/>
    </xf>
    <xf numFmtId="44" fontId="16" fillId="0" borderId="40" xfId="1" applyFont="1" applyFill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 wrapText="1"/>
    </xf>
    <xf numFmtId="44" fontId="13" fillId="0" borderId="25" xfId="1" applyFont="1" applyBorder="1" applyAlignment="1">
      <alignment horizontal="center" vertical="center" wrapText="1"/>
    </xf>
    <xf numFmtId="44" fontId="13" fillId="0" borderId="51" xfId="1" applyFont="1" applyBorder="1" applyAlignment="1">
      <alignment horizontal="center" vertical="center" wrapText="1"/>
    </xf>
    <xf numFmtId="44" fontId="14" fillId="0" borderId="51" xfId="1" applyFont="1" applyBorder="1" applyAlignment="1">
      <alignment horizontal="center"/>
    </xf>
    <xf numFmtId="44" fontId="14" fillId="0" borderId="52" xfId="1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44" fontId="15" fillId="0" borderId="51" xfId="1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44" fontId="14" fillId="4" borderId="13" xfId="1" applyFont="1" applyFill="1" applyBorder="1" applyAlignment="1">
      <alignment horizontal="center"/>
    </xf>
    <xf numFmtId="44" fontId="14" fillId="4" borderId="54" xfId="1" applyFont="1" applyFill="1" applyBorder="1" applyAlignment="1">
      <alignment horizontal="center"/>
    </xf>
    <xf numFmtId="166" fontId="14" fillId="4" borderId="54" xfId="1" applyNumberFormat="1" applyFont="1" applyFill="1" applyBorder="1" applyAlignment="1">
      <alignment horizontal="center"/>
    </xf>
    <xf numFmtId="44" fontId="10" fillId="3" borderId="62" xfId="1" applyFont="1" applyFill="1" applyBorder="1" applyAlignment="1">
      <alignment horizontal="center" wrapText="1"/>
    </xf>
    <xf numFmtId="0" fontId="17" fillId="6" borderId="55" xfId="0" applyFont="1" applyFill="1" applyBorder="1" applyAlignment="1">
      <alignment horizontal="center"/>
    </xf>
    <xf numFmtId="0" fontId="17" fillId="6" borderId="56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00FF00"/>
      <color rgb="FFFFCCCC"/>
      <color rgb="FFCCFF33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295275</xdr:colOff>
      <xdr:row>54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395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2204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536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467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681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9</xdr:col>
      <xdr:colOff>494476</xdr:colOff>
      <xdr:row>28</xdr:row>
      <xdr:rowOff>56476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0"/>
          <a:ext cx="6590476" cy="5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83"/>
  <sheetViews>
    <sheetView topLeftCell="A16" workbookViewId="0">
      <selection activeCell="M58" sqref="M58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69"/>
      <c r="C1" s="271" t="s">
        <v>29</v>
      </c>
      <c r="D1" s="272"/>
      <c r="E1" s="272"/>
      <c r="F1" s="272"/>
      <c r="G1" s="272"/>
      <c r="H1" s="272"/>
      <c r="I1" s="272"/>
      <c r="J1" s="272"/>
      <c r="K1" s="272"/>
      <c r="L1" s="272"/>
      <c r="M1" s="272"/>
    </row>
    <row r="2" spans="1:21" ht="16.5" thickBot="1" x14ac:dyDescent="0.3">
      <c r="B2" s="270"/>
      <c r="C2" s="4"/>
      <c r="H2" s="6"/>
      <c r="I2" s="7"/>
      <c r="J2" s="8"/>
      <c r="L2" s="3"/>
      <c r="M2" s="7"/>
      <c r="N2" s="9"/>
    </row>
    <row r="3" spans="1:21" ht="21.75" thickBot="1" x14ac:dyDescent="0.35">
      <c r="B3" s="273" t="s">
        <v>0</v>
      </c>
      <c r="C3" s="274"/>
      <c r="D3" s="10"/>
      <c r="E3" s="11"/>
      <c r="F3" s="11"/>
      <c r="H3" s="275" t="s">
        <v>1</v>
      </c>
      <c r="I3" s="275"/>
      <c r="K3" s="13"/>
      <c r="L3" s="13"/>
      <c r="M3" s="6"/>
      <c r="R3" s="252" t="s">
        <v>2</v>
      </c>
    </row>
    <row r="4" spans="1:21" ht="20.25" thickTop="1" thickBot="1" x14ac:dyDescent="0.35">
      <c r="A4" s="14" t="s">
        <v>3</v>
      </c>
      <c r="B4" s="15"/>
      <c r="C4" s="16">
        <v>373948.72</v>
      </c>
      <c r="D4" s="17">
        <v>44934</v>
      </c>
      <c r="E4" s="254" t="s">
        <v>4</v>
      </c>
      <c r="F4" s="255"/>
      <c r="H4" s="256" t="s">
        <v>5</v>
      </c>
      <c r="I4" s="257"/>
      <c r="J4" s="18"/>
      <c r="K4" s="19"/>
      <c r="L4" s="20"/>
      <c r="M4" s="21" t="s">
        <v>6</v>
      </c>
      <c r="N4" s="22" t="s">
        <v>7</v>
      </c>
      <c r="P4" s="258" t="s">
        <v>8</v>
      </c>
      <c r="Q4" s="259"/>
      <c r="R4" s="253"/>
    </row>
    <row r="5" spans="1:21" ht="18" thickBot="1" x14ac:dyDescent="0.35">
      <c r="A5" s="23" t="s">
        <v>9</v>
      </c>
      <c r="B5" s="24">
        <v>44935</v>
      </c>
      <c r="C5" s="25">
        <v>1560</v>
      </c>
      <c r="D5" s="26" t="s">
        <v>67</v>
      </c>
      <c r="E5" s="27">
        <v>44935</v>
      </c>
      <c r="F5" s="28">
        <v>124911</v>
      </c>
      <c r="G5" s="29"/>
      <c r="H5" s="30">
        <v>44935</v>
      </c>
      <c r="I5" s="31">
        <v>1037.5</v>
      </c>
      <c r="J5" s="8"/>
      <c r="K5" s="32"/>
      <c r="L5" s="9"/>
      <c r="M5" s="33">
        <f>119403.5+16000</f>
        <v>135403.5</v>
      </c>
      <c r="N5" s="34">
        <v>4000</v>
      </c>
      <c r="O5" s="35"/>
      <c r="P5" s="36">
        <f>N5+M5+L5+I5+C5</f>
        <v>142001</v>
      </c>
      <c r="Q5" s="13">
        <v>0</v>
      </c>
      <c r="R5" s="222">
        <v>17090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71188</v>
      </c>
      <c r="G6" s="29"/>
      <c r="H6" s="30">
        <v>44936</v>
      </c>
      <c r="I6" s="31">
        <v>113</v>
      </c>
      <c r="J6" s="39"/>
      <c r="K6" s="40"/>
      <c r="L6" s="41"/>
      <c r="M6" s="33">
        <v>83871</v>
      </c>
      <c r="N6" s="34">
        <v>1004</v>
      </c>
      <c r="O6" s="35"/>
      <c r="P6" s="36">
        <f>N6+M6+L6+I6+C6</f>
        <v>84988</v>
      </c>
      <c r="Q6" s="13">
        <v>0</v>
      </c>
      <c r="R6" s="222">
        <v>13800</v>
      </c>
      <c r="S6" s="37"/>
      <c r="T6" s="9"/>
    </row>
    <row r="7" spans="1:21" ht="18" thickBot="1" x14ac:dyDescent="0.35">
      <c r="A7" s="23"/>
      <c r="B7" s="24">
        <v>44937</v>
      </c>
      <c r="C7" s="25">
        <v>4414</v>
      </c>
      <c r="D7" s="42" t="s">
        <v>68</v>
      </c>
      <c r="E7" s="27">
        <v>44937</v>
      </c>
      <c r="F7" s="28">
        <v>47678</v>
      </c>
      <c r="G7" s="29"/>
      <c r="H7" s="30">
        <v>44937</v>
      </c>
      <c r="I7" s="31">
        <v>133.5</v>
      </c>
      <c r="J7" s="39"/>
      <c r="K7" s="43"/>
      <c r="L7" s="41"/>
      <c r="M7" s="33">
        <v>42630.5</v>
      </c>
      <c r="N7" s="34">
        <v>500</v>
      </c>
      <c r="O7" s="35"/>
      <c r="P7" s="36">
        <f>N7+M7+L7+I7+C7</f>
        <v>47678</v>
      </c>
      <c r="Q7" s="13">
        <f t="shared" ref="Q7:Q48" si="0">P7-F7</f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64345</v>
      </c>
      <c r="G8" s="29"/>
      <c r="H8" s="30">
        <v>44938</v>
      </c>
      <c r="I8" s="31">
        <v>101.5</v>
      </c>
      <c r="J8" s="44"/>
      <c r="K8" s="45"/>
      <c r="L8" s="41"/>
      <c r="M8" s="33">
        <f>17000+50662.5</f>
        <v>67662.5</v>
      </c>
      <c r="N8" s="34">
        <v>1207</v>
      </c>
      <c r="O8" s="35"/>
      <c r="P8" s="36">
        <f t="shared" ref="P8:P49" si="1">N8+M8+L8+I8+C8</f>
        <v>68971</v>
      </c>
      <c r="Q8" s="13">
        <v>0</v>
      </c>
      <c r="R8" s="222">
        <v>4626</v>
      </c>
      <c r="S8" s="37"/>
    </row>
    <row r="9" spans="1:21" ht="18" thickBot="1" x14ac:dyDescent="0.35">
      <c r="A9" s="23"/>
      <c r="B9" s="24">
        <v>44939</v>
      </c>
      <c r="C9" s="25">
        <v>21636</v>
      </c>
      <c r="D9" s="46" t="s">
        <v>69</v>
      </c>
      <c r="E9" s="27">
        <v>44939</v>
      </c>
      <c r="F9" s="28">
        <v>109777</v>
      </c>
      <c r="G9" s="29"/>
      <c r="H9" s="30">
        <v>44939</v>
      </c>
      <c r="I9" s="31">
        <v>168</v>
      </c>
      <c r="J9" s="39"/>
      <c r="K9" s="47"/>
      <c r="L9" s="41"/>
      <c r="M9" s="33">
        <f>50000+37473</f>
        <v>87473</v>
      </c>
      <c r="N9" s="34">
        <v>500</v>
      </c>
      <c r="O9" s="35"/>
      <c r="P9" s="36">
        <f t="shared" si="1"/>
        <v>109777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59345</v>
      </c>
      <c r="G10" s="29"/>
      <c r="H10" s="30">
        <v>44940</v>
      </c>
      <c r="I10" s="31">
        <v>374</v>
      </c>
      <c r="J10" s="39">
        <v>44940</v>
      </c>
      <c r="K10" s="48" t="s">
        <v>70</v>
      </c>
      <c r="L10" s="49">
        <v>8900</v>
      </c>
      <c r="M10" s="33">
        <f>20748+20000</f>
        <v>40748</v>
      </c>
      <c r="N10" s="34">
        <v>9323</v>
      </c>
      <c r="O10" s="35"/>
      <c r="P10" s="36">
        <f>N10+M10+L10+I10+C10</f>
        <v>59345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119768</v>
      </c>
      <c r="G11" s="29"/>
      <c r="H11" s="30">
        <v>44941</v>
      </c>
      <c r="I11" s="31">
        <v>109</v>
      </c>
      <c r="J11" s="44"/>
      <c r="K11" s="50"/>
      <c r="L11" s="41"/>
      <c r="M11" s="33">
        <f>126400+6954</f>
        <v>133354</v>
      </c>
      <c r="N11" s="34">
        <v>4125</v>
      </c>
      <c r="O11" s="35"/>
      <c r="P11" s="36">
        <f>N11+M11+L11+I11+C11</f>
        <v>137588</v>
      </c>
      <c r="Q11" s="13">
        <v>0</v>
      </c>
      <c r="R11" s="222">
        <v>17820</v>
      </c>
      <c r="S11" s="37"/>
    </row>
    <row r="12" spans="1:21" ht="31.5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132033</v>
      </c>
      <c r="G12" s="29"/>
      <c r="H12" s="30">
        <v>44942</v>
      </c>
      <c r="I12" s="31">
        <v>56</v>
      </c>
      <c r="J12" s="39">
        <v>44942</v>
      </c>
      <c r="K12" s="223" t="s">
        <v>71</v>
      </c>
      <c r="L12" s="41">
        <v>2600</v>
      </c>
      <c r="M12" s="33">
        <f>21000+108337</f>
        <v>129337</v>
      </c>
      <c r="N12" s="34">
        <v>40</v>
      </c>
      <c r="O12" s="35"/>
      <c r="P12" s="36">
        <f t="shared" si="1"/>
        <v>132033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79932</v>
      </c>
      <c r="G13" s="29"/>
      <c r="H13" s="30">
        <v>44943</v>
      </c>
      <c r="I13" s="31">
        <v>107</v>
      </c>
      <c r="J13" s="39"/>
      <c r="K13" s="40"/>
      <c r="L13" s="41"/>
      <c r="M13" s="33">
        <f>20000+59825</f>
        <v>79825</v>
      </c>
      <c r="N13" s="34">
        <v>0</v>
      </c>
      <c r="O13" s="35"/>
      <c r="P13" s="36">
        <f t="shared" si="1"/>
        <v>79932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37644</v>
      </c>
      <c r="G14" s="29"/>
      <c r="H14" s="30">
        <v>44944</v>
      </c>
      <c r="I14" s="31">
        <v>134</v>
      </c>
      <c r="J14" s="39"/>
      <c r="K14" s="45"/>
      <c r="L14" s="41"/>
      <c r="M14" s="33">
        <v>36780</v>
      </c>
      <c r="N14" s="34">
        <v>730</v>
      </c>
      <c r="O14" s="35"/>
      <c r="P14" s="36">
        <f t="shared" si="1"/>
        <v>37644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2340</v>
      </c>
      <c r="D15" s="52" t="s">
        <v>67</v>
      </c>
      <c r="E15" s="27">
        <v>44945</v>
      </c>
      <c r="F15" s="28">
        <v>87735</v>
      </c>
      <c r="G15" s="29"/>
      <c r="H15" s="30">
        <v>44945</v>
      </c>
      <c r="I15" s="31">
        <v>179</v>
      </c>
      <c r="J15" s="39"/>
      <c r="K15" s="45"/>
      <c r="L15" s="41"/>
      <c r="M15" s="33">
        <f>36000+49217</f>
        <v>85217</v>
      </c>
      <c r="N15" s="34">
        <v>0</v>
      </c>
      <c r="O15" s="35"/>
      <c r="P15" s="36">
        <f t="shared" si="1"/>
        <v>87736</v>
      </c>
      <c r="Q15" s="13">
        <f t="shared" si="0"/>
        <v>1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81640</v>
      </c>
      <c r="G16" s="29"/>
      <c r="H16" s="30">
        <v>44946</v>
      </c>
      <c r="I16" s="31">
        <v>327</v>
      </c>
      <c r="J16" s="39">
        <v>44946</v>
      </c>
      <c r="K16" s="224" t="s">
        <v>72</v>
      </c>
      <c r="L16" s="9">
        <v>20500</v>
      </c>
      <c r="M16" s="33">
        <f>21000+37200</f>
        <v>58200</v>
      </c>
      <c r="N16" s="34">
        <v>2613</v>
      </c>
      <c r="O16" s="35"/>
      <c r="P16" s="36">
        <f t="shared" si="1"/>
        <v>81640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65320</v>
      </c>
      <c r="G17" s="29"/>
      <c r="H17" s="30">
        <v>44947</v>
      </c>
      <c r="I17" s="31">
        <v>87</v>
      </c>
      <c r="J17" s="39">
        <v>44947</v>
      </c>
      <c r="K17" s="53" t="s">
        <v>73</v>
      </c>
      <c r="L17" s="49">
        <v>10600</v>
      </c>
      <c r="M17" s="33">
        <f>23000+22677</f>
        <v>45677</v>
      </c>
      <c r="N17" s="34">
        <v>8956</v>
      </c>
      <c r="O17" s="35"/>
      <c r="P17" s="36">
        <f t="shared" si="1"/>
        <v>65320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12722</v>
      </c>
      <c r="D18" s="42" t="s">
        <v>69</v>
      </c>
      <c r="E18" s="27">
        <v>44948</v>
      </c>
      <c r="F18" s="28">
        <v>110009</v>
      </c>
      <c r="G18" s="29"/>
      <c r="H18" s="30">
        <v>44948</v>
      </c>
      <c r="I18" s="31">
        <v>125.5</v>
      </c>
      <c r="J18" s="39"/>
      <c r="K18" s="54"/>
      <c r="L18" s="41"/>
      <c r="M18" s="33">
        <f>83100+7943.5</f>
        <v>91043.5</v>
      </c>
      <c r="N18" s="34">
        <v>6118</v>
      </c>
      <c r="O18" s="35"/>
      <c r="P18" s="36">
        <f t="shared" si="1"/>
        <v>110009</v>
      </c>
      <c r="Q18" s="13">
        <f t="shared" si="0"/>
        <v>0</v>
      </c>
      <c r="R18" s="13" t="s">
        <v>9</v>
      </c>
      <c r="S18" s="37"/>
    </row>
    <row r="19" spans="1:20" ht="18" thickBot="1" x14ac:dyDescent="0.35">
      <c r="A19" s="23"/>
      <c r="B19" s="24">
        <v>44949</v>
      </c>
      <c r="C19" s="25">
        <v>2840</v>
      </c>
      <c r="D19" s="52" t="s">
        <v>67</v>
      </c>
      <c r="E19" s="27">
        <v>44949</v>
      </c>
      <c r="F19" s="28">
        <v>64409</v>
      </c>
      <c r="G19" s="29"/>
      <c r="H19" s="30">
        <v>44949</v>
      </c>
      <c r="I19" s="31">
        <v>25</v>
      </c>
      <c r="J19" s="39"/>
      <c r="K19" s="55"/>
      <c r="L19" s="56"/>
      <c r="M19" s="33">
        <f>9000+52544</f>
        <v>61544</v>
      </c>
      <c r="N19" s="34">
        <v>0</v>
      </c>
      <c r="O19" s="35"/>
      <c r="P19" s="36">
        <f t="shared" si="1"/>
        <v>64409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132246</v>
      </c>
      <c r="G20" s="29"/>
      <c r="H20" s="30">
        <v>44950</v>
      </c>
      <c r="I20" s="31">
        <v>84</v>
      </c>
      <c r="J20" s="39"/>
      <c r="K20" s="57"/>
      <c r="L20" s="49"/>
      <c r="M20" s="33">
        <f>104034+28000</f>
        <v>132034</v>
      </c>
      <c r="N20" s="34">
        <v>128</v>
      </c>
      <c r="O20" s="35"/>
      <c r="P20" s="36">
        <f t="shared" si="1"/>
        <v>132246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2842</v>
      </c>
      <c r="D21" s="52" t="s">
        <v>74</v>
      </c>
      <c r="E21" s="27">
        <v>44951</v>
      </c>
      <c r="F21" s="28">
        <v>62087</v>
      </c>
      <c r="G21" s="29"/>
      <c r="H21" s="30">
        <v>44951</v>
      </c>
      <c r="I21" s="31">
        <v>707</v>
      </c>
      <c r="J21" s="39"/>
      <c r="K21" s="58"/>
      <c r="L21" s="49"/>
      <c r="M21" s="33">
        <f>30984+27000</f>
        <v>57984</v>
      </c>
      <c r="N21" s="34">
        <v>554</v>
      </c>
      <c r="O21" s="35"/>
      <c r="P21" s="36">
        <f t="shared" si="1"/>
        <v>62087</v>
      </c>
      <c r="Q21" s="13">
        <f t="shared" si="0"/>
        <v>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62127</v>
      </c>
      <c r="G22" s="29"/>
      <c r="H22" s="30">
        <v>44952</v>
      </c>
      <c r="I22" s="31">
        <v>660</v>
      </c>
      <c r="J22" s="39"/>
      <c r="K22" s="45"/>
      <c r="L22" s="59"/>
      <c r="M22" s="33">
        <f>40006+21000</f>
        <v>61006</v>
      </c>
      <c r="N22" s="34">
        <v>461</v>
      </c>
      <c r="O22" s="35"/>
      <c r="P22" s="36">
        <f t="shared" si="1"/>
        <v>62127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f>3340+12198</f>
        <v>15538</v>
      </c>
      <c r="D23" s="46" t="s">
        <v>75</v>
      </c>
      <c r="E23" s="27">
        <v>44953</v>
      </c>
      <c r="F23" s="28">
        <v>102367</v>
      </c>
      <c r="G23" s="29"/>
      <c r="H23" s="30">
        <v>44953</v>
      </c>
      <c r="I23" s="31">
        <v>605</v>
      </c>
      <c r="J23" s="60"/>
      <c r="K23" s="61"/>
      <c r="L23" s="49"/>
      <c r="M23" s="33">
        <f>36224+50000</f>
        <v>86224</v>
      </c>
      <c r="N23" s="34">
        <v>0</v>
      </c>
      <c r="O23" s="35"/>
      <c r="P23" s="36">
        <f t="shared" si="1"/>
        <v>102367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69253</v>
      </c>
      <c r="G24" s="29"/>
      <c r="H24" s="30">
        <v>44954</v>
      </c>
      <c r="I24" s="31">
        <v>227.5</v>
      </c>
      <c r="J24" s="62">
        <v>44954</v>
      </c>
      <c r="K24" s="63" t="s">
        <v>76</v>
      </c>
      <c r="L24" s="64">
        <v>8900</v>
      </c>
      <c r="M24" s="33">
        <f>26833.5+27000</f>
        <v>53833.5</v>
      </c>
      <c r="N24" s="34">
        <v>6292</v>
      </c>
      <c r="O24" s="35"/>
      <c r="P24" s="36">
        <f t="shared" si="1"/>
        <v>69253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100451</v>
      </c>
      <c r="G25" s="29"/>
      <c r="H25" s="30">
        <v>44955</v>
      </c>
      <c r="I25" s="31">
        <v>1103</v>
      </c>
      <c r="J25" s="65"/>
      <c r="K25" s="66"/>
      <c r="L25" s="67"/>
      <c r="M25" s="33">
        <f>76750+8550+11200</f>
        <v>96500</v>
      </c>
      <c r="N25" s="34">
        <v>2848</v>
      </c>
      <c r="O25" s="35"/>
      <c r="P25" s="36">
        <f t="shared" si="1"/>
        <v>100451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/>
      <c r="F26" s="28"/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/>
      <c r="F27" s="28"/>
      <c r="G27" s="29"/>
      <c r="H27" s="30"/>
      <c r="I27" s="31"/>
      <c r="J27" s="68">
        <v>44950</v>
      </c>
      <c r="K27" s="232" t="s">
        <v>108</v>
      </c>
      <c r="L27" s="67">
        <v>1392</v>
      </c>
      <c r="M27" s="33">
        <v>0</v>
      </c>
      <c r="N27" s="34">
        <v>0</v>
      </c>
      <c r="O27" s="35"/>
      <c r="P27" s="36">
        <f t="shared" si="1"/>
        <v>1392</v>
      </c>
      <c r="Q27" s="13">
        <f t="shared" si="0"/>
        <v>1392</v>
      </c>
      <c r="R27" s="13">
        <v>0</v>
      </c>
      <c r="S27" s="37"/>
    </row>
    <row r="28" spans="1:20" ht="18" hidden="1" thickBot="1" x14ac:dyDescent="0.35">
      <c r="A28" s="23"/>
      <c r="B28" s="24"/>
      <c r="C28" s="25"/>
      <c r="D28" s="42"/>
      <c r="E28" s="27"/>
      <c r="F28" s="28"/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hidden="1" thickBot="1" x14ac:dyDescent="0.35">
      <c r="A29" s="23"/>
      <c r="B29" s="24"/>
      <c r="C29" s="25"/>
      <c r="D29" s="72"/>
      <c r="E29" s="27"/>
      <c r="F29" s="28"/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hidden="1" thickBot="1" x14ac:dyDescent="0.35">
      <c r="A30" s="23"/>
      <c r="B30" s="24"/>
      <c r="C30" s="25"/>
      <c r="D30" s="72"/>
      <c r="E30" s="27"/>
      <c r="F30" s="28"/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hidden="1" thickBot="1" x14ac:dyDescent="0.35">
      <c r="A31" s="23"/>
      <c r="B31" s="24"/>
      <c r="C31" s="25"/>
      <c r="D31" s="77"/>
      <c r="E31" s="27"/>
      <c r="F31" s="28"/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hidden="1" thickBot="1" x14ac:dyDescent="0.35">
      <c r="A32" s="23"/>
      <c r="B32" s="24"/>
      <c r="C32" s="25"/>
      <c r="D32" s="82"/>
      <c r="E32" s="27"/>
      <c r="F32" s="28"/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hidden="1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hidden="1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hidden="1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hidden="1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hidden="1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hidden="1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hidden="1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hidden="1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hidden="1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hidden="1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hidden="1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hidden="1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hidden="1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hidden="1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hidden="1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>
        <v>44951</v>
      </c>
      <c r="K48" s="231" t="s">
        <v>109</v>
      </c>
      <c r="L48" s="76">
        <v>979.68</v>
      </c>
      <c r="M48" s="92">
        <v>0</v>
      </c>
      <c r="N48" s="93"/>
      <c r="O48" s="35"/>
      <c r="P48" s="36">
        <f t="shared" si="1"/>
        <v>979.68</v>
      </c>
      <c r="Q48" s="13">
        <f t="shared" si="0"/>
        <v>979.68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>
        <v>44942</v>
      </c>
      <c r="K49" s="97" t="s">
        <v>111</v>
      </c>
      <c r="L49" s="76">
        <v>549</v>
      </c>
      <c r="M49" s="276">
        <f>SUM(M5:M39)</f>
        <v>1666347.5</v>
      </c>
      <c r="N49" s="261">
        <f>SUM(N5:N39)</f>
        <v>49399</v>
      </c>
      <c r="P49" s="98">
        <f t="shared" si="1"/>
        <v>1716295.5</v>
      </c>
      <c r="Q49" s="99">
        <f>SUM(Q5:Q39)</f>
        <v>1393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>
        <v>44955</v>
      </c>
      <c r="K50" s="233" t="s">
        <v>112</v>
      </c>
      <c r="L50" s="76">
        <v>2591.1799999999998</v>
      </c>
      <c r="M50" s="277"/>
      <c r="N50" s="262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5.75" thickBot="1" x14ac:dyDescent="0.3">
      <c r="A52" s="23"/>
      <c r="B52" s="111"/>
      <c r="C52" s="25">
        <v>0</v>
      </c>
      <c r="D52" s="115"/>
      <c r="E52" s="116"/>
      <c r="F52" s="107"/>
      <c r="H52" s="117"/>
      <c r="I52" s="91"/>
      <c r="J52" s="118"/>
      <c r="K52" s="119"/>
      <c r="L52" s="9"/>
      <c r="M52" s="120"/>
      <c r="N52" s="34"/>
      <c r="P52" s="36"/>
      <c r="Q52" s="9"/>
    </row>
    <row r="53" spans="1:18" ht="16.5" thickBot="1" x14ac:dyDescent="0.3">
      <c r="B53" s="121" t="s">
        <v>10</v>
      </c>
      <c r="C53" s="122">
        <f>SUM(C5:C52)</f>
        <v>63892</v>
      </c>
      <c r="D53" s="123"/>
      <c r="E53" s="124" t="s">
        <v>10</v>
      </c>
      <c r="F53" s="125">
        <f>SUM(F5:F52)</f>
        <v>1784265</v>
      </c>
      <c r="G53" s="123"/>
      <c r="H53" s="126" t="s">
        <v>11</v>
      </c>
      <c r="I53" s="127">
        <f>SUM(I5:I52)</f>
        <v>6463.5</v>
      </c>
      <c r="J53" s="128"/>
      <c r="K53" s="129" t="s">
        <v>12</v>
      </c>
      <c r="L53" s="130">
        <f>SUM(L5:L52)</f>
        <v>57011.86</v>
      </c>
      <c r="M53" s="131"/>
      <c r="N53" s="131"/>
      <c r="P53" s="36"/>
      <c r="Q53" s="9"/>
    </row>
    <row r="54" spans="1:18" ht="16.5" thickTop="1" thickBot="1" x14ac:dyDescent="0.3">
      <c r="C54" s="4" t="s">
        <v>9</v>
      </c>
      <c r="P54" s="36"/>
      <c r="Q54" s="9"/>
    </row>
    <row r="55" spans="1:18" ht="19.5" thickBot="1" x14ac:dyDescent="0.3">
      <c r="A55" s="133"/>
      <c r="B55" s="134"/>
      <c r="C55" s="1"/>
      <c r="H55" s="263" t="s">
        <v>13</v>
      </c>
      <c r="I55" s="264"/>
      <c r="J55" s="135"/>
      <c r="K55" s="265">
        <f>I53+L53</f>
        <v>63475.360000000001</v>
      </c>
      <c r="L55" s="266"/>
      <c r="M55" s="267">
        <f>N49+M49</f>
        <v>1715746.5</v>
      </c>
      <c r="N55" s="268"/>
      <c r="P55" s="36"/>
      <c r="Q55" s="9"/>
    </row>
    <row r="56" spans="1:18" ht="15.75" x14ac:dyDescent="0.25">
      <c r="D56" s="260" t="s">
        <v>14</v>
      </c>
      <c r="E56" s="260"/>
      <c r="F56" s="136">
        <f>F53-K55-C53</f>
        <v>1656897.64</v>
      </c>
      <c r="I56" s="137"/>
      <c r="J56" s="138"/>
      <c r="P56" s="36"/>
      <c r="Q56" s="9"/>
    </row>
    <row r="57" spans="1:18" ht="18.75" x14ac:dyDescent="0.3">
      <c r="D57" s="278" t="s">
        <v>15</v>
      </c>
      <c r="E57" s="278"/>
      <c r="F57" s="131">
        <v>-1524395.48</v>
      </c>
      <c r="I57" s="279" t="s">
        <v>16</v>
      </c>
      <c r="J57" s="280"/>
      <c r="K57" s="281">
        <f>F59+F60+F61</f>
        <v>393764.05999999994</v>
      </c>
      <c r="L57" s="282"/>
      <c r="P57" s="36"/>
      <c r="Q57" s="9"/>
    </row>
    <row r="58" spans="1:18" ht="19.5" thickBot="1" x14ac:dyDescent="0.35">
      <c r="D58" s="139"/>
      <c r="E58" s="140"/>
      <c r="F58" s="141">
        <v>0</v>
      </c>
      <c r="I58" s="142"/>
      <c r="J58" s="143"/>
      <c r="K58" s="144"/>
      <c r="L58" s="145"/>
    </row>
    <row r="59" spans="1:18" ht="19.5" thickTop="1" x14ac:dyDescent="0.3">
      <c r="C59" s="5" t="s">
        <v>9</v>
      </c>
      <c r="E59" s="133" t="s">
        <v>17</v>
      </c>
      <c r="F59" s="131">
        <f>SUM(F56:F58)</f>
        <v>132502.15999999992</v>
      </c>
      <c r="H59" s="23"/>
      <c r="I59" s="146" t="s">
        <v>18</v>
      </c>
      <c r="J59" s="147"/>
      <c r="K59" s="283">
        <f>-C4</f>
        <v>-373948.72</v>
      </c>
      <c r="L59" s="284"/>
    </row>
    <row r="60" spans="1:18" ht="16.5" thickBot="1" x14ac:dyDescent="0.3">
      <c r="D60" s="148" t="s">
        <v>19</v>
      </c>
      <c r="E60" s="133" t="s">
        <v>20</v>
      </c>
      <c r="F60" s="149">
        <v>37733</v>
      </c>
    </row>
    <row r="61" spans="1:18" ht="20.25" thickTop="1" thickBot="1" x14ac:dyDescent="0.35">
      <c r="C61" s="150">
        <v>44955</v>
      </c>
      <c r="D61" s="285" t="s">
        <v>21</v>
      </c>
      <c r="E61" s="286"/>
      <c r="F61" s="151">
        <v>223528.9</v>
      </c>
      <c r="I61" s="287" t="s">
        <v>22</v>
      </c>
      <c r="J61" s="288"/>
      <c r="K61" s="289">
        <f>K57+K59</f>
        <v>19815.339999999967</v>
      </c>
      <c r="L61" s="289"/>
    </row>
    <row r="62" spans="1:18" ht="17.25" x14ac:dyDescent="0.3">
      <c r="C62" s="152"/>
      <c r="D62" s="153"/>
      <c r="E62" s="154"/>
      <c r="F62" s="155"/>
      <c r="J62" s="156"/>
    </row>
    <row r="63" spans="1:18" ht="15" customHeight="1" x14ac:dyDescent="0.25">
      <c r="I63" s="157"/>
      <c r="J63" s="157"/>
      <c r="K63" s="158"/>
      <c r="L63" s="158"/>
    </row>
    <row r="64" spans="1:18" ht="16.5" customHeight="1" x14ac:dyDescent="0.25">
      <c r="B64" s="159"/>
      <c r="C64" s="160"/>
      <c r="D64" s="161"/>
      <c r="E64" s="36"/>
      <c r="I64" s="157"/>
      <c r="J64" s="157"/>
      <c r="K64" s="158"/>
      <c r="L64" s="158"/>
      <c r="M64" s="162"/>
      <c r="N64" s="133"/>
    </row>
    <row r="65" spans="2:14" ht="15.75" x14ac:dyDescent="0.25">
      <c r="B65" s="159"/>
      <c r="C65" s="163"/>
      <c r="E65" s="36"/>
      <c r="M65" s="162"/>
      <c r="N65" s="133"/>
    </row>
    <row r="66" spans="2:14" ht="15.75" x14ac:dyDescent="0.25">
      <c r="B66" s="159"/>
      <c r="C66" s="163"/>
      <c r="E66" s="36"/>
      <c r="F66" s="164"/>
      <c r="L66" s="165"/>
      <c r="M66" s="1"/>
    </row>
    <row r="67" spans="2:14" ht="15.75" x14ac:dyDescent="0.25">
      <c r="B67" s="159"/>
      <c r="C67" s="163"/>
      <c r="E67" s="36"/>
      <c r="M67" s="1"/>
    </row>
    <row r="68" spans="2:14" ht="15.75" x14ac:dyDescent="0.25">
      <c r="B68" s="159"/>
      <c r="C68" s="163"/>
      <c r="E68" s="36"/>
      <c r="F68" s="166"/>
      <c r="M68" s="1"/>
    </row>
    <row r="69" spans="2:14" x14ac:dyDescent="0.25">
      <c r="E69" s="167"/>
      <c r="F69" s="36"/>
      <c r="M69" s="1"/>
    </row>
    <row r="70" spans="2:14" x14ac:dyDescent="0.25">
      <c r="E70" s="167"/>
      <c r="F70" s="36"/>
      <c r="M70" s="1"/>
    </row>
    <row r="71" spans="2:14" x14ac:dyDescent="0.25">
      <c r="E71" s="167"/>
      <c r="F71" s="36"/>
      <c r="M71" s="1"/>
    </row>
    <row r="72" spans="2:14" x14ac:dyDescent="0.25">
      <c r="E72" s="167"/>
      <c r="F72" s="36"/>
      <c r="M72" s="1"/>
    </row>
    <row r="73" spans="2:14" x14ac:dyDescent="0.25">
      <c r="E73" s="167"/>
      <c r="F73" s="36"/>
      <c r="M73" s="1"/>
    </row>
    <row r="74" spans="2:14" x14ac:dyDescent="0.25">
      <c r="E74" s="167"/>
      <c r="F74" s="36"/>
      <c r="M74" s="1"/>
    </row>
    <row r="75" spans="2:14" x14ac:dyDescent="0.25">
      <c r="E75" s="167"/>
      <c r="F75" s="36"/>
      <c r="M75" s="1"/>
    </row>
    <row r="76" spans="2:14" x14ac:dyDescent="0.25">
      <c r="E76" s="167"/>
      <c r="F76" s="36"/>
      <c r="M76" s="1"/>
    </row>
    <row r="77" spans="2:14" x14ac:dyDescent="0.25">
      <c r="E77" s="167"/>
      <c r="F77" s="36"/>
      <c r="M77" s="1"/>
    </row>
    <row r="78" spans="2:14" x14ac:dyDescent="0.25">
      <c r="E78" s="167"/>
      <c r="F78" s="36"/>
      <c r="M78" s="1"/>
    </row>
    <row r="79" spans="2:14" x14ac:dyDescent="0.25">
      <c r="E79" s="167"/>
      <c r="F79" s="36"/>
      <c r="M79" s="1"/>
    </row>
    <row r="80" spans="2:14" x14ac:dyDescent="0.25">
      <c r="E80" s="167"/>
      <c r="F80" s="36"/>
    </row>
    <row r="81" spans="6:6" x14ac:dyDescent="0.25">
      <c r="F81" s="166"/>
    </row>
    <row r="82" spans="6:6" x14ac:dyDescent="0.25">
      <c r="F82" s="166"/>
    </row>
    <row r="83" spans="6:6" x14ac:dyDescent="0.25">
      <c r="F83" s="166"/>
    </row>
  </sheetData>
  <mergeCells count="21">
    <mergeCell ref="D57:E57"/>
    <mergeCell ref="I57:J57"/>
    <mergeCell ref="K57:L57"/>
    <mergeCell ref="K59:L59"/>
    <mergeCell ref="D61:E61"/>
    <mergeCell ref="I61:J61"/>
    <mergeCell ref="K61:L61"/>
    <mergeCell ref="B1:B2"/>
    <mergeCell ref="C1:M1"/>
    <mergeCell ref="B3:C3"/>
    <mergeCell ref="H3:I3"/>
    <mergeCell ref="M49:M50"/>
    <mergeCell ref="R3:R4"/>
    <mergeCell ref="E4:F4"/>
    <mergeCell ref="H4:I4"/>
    <mergeCell ref="P4:Q4"/>
    <mergeCell ref="D56:E56"/>
    <mergeCell ref="N49:N50"/>
    <mergeCell ref="H55:I55"/>
    <mergeCell ref="K55:L55"/>
    <mergeCell ref="M55:N5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15"/>
  <sheetViews>
    <sheetView topLeftCell="A16" workbookViewId="0">
      <selection activeCell="C88" sqref="C88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77">
        <v>44935</v>
      </c>
      <c r="B3" s="178" t="s">
        <v>31</v>
      </c>
      <c r="C3" s="179">
        <v>66876.399999999994</v>
      </c>
      <c r="D3" s="212">
        <v>44940</v>
      </c>
      <c r="E3" s="213">
        <v>66876.399999999994</v>
      </c>
      <c r="F3" s="180">
        <f>C3-E3</f>
        <v>0</v>
      </c>
    </row>
    <row r="4" spans="1:7" ht="22.5" customHeight="1" x14ac:dyDescent="0.25">
      <c r="A4" s="181">
        <v>44935</v>
      </c>
      <c r="B4" s="182" t="s">
        <v>32</v>
      </c>
      <c r="C4" s="149">
        <v>4200</v>
      </c>
      <c r="D4" s="212">
        <v>44940</v>
      </c>
      <c r="E4" s="214">
        <v>4200</v>
      </c>
      <c r="F4" s="183">
        <f>C4-E4+F3</f>
        <v>0</v>
      </c>
    </row>
    <row r="5" spans="1:7" ht="21" customHeight="1" x14ac:dyDescent="0.25">
      <c r="A5" s="181">
        <v>44936</v>
      </c>
      <c r="B5" s="182" t="s">
        <v>33</v>
      </c>
      <c r="C5" s="149">
        <v>69024</v>
      </c>
      <c r="D5" s="212">
        <v>44940</v>
      </c>
      <c r="E5" s="214">
        <v>69024</v>
      </c>
      <c r="F5" s="183">
        <f t="shared" ref="F5:F68" si="0">C5-E5+F4</f>
        <v>0</v>
      </c>
    </row>
    <row r="6" spans="1:7" ht="21" customHeight="1" x14ac:dyDescent="0.3">
      <c r="A6" s="181">
        <v>44937</v>
      </c>
      <c r="B6" s="182" t="s">
        <v>34</v>
      </c>
      <c r="C6" s="149">
        <v>15219.6</v>
      </c>
      <c r="D6" s="212">
        <v>44940</v>
      </c>
      <c r="E6" s="214">
        <v>15219.6</v>
      </c>
      <c r="F6" s="183">
        <f t="shared" si="0"/>
        <v>0</v>
      </c>
      <c r="G6" s="184"/>
    </row>
    <row r="7" spans="1:7" ht="21" customHeight="1" x14ac:dyDescent="0.25">
      <c r="A7" s="181">
        <v>44938</v>
      </c>
      <c r="B7" s="182" t="s">
        <v>35</v>
      </c>
      <c r="C7" s="149">
        <v>121464.92</v>
      </c>
      <c r="D7" s="212">
        <v>44940</v>
      </c>
      <c r="E7" s="214">
        <v>121464.92</v>
      </c>
      <c r="F7" s="183">
        <f t="shared" si="0"/>
        <v>0</v>
      </c>
    </row>
    <row r="8" spans="1:7" ht="21" customHeight="1" x14ac:dyDescent="0.25">
      <c r="A8" s="181">
        <v>44939</v>
      </c>
      <c r="B8" s="182" t="s">
        <v>36</v>
      </c>
      <c r="C8" s="149">
        <v>97453.87</v>
      </c>
      <c r="D8" s="215">
        <v>44946</v>
      </c>
      <c r="E8" s="216">
        <v>97453.87</v>
      </c>
      <c r="F8" s="183">
        <f t="shared" si="0"/>
        <v>0</v>
      </c>
    </row>
    <row r="9" spans="1:7" ht="21" customHeight="1" x14ac:dyDescent="0.25">
      <c r="A9" s="181">
        <v>44940</v>
      </c>
      <c r="B9" s="182" t="s">
        <v>37</v>
      </c>
      <c r="C9" s="149">
        <v>142167.48000000001</v>
      </c>
      <c r="D9" s="215">
        <v>44946</v>
      </c>
      <c r="E9" s="216">
        <v>142167.48000000001</v>
      </c>
      <c r="F9" s="183">
        <f t="shared" si="0"/>
        <v>0</v>
      </c>
    </row>
    <row r="10" spans="1:7" ht="21" customHeight="1" x14ac:dyDescent="0.25">
      <c r="A10" s="181">
        <v>44942</v>
      </c>
      <c r="B10" s="182" t="s">
        <v>38</v>
      </c>
      <c r="C10" s="149">
        <v>7989.4</v>
      </c>
      <c r="D10" s="215">
        <v>44946</v>
      </c>
      <c r="E10" s="216">
        <v>7989.4</v>
      </c>
      <c r="F10" s="183">
        <f t="shared" si="0"/>
        <v>0</v>
      </c>
    </row>
    <row r="11" spans="1:7" ht="21" customHeight="1" x14ac:dyDescent="0.25">
      <c r="A11" s="181">
        <v>44942</v>
      </c>
      <c r="B11" s="182" t="s">
        <v>39</v>
      </c>
      <c r="C11" s="149">
        <v>89578.1</v>
      </c>
      <c r="D11" s="215">
        <v>44946</v>
      </c>
      <c r="E11" s="216">
        <v>89578.1</v>
      </c>
      <c r="F11" s="183">
        <f t="shared" si="0"/>
        <v>0</v>
      </c>
    </row>
    <row r="12" spans="1:7" ht="21" customHeight="1" x14ac:dyDescent="0.3">
      <c r="A12" s="181">
        <v>44943</v>
      </c>
      <c r="B12" s="182" t="s">
        <v>40</v>
      </c>
      <c r="C12" s="149">
        <v>84731.3</v>
      </c>
      <c r="D12" s="215">
        <v>44946</v>
      </c>
      <c r="E12" s="216">
        <v>84731.3</v>
      </c>
      <c r="F12" s="183">
        <f t="shared" si="0"/>
        <v>0</v>
      </c>
      <c r="G12" s="184"/>
    </row>
    <row r="13" spans="1:7" ht="21" customHeight="1" x14ac:dyDescent="0.25">
      <c r="A13" s="181">
        <v>44943</v>
      </c>
      <c r="B13" s="182" t="s">
        <v>41</v>
      </c>
      <c r="C13" s="149">
        <v>9527</v>
      </c>
      <c r="D13" s="215">
        <v>44946</v>
      </c>
      <c r="E13" s="216">
        <v>9527</v>
      </c>
      <c r="F13" s="183">
        <f t="shared" si="0"/>
        <v>0</v>
      </c>
    </row>
    <row r="14" spans="1:7" ht="21" customHeight="1" x14ac:dyDescent="0.25">
      <c r="A14" s="181">
        <v>44944</v>
      </c>
      <c r="B14" s="182" t="s">
        <v>42</v>
      </c>
      <c r="C14" s="149">
        <v>12017.19</v>
      </c>
      <c r="D14" s="215">
        <v>44946</v>
      </c>
      <c r="E14" s="216">
        <v>12017.19</v>
      </c>
      <c r="F14" s="183">
        <f t="shared" si="0"/>
        <v>0</v>
      </c>
    </row>
    <row r="15" spans="1:7" ht="21" customHeight="1" x14ac:dyDescent="0.25">
      <c r="A15" s="181">
        <v>44945</v>
      </c>
      <c r="B15" s="182" t="s">
        <v>43</v>
      </c>
      <c r="C15" s="149">
        <v>155214</v>
      </c>
      <c r="D15" s="215">
        <v>44946</v>
      </c>
      <c r="E15" s="216">
        <v>155214</v>
      </c>
      <c r="F15" s="183">
        <f t="shared" si="0"/>
        <v>0</v>
      </c>
    </row>
    <row r="16" spans="1:7" ht="21" customHeight="1" x14ac:dyDescent="0.25">
      <c r="A16" s="181">
        <v>44946</v>
      </c>
      <c r="B16" s="182" t="s">
        <v>44</v>
      </c>
      <c r="C16" s="149">
        <v>87505.3</v>
      </c>
      <c r="D16" s="217">
        <v>44953</v>
      </c>
      <c r="E16" s="218">
        <v>87505.3</v>
      </c>
      <c r="F16" s="183">
        <f t="shared" si="0"/>
        <v>0</v>
      </c>
    </row>
    <row r="17" spans="1:10" ht="21" customHeight="1" x14ac:dyDescent="0.25">
      <c r="A17" s="181">
        <v>44947</v>
      </c>
      <c r="B17" s="182" t="s">
        <v>45</v>
      </c>
      <c r="C17" s="149">
        <v>124226.23</v>
      </c>
      <c r="D17" s="217">
        <v>44953</v>
      </c>
      <c r="E17" s="218">
        <v>124226.23</v>
      </c>
      <c r="F17" s="183">
        <f t="shared" si="0"/>
        <v>0</v>
      </c>
    </row>
    <row r="18" spans="1:10" ht="21" customHeight="1" x14ac:dyDescent="0.25">
      <c r="A18" s="181">
        <v>44950</v>
      </c>
      <c r="B18" s="182" t="s">
        <v>46</v>
      </c>
      <c r="C18" s="149">
        <v>74380.55</v>
      </c>
      <c r="D18" s="217">
        <v>44953</v>
      </c>
      <c r="E18" s="218">
        <v>74380.55</v>
      </c>
      <c r="F18" s="183">
        <f t="shared" si="0"/>
        <v>0</v>
      </c>
    </row>
    <row r="19" spans="1:10" ht="21" customHeight="1" x14ac:dyDescent="0.25">
      <c r="A19" s="181">
        <v>44952</v>
      </c>
      <c r="B19" s="182" t="s">
        <v>47</v>
      </c>
      <c r="C19" s="149">
        <v>17080</v>
      </c>
      <c r="D19" s="217">
        <v>44953</v>
      </c>
      <c r="E19" s="218">
        <v>17080</v>
      </c>
      <c r="F19" s="183">
        <f t="shared" si="0"/>
        <v>0</v>
      </c>
    </row>
    <row r="20" spans="1:10" ht="21" customHeight="1" x14ac:dyDescent="0.25">
      <c r="A20" s="181">
        <v>44952</v>
      </c>
      <c r="B20" s="182" t="s">
        <v>48</v>
      </c>
      <c r="C20" s="149">
        <v>135608.74</v>
      </c>
      <c r="D20" s="217">
        <v>44953</v>
      </c>
      <c r="E20" s="218">
        <v>135608.74</v>
      </c>
      <c r="F20" s="183">
        <f t="shared" si="0"/>
        <v>0</v>
      </c>
    </row>
    <row r="21" spans="1:10" ht="24.75" customHeight="1" x14ac:dyDescent="0.25">
      <c r="A21" s="181">
        <v>44952</v>
      </c>
      <c r="B21" s="182" t="s">
        <v>49</v>
      </c>
      <c r="C21" s="149">
        <v>21961.200000000001</v>
      </c>
      <c r="D21" s="217">
        <v>44953</v>
      </c>
      <c r="E21" s="218">
        <v>21961.200000000001</v>
      </c>
      <c r="F21" s="183">
        <f t="shared" si="0"/>
        <v>0</v>
      </c>
    </row>
    <row r="22" spans="1:10" ht="21" customHeight="1" x14ac:dyDescent="0.25">
      <c r="A22" s="181">
        <v>44952</v>
      </c>
      <c r="B22" s="182" t="s">
        <v>50</v>
      </c>
      <c r="C22" s="149">
        <v>748</v>
      </c>
      <c r="D22" s="217">
        <v>44953</v>
      </c>
      <c r="E22" s="218">
        <v>748</v>
      </c>
      <c r="F22" s="183">
        <f t="shared" si="0"/>
        <v>0</v>
      </c>
    </row>
    <row r="23" spans="1:10" ht="21" customHeight="1" x14ac:dyDescent="0.25">
      <c r="A23" s="181">
        <v>44953</v>
      </c>
      <c r="B23" s="182" t="s">
        <v>51</v>
      </c>
      <c r="C23" s="149">
        <v>70003</v>
      </c>
      <c r="D23" s="217">
        <v>44953</v>
      </c>
      <c r="E23" s="218">
        <v>70003</v>
      </c>
      <c r="F23" s="183">
        <f t="shared" si="0"/>
        <v>0</v>
      </c>
    </row>
    <row r="24" spans="1:10" ht="21" customHeight="1" x14ac:dyDescent="0.3">
      <c r="A24" s="181">
        <v>44953</v>
      </c>
      <c r="B24" s="182" t="s">
        <v>52</v>
      </c>
      <c r="C24" s="149">
        <v>616</v>
      </c>
      <c r="D24" s="219">
        <v>44960</v>
      </c>
      <c r="E24" s="220">
        <v>616</v>
      </c>
      <c r="F24" s="183">
        <f t="shared" si="0"/>
        <v>0</v>
      </c>
      <c r="G24" s="184"/>
    </row>
    <row r="25" spans="1:10" ht="21" customHeight="1" x14ac:dyDescent="0.25">
      <c r="A25" s="181">
        <v>44954</v>
      </c>
      <c r="B25" s="182" t="s">
        <v>53</v>
      </c>
      <c r="C25" s="149">
        <v>6048.9</v>
      </c>
      <c r="D25" s="219">
        <v>44960</v>
      </c>
      <c r="E25" s="220">
        <v>6048.9</v>
      </c>
      <c r="F25" s="183">
        <f t="shared" si="0"/>
        <v>0</v>
      </c>
    </row>
    <row r="26" spans="1:10" ht="21" customHeight="1" x14ac:dyDescent="0.25">
      <c r="A26" s="181">
        <v>44954</v>
      </c>
      <c r="B26" s="182" t="s">
        <v>54</v>
      </c>
      <c r="C26" s="149">
        <v>110754.3</v>
      </c>
      <c r="D26" s="219">
        <v>44960</v>
      </c>
      <c r="E26" s="220">
        <v>110754.3</v>
      </c>
      <c r="F26" s="183">
        <f t="shared" si="0"/>
        <v>0</v>
      </c>
    </row>
    <row r="27" spans="1:10" ht="21" customHeight="1" x14ac:dyDescent="0.25">
      <c r="A27" s="181"/>
      <c r="B27" s="182"/>
      <c r="C27" s="149"/>
      <c r="D27" s="185"/>
      <c r="E27" s="149"/>
      <c r="F27" s="183">
        <f t="shared" si="0"/>
        <v>0</v>
      </c>
    </row>
    <row r="28" spans="1:10" ht="21" customHeight="1" x14ac:dyDescent="0.25">
      <c r="A28" s="181"/>
      <c r="B28" s="182"/>
      <c r="C28" s="149"/>
      <c r="D28" s="185"/>
      <c r="E28" s="149"/>
      <c r="F28" s="183">
        <f t="shared" si="0"/>
        <v>0</v>
      </c>
    </row>
    <row r="29" spans="1:10" ht="21" customHeight="1" x14ac:dyDescent="0.25">
      <c r="A29" s="181"/>
      <c r="B29" s="182"/>
      <c r="C29" s="149"/>
      <c r="D29" s="185"/>
      <c r="E29" s="149"/>
      <c r="F29" s="183">
        <f t="shared" si="0"/>
        <v>0</v>
      </c>
      <c r="J29" s="149">
        <v>0</v>
      </c>
    </row>
    <row r="30" spans="1:10" ht="21" hidden="1" customHeight="1" x14ac:dyDescent="0.25">
      <c r="A30" s="185"/>
      <c r="B30" s="186"/>
      <c r="C30" s="149"/>
      <c r="D30" s="185"/>
      <c r="E30" s="149"/>
      <c r="F30" s="183">
        <f t="shared" si="0"/>
        <v>0</v>
      </c>
      <c r="J30" s="149">
        <v>0</v>
      </c>
    </row>
    <row r="31" spans="1:10" ht="21" hidden="1" customHeight="1" x14ac:dyDescent="0.25">
      <c r="A31" s="185"/>
      <c r="B31" s="186"/>
      <c r="C31" s="149"/>
      <c r="D31" s="185"/>
      <c r="E31" s="149"/>
      <c r="F31" s="183">
        <f t="shared" si="0"/>
        <v>0</v>
      </c>
      <c r="J31" s="149">
        <v>0</v>
      </c>
    </row>
    <row r="32" spans="1:10" ht="21" hidden="1" customHeight="1" x14ac:dyDescent="0.3">
      <c r="A32" s="185"/>
      <c r="B32" s="186"/>
      <c r="C32" s="149"/>
      <c r="D32" s="185"/>
      <c r="E32" s="149"/>
      <c r="F32" s="183">
        <f t="shared" si="0"/>
        <v>0</v>
      </c>
      <c r="G32" s="184"/>
      <c r="J32" s="149">
        <v>0</v>
      </c>
    </row>
    <row r="33" spans="1:10" ht="21" hidden="1" customHeight="1" x14ac:dyDescent="0.25">
      <c r="A33" s="185"/>
      <c r="B33" s="186"/>
      <c r="C33" s="149"/>
      <c r="D33" s="185"/>
      <c r="E33" s="149"/>
      <c r="F33" s="183">
        <f t="shared" si="0"/>
        <v>0</v>
      </c>
      <c r="J33" s="149">
        <v>0</v>
      </c>
    </row>
    <row r="34" spans="1:10" ht="21" hidden="1" customHeight="1" x14ac:dyDescent="0.25">
      <c r="A34" s="185"/>
      <c r="B34" s="186"/>
      <c r="C34" s="149"/>
      <c r="D34" s="185"/>
      <c r="E34" s="149"/>
      <c r="F34" s="183">
        <f t="shared" si="0"/>
        <v>0</v>
      </c>
      <c r="J34" s="149">
        <v>0</v>
      </c>
    </row>
    <row r="35" spans="1:10" ht="18.75" hidden="1" customHeight="1" x14ac:dyDescent="0.25">
      <c r="A35" s="185"/>
      <c r="B35" s="186"/>
      <c r="C35" s="149"/>
      <c r="D35" s="185"/>
      <c r="E35" s="149"/>
      <c r="F35" s="183">
        <f t="shared" si="0"/>
        <v>0</v>
      </c>
      <c r="J35" s="149">
        <v>0</v>
      </c>
    </row>
    <row r="36" spans="1:10" ht="18.75" hidden="1" customHeight="1" x14ac:dyDescent="0.25">
      <c r="A36" s="185"/>
      <c r="B36" s="186"/>
      <c r="C36" s="149"/>
      <c r="D36" s="185"/>
      <c r="E36" s="149"/>
      <c r="F36" s="183">
        <f t="shared" si="0"/>
        <v>0</v>
      </c>
      <c r="J36" s="133">
        <v>0</v>
      </c>
    </row>
    <row r="37" spans="1:10" ht="18.75" hidden="1" customHeight="1" x14ac:dyDescent="0.25">
      <c r="A37" s="185"/>
      <c r="B37" s="186"/>
      <c r="C37" s="149"/>
      <c r="D37" s="185"/>
      <c r="E37" s="149"/>
      <c r="F37" s="183">
        <f t="shared" si="0"/>
        <v>0</v>
      </c>
      <c r="J37" s="187">
        <f>SUM(J29:J36)</f>
        <v>0</v>
      </c>
    </row>
    <row r="38" spans="1:10" ht="18.75" hidden="1" customHeight="1" x14ac:dyDescent="0.25">
      <c r="A38" s="185"/>
      <c r="B38" s="186"/>
      <c r="C38" s="149"/>
      <c r="D38" s="185"/>
      <c r="E38" s="149"/>
      <c r="F38" s="183">
        <f t="shared" si="0"/>
        <v>0</v>
      </c>
    </row>
    <row r="39" spans="1:10" ht="18.75" hidden="1" customHeight="1" x14ac:dyDescent="0.25">
      <c r="A39" s="185"/>
      <c r="B39" s="186"/>
      <c r="C39" s="149"/>
      <c r="D39" s="185"/>
      <c r="E39" s="149"/>
      <c r="F39" s="183">
        <f t="shared" si="0"/>
        <v>0</v>
      </c>
    </row>
    <row r="40" spans="1:10" ht="18.75" hidden="1" customHeight="1" x14ac:dyDescent="0.25">
      <c r="A40" s="185"/>
      <c r="B40" s="186"/>
      <c r="C40" s="149"/>
      <c r="D40" s="185"/>
      <c r="E40" s="100"/>
      <c r="F40" s="183">
        <f t="shared" si="0"/>
        <v>0</v>
      </c>
    </row>
    <row r="41" spans="1:10" ht="18.75" hidden="1" customHeight="1" x14ac:dyDescent="0.25">
      <c r="A41" s="185"/>
      <c r="B41" s="186"/>
      <c r="C41" s="149"/>
      <c r="D41" s="185"/>
      <c r="E41" s="100"/>
      <c r="F41" s="183">
        <f t="shared" si="0"/>
        <v>0</v>
      </c>
    </row>
    <row r="42" spans="1:10" ht="18.75" hidden="1" customHeight="1" x14ac:dyDescent="0.25">
      <c r="A42" s="188"/>
      <c r="B42" s="189"/>
      <c r="C42" s="100"/>
      <c r="D42" s="185"/>
      <c r="E42" s="100"/>
      <c r="F42" s="183">
        <f t="shared" si="0"/>
        <v>0</v>
      </c>
    </row>
    <row r="43" spans="1:10" hidden="1" x14ac:dyDescent="0.25">
      <c r="A43" s="190"/>
      <c r="B43" s="191"/>
      <c r="C43" s="100"/>
      <c r="D43" s="192"/>
      <c r="E43" s="100"/>
      <c r="F43" s="183">
        <f t="shared" si="0"/>
        <v>0</v>
      </c>
    </row>
    <row r="44" spans="1:10" ht="15" hidden="1" customHeight="1" x14ac:dyDescent="0.25">
      <c r="A44" s="193"/>
      <c r="B44" s="194"/>
      <c r="C44" s="100"/>
      <c r="D44" s="192"/>
      <c r="E44" s="100"/>
      <c r="F44" s="183">
        <f t="shared" si="0"/>
        <v>0</v>
      </c>
    </row>
    <row r="45" spans="1:10" hidden="1" x14ac:dyDescent="0.25">
      <c r="A45" s="193"/>
      <c r="B45" s="194"/>
      <c r="C45" s="100"/>
      <c r="D45" s="192"/>
      <c r="E45" s="100"/>
      <c r="F45" s="183">
        <f t="shared" si="0"/>
        <v>0</v>
      </c>
    </row>
    <row r="46" spans="1:10" hidden="1" x14ac:dyDescent="0.25">
      <c r="A46" s="193"/>
      <c r="B46" s="194"/>
      <c r="C46" s="100"/>
      <c r="D46" s="192"/>
      <c r="E46" s="100"/>
      <c r="F46" s="183">
        <f t="shared" si="0"/>
        <v>0</v>
      </c>
    </row>
    <row r="47" spans="1:10" hidden="1" x14ac:dyDescent="0.25">
      <c r="A47" s="193"/>
      <c r="B47" s="194"/>
      <c r="C47" s="100"/>
      <c r="D47" s="192"/>
      <c r="E47" s="100"/>
      <c r="F47" s="183">
        <f t="shared" si="0"/>
        <v>0</v>
      </c>
    </row>
    <row r="48" spans="1:10" hidden="1" x14ac:dyDescent="0.25">
      <c r="A48" s="193"/>
      <c r="B48" s="194"/>
      <c r="C48" s="100"/>
      <c r="D48" s="192"/>
      <c r="E48" s="100"/>
      <c r="F48" s="183">
        <f t="shared" si="0"/>
        <v>0</v>
      </c>
    </row>
    <row r="49" spans="1:6" hidden="1" x14ac:dyDescent="0.25">
      <c r="A49" s="193"/>
      <c r="B49" s="194"/>
      <c r="C49" s="100"/>
      <c r="D49" s="192"/>
      <c r="E49" s="100"/>
      <c r="F49" s="183">
        <f t="shared" si="0"/>
        <v>0</v>
      </c>
    </row>
    <row r="50" spans="1:6" hidden="1" x14ac:dyDescent="0.25">
      <c r="A50" s="193"/>
      <c r="B50" s="194"/>
      <c r="C50" s="100"/>
      <c r="D50" s="192"/>
      <c r="E50" s="100"/>
      <c r="F50" s="183">
        <f t="shared" si="0"/>
        <v>0</v>
      </c>
    </row>
    <row r="51" spans="1:6" hidden="1" x14ac:dyDescent="0.25">
      <c r="A51" s="193"/>
      <c r="B51" s="194"/>
      <c r="C51" s="100"/>
      <c r="D51" s="192"/>
      <c r="E51" s="100"/>
      <c r="F51" s="183">
        <f t="shared" si="0"/>
        <v>0</v>
      </c>
    </row>
    <row r="52" spans="1:6" hidden="1" x14ac:dyDescent="0.25">
      <c r="A52" s="193"/>
      <c r="B52" s="194"/>
      <c r="C52" s="100"/>
      <c r="D52" s="192"/>
      <c r="E52" s="100"/>
      <c r="F52" s="183">
        <f t="shared" si="0"/>
        <v>0</v>
      </c>
    </row>
    <row r="53" spans="1:6" hidden="1" x14ac:dyDescent="0.25">
      <c r="A53" s="193"/>
      <c r="B53" s="194"/>
      <c r="C53" s="100"/>
      <c r="D53" s="192"/>
      <c r="E53" s="100"/>
      <c r="F53" s="183">
        <f t="shared" si="0"/>
        <v>0</v>
      </c>
    </row>
    <row r="54" spans="1:6" hidden="1" x14ac:dyDescent="0.25">
      <c r="A54" s="193"/>
      <c r="B54" s="194"/>
      <c r="C54" s="100"/>
      <c r="D54" s="192"/>
      <c r="E54" s="100"/>
      <c r="F54" s="183">
        <f t="shared" si="0"/>
        <v>0</v>
      </c>
    </row>
    <row r="55" spans="1:6" hidden="1" x14ac:dyDescent="0.25">
      <c r="A55" s="193"/>
      <c r="B55" s="194"/>
      <c r="C55" s="100"/>
      <c r="D55" s="192"/>
      <c r="E55" s="100"/>
      <c r="F55" s="183">
        <f t="shared" si="0"/>
        <v>0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0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0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0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0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0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0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0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0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0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0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0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0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0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0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0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0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0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0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0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0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0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0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0</v>
      </c>
    </row>
    <row r="79" spans="1:6" ht="19.5" thickBot="1" x14ac:dyDescent="0.35">
      <c r="A79" s="201"/>
      <c r="B79" s="202"/>
      <c r="C79" s="203">
        <f>SUM(C3:C78)</f>
        <v>1524395.48</v>
      </c>
      <c r="D79" s="175"/>
      <c r="E79" s="204">
        <f>SUM(E3:E78)</f>
        <v>1524395.48</v>
      </c>
      <c r="F79" s="205">
        <f>F78</f>
        <v>0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79"/>
  <sheetViews>
    <sheetView topLeftCell="A34" workbookViewId="0">
      <selection activeCell="E40" sqref="E40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69"/>
      <c r="C1" s="271" t="s">
        <v>61</v>
      </c>
      <c r="D1" s="272"/>
      <c r="E1" s="272"/>
      <c r="F1" s="272"/>
      <c r="G1" s="272"/>
      <c r="H1" s="272"/>
      <c r="I1" s="272"/>
      <c r="J1" s="272"/>
      <c r="K1" s="272"/>
      <c r="L1" s="272"/>
      <c r="M1" s="272"/>
    </row>
    <row r="2" spans="1:21" ht="16.5" thickBot="1" x14ac:dyDescent="0.3">
      <c r="B2" s="270"/>
      <c r="C2" s="4"/>
      <c r="H2" s="6"/>
      <c r="I2" s="7"/>
      <c r="J2" s="8"/>
      <c r="L2" s="3"/>
      <c r="M2" s="7"/>
      <c r="N2" s="9"/>
    </row>
    <row r="3" spans="1:21" ht="21.75" thickBot="1" x14ac:dyDescent="0.35">
      <c r="B3" s="273" t="s">
        <v>0</v>
      </c>
      <c r="C3" s="274"/>
      <c r="D3" s="10"/>
      <c r="E3" s="11"/>
      <c r="F3" s="11"/>
      <c r="H3" s="275" t="s">
        <v>1</v>
      </c>
      <c r="I3" s="275"/>
      <c r="K3" s="13"/>
      <c r="L3" s="13"/>
      <c r="M3" s="6"/>
      <c r="R3" s="252" t="s">
        <v>2</v>
      </c>
    </row>
    <row r="4" spans="1:21" ht="20.25" thickTop="1" thickBot="1" x14ac:dyDescent="0.35">
      <c r="A4" s="14" t="s">
        <v>3</v>
      </c>
      <c r="B4" s="15"/>
      <c r="C4" s="16">
        <v>223528.9</v>
      </c>
      <c r="D4" s="17">
        <v>44955</v>
      </c>
      <c r="E4" s="254" t="s">
        <v>4</v>
      </c>
      <c r="F4" s="255"/>
      <c r="H4" s="256" t="s">
        <v>5</v>
      </c>
      <c r="I4" s="257"/>
      <c r="J4" s="18"/>
      <c r="K4" s="19"/>
      <c r="L4" s="20"/>
      <c r="M4" s="21" t="s">
        <v>6</v>
      </c>
      <c r="N4" s="22" t="s">
        <v>7</v>
      </c>
      <c r="P4" s="291" t="s">
        <v>8</v>
      </c>
      <c r="Q4" s="292"/>
      <c r="R4" s="290"/>
    </row>
    <row r="5" spans="1:21" ht="18" thickBot="1" x14ac:dyDescent="0.35">
      <c r="A5" s="23" t="s">
        <v>9</v>
      </c>
      <c r="B5" s="24">
        <v>44956</v>
      </c>
      <c r="C5" s="25">
        <v>0</v>
      </c>
      <c r="D5" s="26"/>
      <c r="E5" s="27">
        <v>44956</v>
      </c>
      <c r="F5" s="28">
        <v>45769</v>
      </c>
      <c r="G5" s="29"/>
      <c r="H5" s="30">
        <v>44956</v>
      </c>
      <c r="I5" s="31">
        <v>651</v>
      </c>
      <c r="J5" s="8"/>
      <c r="K5" s="32"/>
      <c r="L5" s="9"/>
      <c r="M5" s="33">
        <f>51930+12500</f>
        <v>64430</v>
      </c>
      <c r="N5" s="34">
        <v>373</v>
      </c>
      <c r="O5" s="35"/>
      <c r="P5" s="235">
        <f>N5+M5+L5+I5+C5</f>
        <v>65454</v>
      </c>
      <c r="Q5" s="236">
        <v>0</v>
      </c>
      <c r="R5" s="237">
        <v>19685</v>
      </c>
      <c r="S5" s="37"/>
    </row>
    <row r="6" spans="1:21" ht="18" thickBot="1" x14ac:dyDescent="0.35">
      <c r="A6" s="23"/>
      <c r="B6" s="24">
        <v>44957</v>
      </c>
      <c r="C6" s="25">
        <v>0</v>
      </c>
      <c r="D6" s="38"/>
      <c r="E6" s="27">
        <v>44957</v>
      </c>
      <c r="F6" s="28">
        <v>64735</v>
      </c>
      <c r="G6" s="29"/>
      <c r="H6" s="30">
        <v>44957</v>
      </c>
      <c r="I6" s="31">
        <v>31</v>
      </c>
      <c r="J6" s="39"/>
      <c r="K6" s="40"/>
      <c r="L6" s="41"/>
      <c r="M6" s="33">
        <f>12000+52726</f>
        <v>64726</v>
      </c>
      <c r="N6" s="34">
        <v>1226</v>
      </c>
      <c r="O6" s="35"/>
      <c r="P6" s="235">
        <f>N6+M6+L6+I6+C6</f>
        <v>65983</v>
      </c>
      <c r="Q6" s="236">
        <v>0</v>
      </c>
      <c r="R6" s="237">
        <v>1248</v>
      </c>
      <c r="S6" s="37"/>
      <c r="T6" s="9"/>
    </row>
    <row r="7" spans="1:21" ht="18" thickBot="1" x14ac:dyDescent="0.35">
      <c r="A7" s="23"/>
      <c r="B7" s="24">
        <v>44958</v>
      </c>
      <c r="C7" s="25">
        <v>512.5</v>
      </c>
      <c r="D7" s="42" t="s">
        <v>100</v>
      </c>
      <c r="E7" s="27">
        <v>44958</v>
      </c>
      <c r="F7" s="28">
        <v>50236</v>
      </c>
      <c r="G7" s="29"/>
      <c r="H7" s="30">
        <v>44958</v>
      </c>
      <c r="I7" s="31">
        <v>1452</v>
      </c>
      <c r="J7" s="39"/>
      <c r="K7" s="43"/>
      <c r="L7" s="41"/>
      <c r="M7" s="33">
        <f>46644.5</f>
        <v>46644.5</v>
      </c>
      <c r="N7" s="34">
        <v>1627</v>
      </c>
      <c r="O7" s="35"/>
      <c r="P7" s="235">
        <f>N7+M7+L7+I7+C7</f>
        <v>50236</v>
      </c>
      <c r="Q7" s="236">
        <f t="shared" ref="Q7:Q44" si="0">P7-F7</f>
        <v>0</v>
      </c>
      <c r="R7" s="238">
        <v>0</v>
      </c>
      <c r="S7" s="37"/>
    </row>
    <row r="8" spans="1:21" ht="18" thickBot="1" x14ac:dyDescent="0.35">
      <c r="A8" s="23"/>
      <c r="B8" s="24">
        <v>44959</v>
      </c>
      <c r="C8" s="25">
        <v>0</v>
      </c>
      <c r="D8" s="42"/>
      <c r="E8" s="27">
        <v>44959</v>
      </c>
      <c r="F8" s="28">
        <v>79623</v>
      </c>
      <c r="G8" s="29"/>
      <c r="H8" s="30">
        <v>44959</v>
      </c>
      <c r="I8" s="31">
        <v>118</v>
      </c>
      <c r="J8" s="44">
        <v>44959</v>
      </c>
      <c r="K8" s="45" t="s">
        <v>101</v>
      </c>
      <c r="L8" s="41">
        <v>3200</v>
      </c>
      <c r="M8" s="33">
        <f>15000+57433</f>
        <v>72433</v>
      </c>
      <c r="N8" s="34">
        <v>3872</v>
      </c>
      <c r="O8" s="35"/>
      <c r="P8" s="235">
        <f t="shared" ref="P8:P45" si="1">N8+M8+L8+I8+C8</f>
        <v>79623</v>
      </c>
      <c r="Q8" s="236">
        <f t="shared" si="0"/>
        <v>0</v>
      </c>
      <c r="R8" s="238">
        <v>0</v>
      </c>
      <c r="S8" s="37"/>
    </row>
    <row r="9" spans="1:21" ht="18" thickBot="1" x14ac:dyDescent="0.35">
      <c r="A9" s="23"/>
      <c r="B9" s="24">
        <v>44960</v>
      </c>
      <c r="C9" s="25">
        <v>15644</v>
      </c>
      <c r="D9" s="46" t="s">
        <v>69</v>
      </c>
      <c r="E9" s="27">
        <v>44960</v>
      </c>
      <c r="F9" s="28">
        <v>85123</v>
      </c>
      <c r="G9" s="29"/>
      <c r="H9" s="30">
        <v>44960</v>
      </c>
      <c r="I9" s="31">
        <v>549</v>
      </c>
      <c r="J9" s="39"/>
      <c r="K9" s="47"/>
      <c r="L9" s="41"/>
      <c r="M9" s="33">
        <f>16000+43637</f>
        <v>59637</v>
      </c>
      <c r="N9" s="34">
        <v>9293</v>
      </c>
      <c r="O9" s="35"/>
      <c r="P9" s="235">
        <f t="shared" si="1"/>
        <v>85123</v>
      </c>
      <c r="Q9" s="236">
        <f t="shared" si="0"/>
        <v>0</v>
      </c>
      <c r="R9" s="238">
        <v>0</v>
      </c>
      <c r="S9" s="37"/>
    </row>
    <row r="10" spans="1:21" ht="18" thickBot="1" x14ac:dyDescent="0.35">
      <c r="A10" s="23"/>
      <c r="B10" s="24">
        <v>44961</v>
      </c>
      <c r="C10" s="25">
        <v>0</v>
      </c>
      <c r="D10" s="38"/>
      <c r="E10" s="27">
        <v>44961</v>
      </c>
      <c r="F10" s="28">
        <v>60461</v>
      </c>
      <c r="G10" s="29"/>
      <c r="H10" s="30">
        <v>44961</v>
      </c>
      <c r="I10" s="31">
        <v>543</v>
      </c>
      <c r="J10" s="39">
        <v>44961</v>
      </c>
      <c r="K10" s="48" t="s">
        <v>102</v>
      </c>
      <c r="L10" s="49">
        <v>9000</v>
      </c>
      <c r="M10" s="33">
        <v>43000</v>
      </c>
      <c r="N10" s="34">
        <v>7921</v>
      </c>
      <c r="O10" s="35"/>
      <c r="P10" s="235">
        <f>N10+M10+L10+I10+C10</f>
        <v>60464</v>
      </c>
      <c r="Q10" s="236">
        <f t="shared" si="0"/>
        <v>3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44962</v>
      </c>
      <c r="C11" s="25">
        <v>4120</v>
      </c>
      <c r="D11" s="38" t="s">
        <v>103</v>
      </c>
      <c r="E11" s="27">
        <v>44962</v>
      </c>
      <c r="F11" s="28">
        <v>76230</v>
      </c>
      <c r="G11" s="29"/>
      <c r="H11" s="30">
        <v>44962</v>
      </c>
      <c r="I11" s="31">
        <v>500</v>
      </c>
      <c r="J11" s="44"/>
      <c r="K11" s="50"/>
      <c r="L11" s="41"/>
      <c r="M11" s="33">
        <f>71600+12141</f>
        <v>83741</v>
      </c>
      <c r="N11" s="34">
        <v>4669</v>
      </c>
      <c r="O11" s="35"/>
      <c r="P11" s="235">
        <f>N11+M11+L11+I11+C11</f>
        <v>93030</v>
      </c>
      <c r="Q11" s="236">
        <v>0</v>
      </c>
      <c r="R11" s="237">
        <v>16800</v>
      </c>
      <c r="S11" s="37"/>
    </row>
    <row r="12" spans="1:21" ht="18" thickBot="1" x14ac:dyDescent="0.35">
      <c r="A12" s="23"/>
      <c r="B12" s="24">
        <v>44963</v>
      </c>
      <c r="C12" s="25">
        <v>0</v>
      </c>
      <c r="D12" s="38"/>
      <c r="E12" s="27">
        <v>44963</v>
      </c>
      <c r="F12" s="28">
        <v>111609</v>
      </c>
      <c r="G12" s="29"/>
      <c r="H12" s="30">
        <v>44963</v>
      </c>
      <c r="I12" s="31">
        <v>1110.5</v>
      </c>
      <c r="J12" s="39"/>
      <c r="K12" s="51"/>
      <c r="L12" s="41"/>
      <c r="M12" s="33">
        <f>7000+102247.5</f>
        <v>109247.5</v>
      </c>
      <c r="N12" s="34">
        <v>1251</v>
      </c>
      <c r="O12" s="35"/>
      <c r="P12" s="235">
        <f t="shared" si="1"/>
        <v>111609</v>
      </c>
      <c r="Q12" s="236">
        <f t="shared" si="0"/>
        <v>0</v>
      </c>
      <c r="R12" s="238">
        <v>0</v>
      </c>
      <c r="S12" s="37"/>
    </row>
    <row r="13" spans="1:21" ht="18" thickBot="1" x14ac:dyDescent="0.35">
      <c r="A13" s="23"/>
      <c r="B13" s="24">
        <v>44964</v>
      </c>
      <c r="C13" s="25">
        <v>0</v>
      </c>
      <c r="D13" s="42"/>
      <c r="E13" s="27">
        <v>44964</v>
      </c>
      <c r="F13" s="28">
        <v>58474</v>
      </c>
      <c r="G13" s="29"/>
      <c r="H13" s="30">
        <v>44964</v>
      </c>
      <c r="I13" s="31">
        <v>600.5</v>
      </c>
      <c r="J13" s="39"/>
      <c r="K13" s="40"/>
      <c r="L13" s="41"/>
      <c r="M13" s="33">
        <f>31300+26470</f>
        <v>57770</v>
      </c>
      <c r="N13" s="34">
        <v>98</v>
      </c>
      <c r="O13" s="35"/>
      <c r="P13" s="235">
        <f t="shared" si="1"/>
        <v>58468.5</v>
      </c>
      <c r="Q13" s="239">
        <f t="shared" si="0"/>
        <v>-5.5</v>
      </c>
      <c r="R13" s="238">
        <v>0</v>
      </c>
      <c r="S13" s="37"/>
    </row>
    <row r="14" spans="1:21" ht="18" thickBot="1" x14ac:dyDescent="0.35">
      <c r="A14" s="23"/>
      <c r="B14" s="24">
        <v>44965</v>
      </c>
      <c r="C14" s="25">
        <v>0</v>
      </c>
      <c r="D14" s="46"/>
      <c r="E14" s="27">
        <v>44965</v>
      </c>
      <c r="F14" s="28">
        <v>68469</v>
      </c>
      <c r="G14" s="29"/>
      <c r="H14" s="30">
        <v>44965</v>
      </c>
      <c r="I14" s="31">
        <v>613.5</v>
      </c>
      <c r="J14" s="39"/>
      <c r="K14" s="45"/>
      <c r="L14" s="41"/>
      <c r="M14" s="33">
        <v>66691</v>
      </c>
      <c r="N14" s="34">
        <v>1164</v>
      </c>
      <c r="O14" s="35"/>
      <c r="P14" s="235">
        <f t="shared" si="1"/>
        <v>68468.5</v>
      </c>
      <c r="Q14" s="239">
        <f t="shared" si="0"/>
        <v>-0.5</v>
      </c>
      <c r="R14" s="238">
        <v>0</v>
      </c>
      <c r="S14" s="37"/>
    </row>
    <row r="15" spans="1:21" ht="18" thickBot="1" x14ac:dyDescent="0.35">
      <c r="A15" s="23"/>
      <c r="B15" s="24">
        <v>44966</v>
      </c>
      <c r="C15" s="25">
        <v>0</v>
      </c>
      <c r="D15" s="46"/>
      <c r="E15" s="27">
        <v>44966</v>
      </c>
      <c r="F15" s="28">
        <v>109720</v>
      </c>
      <c r="G15" s="29"/>
      <c r="H15" s="30">
        <v>44966</v>
      </c>
      <c r="I15" s="31">
        <v>164</v>
      </c>
      <c r="J15" s="39"/>
      <c r="K15" s="45"/>
      <c r="L15" s="41"/>
      <c r="M15" s="33">
        <f>51000+48419</f>
        <v>99419</v>
      </c>
      <c r="N15" s="34">
        <v>10137</v>
      </c>
      <c r="O15" s="35"/>
      <c r="P15" s="235">
        <f t="shared" si="1"/>
        <v>109720</v>
      </c>
      <c r="Q15" s="236">
        <f t="shared" si="0"/>
        <v>0</v>
      </c>
      <c r="R15" s="238">
        <v>0</v>
      </c>
      <c r="S15" s="37"/>
    </row>
    <row r="16" spans="1:21" ht="18" thickBot="1" x14ac:dyDescent="0.35">
      <c r="A16" s="23"/>
      <c r="B16" s="24">
        <v>44967</v>
      </c>
      <c r="C16" s="25">
        <v>20370</v>
      </c>
      <c r="D16" s="52" t="s">
        <v>69</v>
      </c>
      <c r="E16" s="27">
        <v>44967</v>
      </c>
      <c r="F16" s="28">
        <v>68417</v>
      </c>
      <c r="G16" s="29"/>
      <c r="H16" s="30">
        <v>44967</v>
      </c>
      <c r="I16" s="31">
        <v>563</v>
      </c>
      <c r="J16" s="39"/>
      <c r="K16" s="45"/>
      <c r="L16" s="9"/>
      <c r="M16" s="33">
        <v>47342</v>
      </c>
      <c r="N16" s="34">
        <v>142</v>
      </c>
      <c r="O16" s="35"/>
      <c r="P16" s="235">
        <f t="shared" si="1"/>
        <v>68417</v>
      </c>
      <c r="Q16" s="236">
        <f t="shared" si="0"/>
        <v>0</v>
      </c>
      <c r="R16" s="238">
        <v>0</v>
      </c>
      <c r="S16" s="37"/>
    </row>
    <row r="17" spans="1:20" ht="18" thickBot="1" x14ac:dyDescent="0.35">
      <c r="A17" s="23"/>
      <c r="B17" s="24">
        <v>44968</v>
      </c>
      <c r="C17" s="25">
        <v>0</v>
      </c>
      <c r="D17" s="46"/>
      <c r="E17" s="27">
        <v>44968</v>
      </c>
      <c r="F17" s="28">
        <v>86248</v>
      </c>
      <c r="G17" s="29"/>
      <c r="H17" s="30">
        <v>44968</v>
      </c>
      <c r="I17" s="31">
        <v>671</v>
      </c>
      <c r="J17" s="39">
        <v>44968</v>
      </c>
      <c r="K17" s="53" t="s">
        <v>104</v>
      </c>
      <c r="L17" s="49">
        <v>9657</v>
      </c>
      <c r="M17" s="33">
        <f>33400+37466</f>
        <v>70866</v>
      </c>
      <c r="N17" s="34">
        <v>5124</v>
      </c>
      <c r="O17" s="35"/>
      <c r="P17" s="235">
        <f t="shared" si="1"/>
        <v>86318</v>
      </c>
      <c r="Q17" s="236">
        <f t="shared" si="0"/>
        <v>70</v>
      </c>
      <c r="R17" s="238">
        <v>0</v>
      </c>
      <c r="S17" s="37"/>
    </row>
    <row r="18" spans="1:20" ht="18" thickBot="1" x14ac:dyDescent="0.35">
      <c r="A18" s="23"/>
      <c r="B18" s="24">
        <v>44969</v>
      </c>
      <c r="C18" s="25">
        <v>4604.5</v>
      </c>
      <c r="D18" s="38" t="s">
        <v>103</v>
      </c>
      <c r="E18" s="27">
        <v>44969</v>
      </c>
      <c r="F18" s="28">
        <v>112257</v>
      </c>
      <c r="G18" s="29"/>
      <c r="H18" s="30">
        <v>44969</v>
      </c>
      <c r="I18" s="31">
        <v>532</v>
      </c>
      <c r="J18" s="39"/>
      <c r="K18" s="54"/>
      <c r="L18" s="41"/>
      <c r="M18" s="33">
        <f>90700+14512</f>
        <v>105212</v>
      </c>
      <c r="N18" s="34">
        <v>1912</v>
      </c>
      <c r="O18" s="35"/>
      <c r="P18" s="235">
        <f t="shared" si="1"/>
        <v>112260.5</v>
      </c>
      <c r="Q18" s="236">
        <f t="shared" si="0"/>
        <v>3.5</v>
      </c>
      <c r="R18" s="238">
        <v>0</v>
      </c>
      <c r="S18" s="37"/>
    </row>
    <row r="19" spans="1:20" ht="18" thickBot="1" x14ac:dyDescent="0.35">
      <c r="A19" s="23"/>
      <c r="B19" s="24">
        <v>44970</v>
      </c>
      <c r="C19" s="25">
        <v>0</v>
      </c>
      <c r="D19" s="38"/>
      <c r="E19" s="27">
        <v>44970</v>
      </c>
      <c r="F19" s="28">
        <v>136132</v>
      </c>
      <c r="G19" s="29"/>
      <c r="H19" s="30">
        <v>44970</v>
      </c>
      <c r="I19" s="31">
        <v>595</v>
      </c>
      <c r="J19" s="39"/>
      <c r="K19" s="55"/>
      <c r="L19" s="56"/>
      <c r="M19" s="33">
        <f>11000+113000+9809</f>
        <v>133809</v>
      </c>
      <c r="N19" s="34">
        <v>1728</v>
      </c>
      <c r="O19" s="35"/>
      <c r="P19" s="235">
        <f t="shared" si="1"/>
        <v>136132</v>
      </c>
      <c r="Q19" s="236">
        <f t="shared" si="0"/>
        <v>0</v>
      </c>
      <c r="R19" s="238">
        <v>0</v>
      </c>
      <c r="S19" s="37"/>
    </row>
    <row r="20" spans="1:20" ht="18" thickBot="1" x14ac:dyDescent="0.35">
      <c r="A20" s="23"/>
      <c r="B20" s="24">
        <v>44971</v>
      </c>
      <c r="C20" s="25">
        <v>0</v>
      </c>
      <c r="D20" s="38"/>
      <c r="E20" s="27">
        <v>44971</v>
      </c>
      <c r="F20" s="28">
        <v>60594</v>
      </c>
      <c r="G20" s="29"/>
      <c r="H20" s="30">
        <v>44971</v>
      </c>
      <c r="I20" s="31">
        <v>616</v>
      </c>
      <c r="J20" s="39"/>
      <c r="K20" s="57"/>
      <c r="L20" s="49"/>
      <c r="M20" s="33">
        <f>22500+37478</f>
        <v>59978</v>
      </c>
      <c r="N20" s="34">
        <v>0</v>
      </c>
      <c r="O20" s="35"/>
      <c r="P20" s="235">
        <f t="shared" si="1"/>
        <v>60594</v>
      </c>
      <c r="Q20" s="236">
        <f t="shared" si="0"/>
        <v>0</v>
      </c>
      <c r="R20" s="238">
        <v>0</v>
      </c>
      <c r="S20" s="37"/>
    </row>
    <row r="21" spans="1:20" ht="18" thickBot="1" x14ac:dyDescent="0.35">
      <c r="A21" s="23"/>
      <c r="B21" s="24">
        <v>44972</v>
      </c>
      <c r="C21" s="25">
        <v>0</v>
      </c>
      <c r="D21" s="38"/>
      <c r="E21" s="27">
        <v>44972</v>
      </c>
      <c r="F21" s="28">
        <v>46506</v>
      </c>
      <c r="G21" s="29"/>
      <c r="H21" s="30">
        <v>44972</v>
      </c>
      <c r="I21" s="31">
        <v>711</v>
      </c>
      <c r="J21" s="39"/>
      <c r="K21" s="58"/>
      <c r="L21" s="49"/>
      <c r="M21" s="33">
        <f>18000+25602</f>
        <v>43602</v>
      </c>
      <c r="N21" s="34">
        <v>2193</v>
      </c>
      <c r="O21" s="35"/>
      <c r="P21" s="235">
        <f t="shared" si="1"/>
        <v>46506</v>
      </c>
      <c r="Q21" s="236">
        <f t="shared" si="0"/>
        <v>0</v>
      </c>
      <c r="R21" s="238">
        <v>0</v>
      </c>
      <c r="S21" s="37"/>
    </row>
    <row r="22" spans="1:20" ht="18" thickBot="1" x14ac:dyDescent="0.35">
      <c r="A22" s="23"/>
      <c r="B22" s="24">
        <v>44973</v>
      </c>
      <c r="C22" s="25">
        <v>37251</v>
      </c>
      <c r="D22" s="38" t="s">
        <v>69</v>
      </c>
      <c r="E22" s="27">
        <v>44973</v>
      </c>
      <c r="F22" s="28">
        <v>64392</v>
      </c>
      <c r="G22" s="29"/>
      <c r="H22" s="30">
        <v>44973</v>
      </c>
      <c r="I22" s="31">
        <v>569</v>
      </c>
      <c r="J22" s="39"/>
      <c r="K22" s="45"/>
      <c r="L22" s="59"/>
      <c r="M22" s="33">
        <f>15692+9200</f>
        <v>24892</v>
      </c>
      <c r="N22" s="34">
        <v>1680</v>
      </c>
      <c r="O22" s="35"/>
      <c r="P22" s="235">
        <f t="shared" si="1"/>
        <v>64392</v>
      </c>
      <c r="Q22" s="236">
        <f t="shared" si="0"/>
        <v>0</v>
      </c>
      <c r="R22" s="238">
        <v>0</v>
      </c>
      <c r="S22" s="37"/>
    </row>
    <row r="23" spans="1:20" ht="18" thickBot="1" x14ac:dyDescent="0.35">
      <c r="A23" s="23"/>
      <c r="B23" s="24">
        <v>44974</v>
      </c>
      <c r="C23" s="25">
        <v>0</v>
      </c>
      <c r="D23" s="46"/>
      <c r="E23" s="27">
        <v>44974</v>
      </c>
      <c r="F23" s="28">
        <v>85305</v>
      </c>
      <c r="G23" s="29"/>
      <c r="H23" s="30">
        <v>44974</v>
      </c>
      <c r="I23" s="31">
        <v>570</v>
      </c>
      <c r="J23" s="60"/>
      <c r="K23" s="61"/>
      <c r="L23" s="49"/>
      <c r="M23" s="33">
        <f>36500+45330</f>
        <v>81830</v>
      </c>
      <c r="N23" s="34">
        <v>2905</v>
      </c>
      <c r="O23" s="35"/>
      <c r="P23" s="235">
        <f t="shared" si="1"/>
        <v>85305</v>
      </c>
      <c r="Q23" s="236">
        <f t="shared" si="0"/>
        <v>0</v>
      </c>
      <c r="R23" s="238">
        <v>0</v>
      </c>
      <c r="S23" s="37"/>
    </row>
    <row r="24" spans="1:20" ht="18" thickBot="1" x14ac:dyDescent="0.35">
      <c r="A24" s="23"/>
      <c r="B24" s="24">
        <v>44975</v>
      </c>
      <c r="C24" s="25">
        <v>568</v>
      </c>
      <c r="D24" s="42" t="s">
        <v>105</v>
      </c>
      <c r="E24" s="27">
        <v>44975</v>
      </c>
      <c r="F24" s="28">
        <v>68722</v>
      </c>
      <c r="G24" s="29"/>
      <c r="H24" s="30">
        <v>44975</v>
      </c>
      <c r="I24" s="31">
        <v>539</v>
      </c>
      <c r="J24" s="62">
        <v>44975</v>
      </c>
      <c r="K24" s="63" t="s">
        <v>106</v>
      </c>
      <c r="L24" s="64">
        <v>8316.67</v>
      </c>
      <c r="M24" s="33">
        <f>38114+15000</f>
        <v>53114</v>
      </c>
      <c r="N24" s="34">
        <v>6184</v>
      </c>
      <c r="O24" s="35"/>
      <c r="P24" s="235">
        <f t="shared" si="1"/>
        <v>68721.67</v>
      </c>
      <c r="Q24" s="236">
        <f t="shared" si="0"/>
        <v>-0.33000000000174623</v>
      </c>
      <c r="R24" s="238">
        <v>0</v>
      </c>
      <c r="S24" s="37"/>
    </row>
    <row r="25" spans="1:20" ht="18" thickBot="1" x14ac:dyDescent="0.35">
      <c r="A25" s="23"/>
      <c r="B25" s="24">
        <v>44976</v>
      </c>
      <c r="C25" s="25">
        <v>0</v>
      </c>
      <c r="D25" s="38"/>
      <c r="E25" s="27">
        <v>44976</v>
      </c>
      <c r="F25" s="28">
        <v>104132</v>
      </c>
      <c r="G25" s="29"/>
      <c r="H25" s="30">
        <v>44976</v>
      </c>
      <c r="I25" s="31">
        <v>500</v>
      </c>
      <c r="J25" s="65"/>
      <c r="K25" s="66"/>
      <c r="L25" s="67"/>
      <c r="M25" s="33">
        <f>88000+13246</f>
        <v>101246</v>
      </c>
      <c r="N25" s="34">
        <v>2386</v>
      </c>
      <c r="O25" s="35"/>
      <c r="P25" s="235">
        <f t="shared" si="1"/>
        <v>104132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44977</v>
      </c>
      <c r="C26" s="25">
        <v>4120</v>
      </c>
      <c r="D26" s="38" t="s">
        <v>103</v>
      </c>
      <c r="E26" s="27">
        <v>44977</v>
      </c>
      <c r="F26" s="28">
        <v>143460</v>
      </c>
      <c r="G26" s="29"/>
      <c r="H26" s="30">
        <v>44977</v>
      </c>
      <c r="I26" s="31">
        <v>633</v>
      </c>
      <c r="J26" s="39"/>
      <c r="K26" s="63"/>
      <c r="L26" s="49"/>
      <c r="M26" s="33">
        <f>5000+133707</f>
        <v>138707</v>
      </c>
      <c r="N26" s="34">
        <v>0</v>
      </c>
      <c r="O26" s="35"/>
      <c r="P26" s="235">
        <f t="shared" si="1"/>
        <v>143460</v>
      </c>
      <c r="Q26" s="236">
        <f t="shared" si="0"/>
        <v>0</v>
      </c>
      <c r="R26" s="238">
        <v>0</v>
      </c>
      <c r="S26" s="37"/>
    </row>
    <row r="27" spans="1:20" ht="18" thickBot="1" x14ac:dyDescent="0.35">
      <c r="A27" s="23"/>
      <c r="B27" s="24">
        <v>44978</v>
      </c>
      <c r="C27" s="25">
        <v>0</v>
      </c>
      <c r="D27" s="42"/>
      <c r="E27" s="27">
        <v>44978</v>
      </c>
      <c r="F27" s="28">
        <v>58359</v>
      </c>
      <c r="G27" s="29"/>
      <c r="H27" s="30">
        <v>44978</v>
      </c>
      <c r="I27" s="31">
        <v>565</v>
      </c>
      <c r="J27" s="68"/>
      <c r="K27" s="69"/>
      <c r="L27" s="67"/>
      <c r="M27" s="33">
        <f>15000+42694</f>
        <v>57694</v>
      </c>
      <c r="N27" s="34">
        <v>0</v>
      </c>
      <c r="O27" s="35"/>
      <c r="P27" s="235">
        <f t="shared" si="1"/>
        <v>58259</v>
      </c>
      <c r="Q27" s="243">
        <f t="shared" si="0"/>
        <v>-100</v>
      </c>
      <c r="R27" s="238">
        <v>0</v>
      </c>
      <c r="S27" s="37"/>
    </row>
    <row r="28" spans="1:20" ht="18" thickBot="1" x14ac:dyDescent="0.35">
      <c r="A28" s="23"/>
      <c r="B28" s="24">
        <v>44979</v>
      </c>
      <c r="C28" s="25">
        <v>0</v>
      </c>
      <c r="D28" s="42"/>
      <c r="E28" s="27">
        <v>44979</v>
      </c>
      <c r="F28" s="28">
        <v>42871</v>
      </c>
      <c r="G28" s="29"/>
      <c r="H28" s="30">
        <v>44979</v>
      </c>
      <c r="I28" s="31">
        <v>563</v>
      </c>
      <c r="J28" s="70"/>
      <c r="K28" s="71"/>
      <c r="L28" s="67"/>
      <c r="M28" s="33">
        <v>40533</v>
      </c>
      <c r="N28" s="34">
        <v>1875</v>
      </c>
      <c r="O28" s="35"/>
      <c r="P28" s="235">
        <f t="shared" si="1"/>
        <v>42971</v>
      </c>
      <c r="Q28" s="243">
        <f t="shared" si="0"/>
        <v>100</v>
      </c>
      <c r="R28" s="238">
        <v>0</v>
      </c>
      <c r="S28" s="37"/>
    </row>
    <row r="29" spans="1:20" ht="18" thickBot="1" x14ac:dyDescent="0.35">
      <c r="A29" s="23"/>
      <c r="B29" s="24">
        <v>44980</v>
      </c>
      <c r="C29" s="25">
        <v>0</v>
      </c>
      <c r="D29" s="72"/>
      <c r="E29" s="27">
        <v>44980</v>
      </c>
      <c r="F29" s="28">
        <v>68524</v>
      </c>
      <c r="G29" s="29"/>
      <c r="H29" s="30">
        <v>44980</v>
      </c>
      <c r="I29" s="31">
        <v>72</v>
      </c>
      <c r="J29" s="68"/>
      <c r="K29" s="73"/>
      <c r="L29" s="67"/>
      <c r="M29" s="33">
        <f>54452+14000</f>
        <v>68452</v>
      </c>
      <c r="N29" s="34">
        <v>0</v>
      </c>
      <c r="O29" s="35"/>
      <c r="P29" s="235">
        <f t="shared" si="1"/>
        <v>68524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44981</v>
      </c>
      <c r="C30" s="25">
        <v>27141</v>
      </c>
      <c r="D30" s="72" t="s">
        <v>69</v>
      </c>
      <c r="E30" s="27">
        <v>44981</v>
      </c>
      <c r="F30" s="28">
        <v>79698</v>
      </c>
      <c r="G30" s="29"/>
      <c r="H30" s="30">
        <v>44981</v>
      </c>
      <c r="I30" s="31">
        <v>124</v>
      </c>
      <c r="J30" s="74"/>
      <c r="K30" s="75"/>
      <c r="L30" s="76"/>
      <c r="M30" s="33">
        <f>11476+35000</f>
        <v>46476</v>
      </c>
      <c r="N30" s="34">
        <v>5957</v>
      </c>
      <c r="O30" s="35"/>
      <c r="P30" s="235">
        <f t="shared" si="1"/>
        <v>79698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44982</v>
      </c>
      <c r="C31" s="25">
        <v>0</v>
      </c>
      <c r="D31" s="77"/>
      <c r="E31" s="27">
        <v>44982</v>
      </c>
      <c r="F31" s="28">
        <v>99687</v>
      </c>
      <c r="G31" s="29"/>
      <c r="H31" s="30">
        <v>44982</v>
      </c>
      <c r="I31" s="31">
        <v>150</v>
      </c>
      <c r="J31" s="74">
        <v>44982</v>
      </c>
      <c r="K31" s="78" t="s">
        <v>107</v>
      </c>
      <c r="L31" s="79">
        <v>9657</v>
      </c>
      <c r="M31" s="33">
        <f>42916+26000</f>
        <v>68916</v>
      </c>
      <c r="N31" s="34">
        <v>20964</v>
      </c>
      <c r="O31" s="35"/>
      <c r="P31" s="235">
        <f t="shared" si="1"/>
        <v>99687</v>
      </c>
      <c r="Q31" s="236">
        <f t="shared" si="0"/>
        <v>0</v>
      </c>
      <c r="R31" s="238">
        <v>0</v>
      </c>
      <c r="S31" s="37"/>
    </row>
    <row r="32" spans="1:20" ht="18" thickBot="1" x14ac:dyDescent="0.35">
      <c r="A32" s="23"/>
      <c r="B32" s="24">
        <v>44983</v>
      </c>
      <c r="C32" s="25">
        <v>0</v>
      </c>
      <c r="D32" s="82"/>
      <c r="E32" s="27">
        <v>44983</v>
      </c>
      <c r="F32" s="28">
        <v>110573</v>
      </c>
      <c r="G32" s="29"/>
      <c r="H32" s="30">
        <v>44983</v>
      </c>
      <c r="I32" s="31">
        <v>0</v>
      </c>
      <c r="J32" s="74"/>
      <c r="K32" s="75"/>
      <c r="L32" s="76"/>
      <c r="M32" s="33">
        <f>8305+101000</f>
        <v>109305</v>
      </c>
      <c r="N32" s="34">
        <v>1268</v>
      </c>
      <c r="O32" s="35"/>
      <c r="P32" s="235">
        <f t="shared" si="1"/>
        <v>110573</v>
      </c>
      <c r="Q32" s="236">
        <f t="shared" si="0"/>
        <v>0</v>
      </c>
      <c r="R32" s="238">
        <v>0</v>
      </c>
      <c r="S32" s="37"/>
    </row>
    <row r="33" spans="1:19" ht="18" thickBot="1" x14ac:dyDescent="0.35">
      <c r="A33" s="23"/>
      <c r="B33" s="24">
        <v>44984</v>
      </c>
      <c r="C33" s="25">
        <v>0</v>
      </c>
      <c r="D33" s="80"/>
      <c r="E33" s="27">
        <v>44984</v>
      </c>
      <c r="F33" s="28">
        <v>144123</v>
      </c>
      <c r="G33" s="29"/>
      <c r="H33" s="30">
        <v>44984</v>
      </c>
      <c r="I33" s="31">
        <v>28</v>
      </c>
      <c r="J33" s="74"/>
      <c r="K33" s="78"/>
      <c r="L33" s="81"/>
      <c r="M33" s="33">
        <f>11500+75000+57539</f>
        <v>144039</v>
      </c>
      <c r="N33" s="34">
        <v>56</v>
      </c>
      <c r="O33" s="35"/>
      <c r="P33" s="235">
        <f t="shared" si="1"/>
        <v>144123</v>
      </c>
      <c r="Q33" s="236">
        <f t="shared" si="0"/>
        <v>0</v>
      </c>
      <c r="R33" s="238">
        <v>0</v>
      </c>
      <c r="S33" s="37"/>
    </row>
    <row r="34" spans="1:19" ht="18" thickBot="1" x14ac:dyDescent="0.35">
      <c r="A34" s="23"/>
      <c r="B34" s="24">
        <v>44985</v>
      </c>
      <c r="C34" s="25">
        <v>0</v>
      </c>
      <c r="D34" s="82"/>
      <c r="E34" s="27">
        <v>44985</v>
      </c>
      <c r="F34" s="28">
        <v>76623</v>
      </c>
      <c r="G34" s="29"/>
      <c r="H34" s="30">
        <v>44985</v>
      </c>
      <c r="I34" s="31">
        <v>599</v>
      </c>
      <c r="J34" s="74"/>
      <c r="K34" s="83"/>
      <c r="L34" s="84"/>
      <c r="M34" s="33">
        <f>17771+30000+27000</f>
        <v>74771</v>
      </c>
      <c r="N34" s="34">
        <v>1253</v>
      </c>
      <c r="O34" s="35"/>
      <c r="P34" s="235">
        <f t="shared" si="1"/>
        <v>76623</v>
      </c>
      <c r="Q34" s="236">
        <f t="shared" si="0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235">
        <f t="shared" si="1"/>
        <v>0</v>
      </c>
      <c r="Q35" s="236">
        <f t="shared" si="0"/>
        <v>0</v>
      </c>
      <c r="R35" s="238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>
        <v>0</v>
      </c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>
        <v>0</v>
      </c>
      <c r="G37" s="29"/>
      <c r="H37" s="30"/>
      <c r="I37" s="31"/>
      <c r="J37" s="74">
        <v>44974</v>
      </c>
      <c r="K37" s="88" t="s">
        <v>113</v>
      </c>
      <c r="L37" s="81">
        <v>1392</v>
      </c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>
        <v>44980</v>
      </c>
      <c r="K38" s="78" t="s">
        <v>109</v>
      </c>
      <c r="L38" s="81">
        <v>979.68</v>
      </c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>
        <v>44979</v>
      </c>
      <c r="K39" s="89" t="s">
        <v>111</v>
      </c>
      <c r="L39" s="76">
        <v>549</v>
      </c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9.5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>
        <v>44977</v>
      </c>
      <c r="K40" s="234" t="s">
        <v>110</v>
      </c>
      <c r="L40" s="76">
        <v>27676</v>
      </c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 t="s">
        <v>114</v>
      </c>
      <c r="K41" s="89" t="s">
        <v>112</v>
      </c>
      <c r="L41" s="76">
        <v>5407.19</v>
      </c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235">
        <v>0</v>
      </c>
      <c r="Q42" s="236">
        <f t="shared" si="0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74"/>
      <c r="K43" s="89"/>
      <c r="L43" s="76"/>
      <c r="M43" s="33">
        <v>0</v>
      </c>
      <c r="N43" s="34">
        <v>0</v>
      </c>
      <c r="O43" s="35"/>
      <c r="P43" s="240">
        <f t="shared" si="1"/>
        <v>0</v>
      </c>
      <c r="Q43" s="241">
        <f t="shared" si="0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74"/>
      <c r="K44" s="89"/>
      <c r="L44" s="76"/>
      <c r="M44" s="92">
        <v>0</v>
      </c>
      <c r="N44" s="93"/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74"/>
      <c r="K45" s="97"/>
      <c r="L45" s="76"/>
      <c r="M45" s="276">
        <f>SUM(M5:M39)</f>
        <v>2238523</v>
      </c>
      <c r="N45" s="261">
        <f>SUM(N5:N39)</f>
        <v>97258</v>
      </c>
      <c r="P45" s="98">
        <f t="shared" si="1"/>
        <v>2335781</v>
      </c>
      <c r="Q45" s="99">
        <f>SUM(Q5:Q39)</f>
        <v>70.169999999998254</v>
      </c>
      <c r="R45" s="99">
        <f>SUM(R5:R39)</f>
        <v>37733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74"/>
      <c r="K46" s="102"/>
      <c r="L46" s="76"/>
      <c r="M46" s="277"/>
      <c r="N46" s="262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74"/>
      <c r="K47" s="114"/>
      <c r="L47" s="81"/>
      <c r="M47" s="105"/>
      <c r="N47" s="106"/>
      <c r="P47" s="36"/>
      <c r="Q47" s="9"/>
    </row>
    <row r="48" spans="1:19" ht="15.7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118"/>
      <c r="K48" s="119"/>
      <c r="L48" s="9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114331</v>
      </c>
      <c r="D49" s="123"/>
      <c r="E49" s="124" t="s">
        <v>10</v>
      </c>
      <c r="F49" s="125">
        <f>SUM(F5:F48)</f>
        <v>2467072</v>
      </c>
      <c r="G49" s="123"/>
      <c r="H49" s="126" t="s">
        <v>11</v>
      </c>
      <c r="I49" s="127">
        <f>SUM(I5:I48)</f>
        <v>14932.5</v>
      </c>
      <c r="J49" s="128"/>
      <c r="K49" s="129" t="s">
        <v>12</v>
      </c>
      <c r="L49" s="130">
        <f>SUM(L5:L48)</f>
        <v>75834.540000000008</v>
      </c>
      <c r="M49" s="131"/>
      <c r="N49" s="131"/>
      <c r="P49" s="36"/>
      <c r="Q49" s="9"/>
    </row>
    <row r="50" spans="1:17" ht="16.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263" t="s">
        <v>13</v>
      </c>
      <c r="I51" s="264"/>
      <c r="J51" s="135"/>
      <c r="K51" s="265">
        <f>I49+L49</f>
        <v>90767.040000000008</v>
      </c>
      <c r="L51" s="266"/>
      <c r="M51" s="267">
        <f>N45+M45</f>
        <v>2335781</v>
      </c>
      <c r="N51" s="268"/>
      <c r="P51" s="36"/>
      <c r="Q51" s="9"/>
    </row>
    <row r="52" spans="1:17" ht="15.75" x14ac:dyDescent="0.25">
      <c r="D52" s="260" t="s">
        <v>14</v>
      </c>
      <c r="E52" s="260"/>
      <c r="F52" s="136">
        <f>F49-K51-C49</f>
        <v>2261973.96</v>
      </c>
      <c r="I52" s="137"/>
      <c r="J52" s="138"/>
      <c r="P52" s="36"/>
      <c r="Q52" s="9"/>
    </row>
    <row r="53" spans="1:17" ht="18.75" x14ac:dyDescent="0.3">
      <c r="D53" s="278" t="s">
        <v>15</v>
      </c>
      <c r="E53" s="278"/>
      <c r="F53" s="131">
        <v>-2224189.7400000002</v>
      </c>
      <c r="I53" s="279" t="s">
        <v>16</v>
      </c>
      <c r="J53" s="280"/>
      <c r="K53" s="281">
        <f>F55+F56+F57</f>
        <v>296963.76999999973</v>
      </c>
      <c r="L53" s="282"/>
      <c r="P53" s="3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9</v>
      </c>
      <c r="E55" s="133" t="s">
        <v>17</v>
      </c>
      <c r="F55" s="131">
        <f>SUM(F52:F54)</f>
        <v>37784.219999999739</v>
      </c>
      <c r="H55" s="23"/>
      <c r="I55" s="146" t="s">
        <v>18</v>
      </c>
      <c r="J55" s="147"/>
      <c r="K55" s="283">
        <f>-C4</f>
        <v>-223528.9</v>
      </c>
      <c r="L55" s="284"/>
    </row>
    <row r="56" spans="1:17" ht="16.5" thickBot="1" x14ac:dyDescent="0.3">
      <c r="D56" s="148" t="s">
        <v>19</v>
      </c>
      <c r="E56" s="133" t="s">
        <v>20</v>
      </c>
      <c r="F56" s="149">
        <v>28625</v>
      </c>
    </row>
    <row r="57" spans="1:17" ht="20.25" thickTop="1" thickBot="1" x14ac:dyDescent="0.35">
      <c r="C57" s="150">
        <v>44985</v>
      </c>
      <c r="D57" s="285" t="s">
        <v>21</v>
      </c>
      <c r="E57" s="286"/>
      <c r="F57" s="151">
        <v>230554.55</v>
      </c>
      <c r="I57" s="287" t="s">
        <v>22</v>
      </c>
      <c r="J57" s="288"/>
      <c r="K57" s="289">
        <f>K53+K55</f>
        <v>73434.869999999733</v>
      </c>
      <c r="L57" s="289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3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36"/>
      <c r="M61" s="162"/>
      <c r="N61" s="133"/>
    </row>
    <row r="62" spans="1:17" ht="15.75" x14ac:dyDescent="0.25">
      <c r="B62" s="159"/>
      <c r="C62" s="163"/>
      <c r="E62" s="36"/>
      <c r="F62" s="164"/>
      <c r="L62" s="165"/>
      <c r="M62" s="1"/>
    </row>
    <row r="63" spans="1:17" ht="15.75" x14ac:dyDescent="0.25">
      <c r="B63" s="159"/>
      <c r="C63" s="163"/>
      <c r="E63" s="36"/>
      <c r="M63" s="1"/>
    </row>
    <row r="64" spans="1:17" ht="15.75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5"/>
  <sheetViews>
    <sheetView topLeftCell="A22" workbookViewId="0">
      <selection activeCell="B45" sqref="B45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44956</v>
      </c>
      <c r="B3" s="182" t="s">
        <v>55</v>
      </c>
      <c r="C3" s="149">
        <v>78896</v>
      </c>
      <c r="D3" s="221">
        <v>44960</v>
      </c>
      <c r="E3" s="220">
        <v>78896</v>
      </c>
      <c r="F3" s="180">
        <f>C3-E3</f>
        <v>0</v>
      </c>
    </row>
    <row r="4" spans="1:7" ht="22.5" customHeight="1" x14ac:dyDescent="0.25">
      <c r="A4" s="181">
        <v>44958</v>
      </c>
      <c r="B4" s="182" t="s">
        <v>57</v>
      </c>
      <c r="C4" s="149">
        <v>3852.85</v>
      </c>
      <c r="D4" s="221">
        <v>44960</v>
      </c>
      <c r="E4" s="220">
        <v>3852.85</v>
      </c>
      <c r="F4" s="183">
        <f>C4-E4+F3</f>
        <v>0</v>
      </c>
    </row>
    <row r="5" spans="1:7" ht="21" customHeight="1" x14ac:dyDescent="0.25">
      <c r="A5" s="181">
        <v>44958</v>
      </c>
      <c r="B5" s="182" t="s">
        <v>56</v>
      </c>
      <c r="C5" s="149">
        <v>33129.599999999999</v>
      </c>
      <c r="D5" s="221">
        <v>44960</v>
      </c>
      <c r="E5" s="220">
        <v>33129.599999999999</v>
      </c>
      <c r="F5" s="183">
        <f t="shared" ref="F5:F68" si="0">C5-E5+F4</f>
        <v>0</v>
      </c>
    </row>
    <row r="6" spans="1:7" ht="21" customHeight="1" x14ac:dyDescent="0.3">
      <c r="A6" s="185">
        <v>44958</v>
      </c>
      <c r="B6" s="186" t="s">
        <v>58</v>
      </c>
      <c r="C6" s="149">
        <v>77299.399999999994</v>
      </c>
      <c r="D6" s="221">
        <v>44960</v>
      </c>
      <c r="E6" s="220">
        <v>77299.399999999994</v>
      </c>
      <c r="F6" s="183">
        <f t="shared" si="0"/>
        <v>0</v>
      </c>
      <c r="G6" s="184"/>
    </row>
    <row r="7" spans="1:7" ht="21" customHeight="1" x14ac:dyDescent="0.25">
      <c r="A7" s="185">
        <v>44959</v>
      </c>
      <c r="B7" s="186" t="s">
        <v>59</v>
      </c>
      <c r="C7" s="149">
        <v>83397.55</v>
      </c>
      <c r="D7" s="221">
        <v>44960</v>
      </c>
      <c r="E7" s="220">
        <v>83397.55</v>
      </c>
      <c r="F7" s="183">
        <f t="shared" si="0"/>
        <v>0</v>
      </c>
    </row>
    <row r="8" spans="1:7" ht="21" customHeight="1" x14ac:dyDescent="0.25">
      <c r="A8" s="185">
        <v>44959</v>
      </c>
      <c r="B8" s="186" t="s">
        <v>60</v>
      </c>
      <c r="C8" s="149">
        <v>44916</v>
      </c>
      <c r="D8" s="221">
        <v>44960</v>
      </c>
      <c r="E8" s="220">
        <v>44916</v>
      </c>
      <c r="F8" s="183">
        <f t="shared" si="0"/>
        <v>0</v>
      </c>
    </row>
    <row r="9" spans="1:7" ht="21" customHeight="1" x14ac:dyDescent="0.25">
      <c r="A9" s="181">
        <v>44960</v>
      </c>
      <c r="B9" s="182" t="s">
        <v>62</v>
      </c>
      <c r="C9" s="149">
        <v>59628.54</v>
      </c>
      <c r="D9" s="225">
        <v>44968</v>
      </c>
      <c r="E9" s="226">
        <v>59628.54</v>
      </c>
      <c r="F9" s="183">
        <f t="shared" si="0"/>
        <v>0</v>
      </c>
    </row>
    <row r="10" spans="1:7" ht="21" customHeight="1" x14ac:dyDescent="0.25">
      <c r="A10" s="181">
        <v>44960</v>
      </c>
      <c r="B10" s="182" t="s">
        <v>63</v>
      </c>
      <c r="C10" s="149">
        <v>34552</v>
      </c>
      <c r="D10" s="225">
        <v>44968</v>
      </c>
      <c r="E10" s="226">
        <v>34552</v>
      </c>
      <c r="F10" s="183">
        <f t="shared" si="0"/>
        <v>0</v>
      </c>
    </row>
    <row r="11" spans="1:7" ht="21" customHeight="1" x14ac:dyDescent="0.25">
      <c r="A11" s="181">
        <v>44961</v>
      </c>
      <c r="B11" s="182" t="s">
        <v>64</v>
      </c>
      <c r="C11" s="149">
        <v>111300.16</v>
      </c>
      <c r="D11" s="225">
        <v>44968</v>
      </c>
      <c r="E11" s="226">
        <v>111300.16</v>
      </c>
      <c r="F11" s="183">
        <f t="shared" si="0"/>
        <v>0</v>
      </c>
    </row>
    <row r="12" spans="1:7" ht="21" customHeight="1" x14ac:dyDescent="0.3">
      <c r="A12" s="181">
        <v>44963</v>
      </c>
      <c r="B12" s="182" t="s">
        <v>65</v>
      </c>
      <c r="C12" s="149">
        <v>9963</v>
      </c>
      <c r="D12" s="225">
        <v>44968</v>
      </c>
      <c r="E12" s="226">
        <v>9963</v>
      </c>
      <c r="F12" s="183">
        <f t="shared" si="0"/>
        <v>0</v>
      </c>
      <c r="G12" s="184"/>
    </row>
    <row r="13" spans="1:7" ht="21" customHeight="1" x14ac:dyDescent="0.25">
      <c r="A13" s="181">
        <v>44963</v>
      </c>
      <c r="B13" s="182" t="s">
        <v>66</v>
      </c>
      <c r="C13" s="149">
        <v>75529.25</v>
      </c>
      <c r="D13" s="225">
        <v>44968</v>
      </c>
      <c r="E13" s="226">
        <v>75529.25</v>
      </c>
      <c r="F13" s="183">
        <f t="shared" si="0"/>
        <v>0</v>
      </c>
    </row>
    <row r="14" spans="1:7" ht="21" customHeight="1" x14ac:dyDescent="0.25">
      <c r="A14" s="181">
        <v>44964</v>
      </c>
      <c r="B14" s="182" t="s">
        <v>77</v>
      </c>
      <c r="C14" s="149">
        <v>83670.740000000005</v>
      </c>
      <c r="D14" s="225">
        <v>44968</v>
      </c>
      <c r="E14" s="226">
        <v>83670.740000000005</v>
      </c>
      <c r="F14" s="183">
        <f t="shared" si="0"/>
        <v>0</v>
      </c>
    </row>
    <row r="15" spans="1:7" ht="21" customHeight="1" x14ac:dyDescent="0.25">
      <c r="A15" s="181">
        <v>44965</v>
      </c>
      <c r="B15" s="182" t="s">
        <v>78</v>
      </c>
      <c r="C15" s="149">
        <v>12446</v>
      </c>
      <c r="D15" s="225">
        <v>44968</v>
      </c>
      <c r="E15" s="226">
        <v>12446</v>
      </c>
      <c r="F15" s="183">
        <f t="shared" si="0"/>
        <v>0</v>
      </c>
    </row>
    <row r="16" spans="1:7" ht="21" customHeight="1" x14ac:dyDescent="0.25">
      <c r="A16" s="181">
        <v>44965</v>
      </c>
      <c r="B16" s="182" t="s">
        <v>79</v>
      </c>
      <c r="C16" s="149">
        <v>45123.76</v>
      </c>
      <c r="D16" s="225">
        <v>44968</v>
      </c>
      <c r="E16" s="226">
        <v>45123.76</v>
      </c>
      <c r="F16" s="183">
        <f t="shared" si="0"/>
        <v>0</v>
      </c>
    </row>
    <row r="17" spans="1:10" ht="21" customHeight="1" x14ac:dyDescent="0.25">
      <c r="A17" s="181">
        <v>44967</v>
      </c>
      <c r="B17" s="182" t="s">
        <v>80</v>
      </c>
      <c r="C17" s="149">
        <v>166731.16</v>
      </c>
      <c r="D17" s="225">
        <v>44968</v>
      </c>
      <c r="E17" s="226">
        <v>166731.16</v>
      </c>
      <c r="F17" s="183">
        <f t="shared" si="0"/>
        <v>0</v>
      </c>
    </row>
    <row r="18" spans="1:10" ht="21" customHeight="1" x14ac:dyDescent="0.25">
      <c r="A18" s="181">
        <v>44967</v>
      </c>
      <c r="B18" s="182" t="s">
        <v>81</v>
      </c>
      <c r="C18" s="149">
        <v>6377.4</v>
      </c>
      <c r="D18" s="225">
        <v>44968</v>
      </c>
      <c r="E18" s="226">
        <v>6377.4</v>
      </c>
      <c r="F18" s="183">
        <f t="shared" si="0"/>
        <v>0</v>
      </c>
    </row>
    <row r="19" spans="1:10" ht="21" customHeight="1" x14ac:dyDescent="0.25">
      <c r="A19" s="181">
        <v>44968</v>
      </c>
      <c r="B19" s="182" t="s">
        <v>82</v>
      </c>
      <c r="C19" s="149">
        <v>152217.42000000001</v>
      </c>
      <c r="D19" s="227">
        <v>44975</v>
      </c>
      <c r="E19" s="228">
        <v>152217.42000000001</v>
      </c>
      <c r="F19" s="183">
        <f t="shared" si="0"/>
        <v>0</v>
      </c>
    </row>
    <row r="20" spans="1:10" ht="21" customHeight="1" x14ac:dyDescent="0.25">
      <c r="A20" s="181">
        <v>44970</v>
      </c>
      <c r="B20" s="182" t="s">
        <v>83</v>
      </c>
      <c r="C20" s="149">
        <v>45703.76</v>
      </c>
      <c r="D20" s="227">
        <v>44975</v>
      </c>
      <c r="E20" s="228">
        <v>45703.76</v>
      </c>
      <c r="F20" s="183">
        <f t="shared" si="0"/>
        <v>0</v>
      </c>
    </row>
    <row r="21" spans="1:10" ht="24.75" customHeight="1" x14ac:dyDescent="0.25">
      <c r="A21" s="181">
        <v>44971</v>
      </c>
      <c r="B21" s="182" t="s">
        <v>84</v>
      </c>
      <c r="C21" s="149">
        <v>8278.6</v>
      </c>
      <c r="D21" s="227">
        <v>44975</v>
      </c>
      <c r="E21" s="228">
        <v>8278.6</v>
      </c>
      <c r="F21" s="183">
        <f t="shared" si="0"/>
        <v>0</v>
      </c>
    </row>
    <row r="22" spans="1:10" ht="21" customHeight="1" x14ac:dyDescent="0.25">
      <c r="A22" s="181">
        <v>44971</v>
      </c>
      <c r="B22" s="182" t="s">
        <v>85</v>
      </c>
      <c r="C22" s="149">
        <v>110776.46</v>
      </c>
      <c r="D22" s="227">
        <v>44975</v>
      </c>
      <c r="E22" s="228">
        <v>110776.46</v>
      </c>
      <c r="F22" s="183">
        <f t="shared" si="0"/>
        <v>0</v>
      </c>
    </row>
    <row r="23" spans="1:10" ht="21" customHeight="1" x14ac:dyDescent="0.25">
      <c r="A23" s="181">
        <v>44972</v>
      </c>
      <c r="B23" s="182" t="s">
        <v>86</v>
      </c>
      <c r="C23" s="149">
        <v>20044.8</v>
      </c>
      <c r="D23" s="227">
        <v>44975</v>
      </c>
      <c r="E23" s="228">
        <v>20044.8</v>
      </c>
      <c r="F23" s="183">
        <f t="shared" si="0"/>
        <v>0</v>
      </c>
    </row>
    <row r="24" spans="1:10" ht="21" customHeight="1" x14ac:dyDescent="0.3">
      <c r="A24" s="181">
        <v>44972</v>
      </c>
      <c r="B24" s="182" t="s">
        <v>87</v>
      </c>
      <c r="C24" s="149">
        <v>844.44</v>
      </c>
      <c r="D24" s="227">
        <v>44975</v>
      </c>
      <c r="E24" s="228">
        <v>844.44</v>
      </c>
      <c r="F24" s="183">
        <f t="shared" si="0"/>
        <v>0</v>
      </c>
      <c r="G24" s="184"/>
    </row>
    <row r="25" spans="1:10" ht="21" customHeight="1" x14ac:dyDescent="0.25">
      <c r="A25" s="181">
        <v>44973</v>
      </c>
      <c r="B25" s="182" t="s">
        <v>88</v>
      </c>
      <c r="C25" s="149">
        <v>69518.399999999994</v>
      </c>
      <c r="D25" s="227">
        <v>44975</v>
      </c>
      <c r="E25" s="228">
        <v>69518.399999999994</v>
      </c>
      <c r="F25" s="183">
        <f t="shared" si="0"/>
        <v>0</v>
      </c>
    </row>
    <row r="26" spans="1:10" ht="21" customHeight="1" x14ac:dyDescent="0.25">
      <c r="A26" s="181">
        <v>44974</v>
      </c>
      <c r="B26" s="182" t="s">
        <v>89</v>
      </c>
      <c r="C26" s="149">
        <v>105172.87</v>
      </c>
      <c r="D26" s="229">
        <v>44982</v>
      </c>
      <c r="E26" s="230">
        <v>105172.87</v>
      </c>
      <c r="F26" s="183">
        <f t="shared" si="0"/>
        <v>0</v>
      </c>
    </row>
    <row r="27" spans="1:10" ht="21" customHeight="1" x14ac:dyDescent="0.25">
      <c r="A27" s="181">
        <v>44975</v>
      </c>
      <c r="B27" s="182" t="s">
        <v>90</v>
      </c>
      <c r="C27" s="149">
        <v>116872.96000000001</v>
      </c>
      <c r="D27" s="229">
        <v>44982</v>
      </c>
      <c r="E27" s="230">
        <v>116872.96000000001</v>
      </c>
      <c r="F27" s="183">
        <f t="shared" si="0"/>
        <v>0</v>
      </c>
    </row>
    <row r="28" spans="1:10" ht="21" customHeight="1" x14ac:dyDescent="0.25">
      <c r="A28" s="181">
        <v>44975</v>
      </c>
      <c r="B28" s="182" t="s">
        <v>91</v>
      </c>
      <c r="C28" s="149">
        <v>4177.6000000000004</v>
      </c>
      <c r="D28" s="229">
        <v>44982</v>
      </c>
      <c r="E28" s="230">
        <v>4177.6000000000004</v>
      </c>
      <c r="F28" s="183">
        <f t="shared" si="0"/>
        <v>0</v>
      </c>
    </row>
    <row r="29" spans="1:10" ht="21" customHeight="1" x14ac:dyDescent="0.25">
      <c r="A29" s="181">
        <v>44975</v>
      </c>
      <c r="B29" s="182" t="s">
        <v>92</v>
      </c>
      <c r="C29" s="149">
        <v>16299.2</v>
      </c>
      <c r="D29" s="229">
        <v>44982</v>
      </c>
      <c r="E29" s="230">
        <v>16299.2</v>
      </c>
      <c r="F29" s="183">
        <f t="shared" si="0"/>
        <v>0</v>
      </c>
      <c r="J29" s="149">
        <v>0</v>
      </c>
    </row>
    <row r="30" spans="1:10" ht="21" customHeight="1" x14ac:dyDescent="0.25">
      <c r="A30" s="185">
        <v>44975</v>
      </c>
      <c r="B30" s="186" t="s">
        <v>93</v>
      </c>
      <c r="C30" s="149">
        <v>4728</v>
      </c>
      <c r="D30" s="229">
        <v>44982</v>
      </c>
      <c r="E30" s="230">
        <v>4728</v>
      </c>
      <c r="F30" s="183">
        <f t="shared" si="0"/>
        <v>0</v>
      </c>
      <c r="J30" s="149">
        <v>0</v>
      </c>
    </row>
    <row r="31" spans="1:10" ht="21" customHeight="1" x14ac:dyDescent="0.25">
      <c r="A31" s="185">
        <v>44978</v>
      </c>
      <c r="B31" s="186" t="s">
        <v>94</v>
      </c>
      <c r="C31" s="149">
        <v>152507.28</v>
      </c>
      <c r="D31" s="229">
        <v>44982</v>
      </c>
      <c r="E31" s="230">
        <v>152507.28</v>
      </c>
      <c r="F31" s="183">
        <f t="shared" si="0"/>
        <v>0</v>
      </c>
      <c r="J31" s="149">
        <v>0</v>
      </c>
    </row>
    <row r="32" spans="1:10" ht="21" customHeight="1" x14ac:dyDescent="0.3">
      <c r="A32" s="185">
        <v>44980</v>
      </c>
      <c r="B32" s="186" t="s">
        <v>95</v>
      </c>
      <c r="C32" s="149">
        <v>36653.4</v>
      </c>
      <c r="D32" s="229">
        <v>44982</v>
      </c>
      <c r="E32" s="230">
        <v>36653.4</v>
      </c>
      <c r="F32" s="183">
        <f t="shared" si="0"/>
        <v>0</v>
      </c>
      <c r="G32" s="184"/>
      <c r="J32" s="149">
        <v>0</v>
      </c>
    </row>
    <row r="33" spans="1:10" ht="21" customHeight="1" x14ac:dyDescent="0.25">
      <c r="A33" s="185">
        <v>44980</v>
      </c>
      <c r="B33" s="186" t="s">
        <v>99</v>
      </c>
      <c r="C33" s="149">
        <v>139527.16</v>
      </c>
      <c r="D33" s="229">
        <v>44982</v>
      </c>
      <c r="E33" s="230">
        <v>139527.16</v>
      </c>
      <c r="F33" s="183">
        <f t="shared" si="0"/>
        <v>0</v>
      </c>
      <c r="J33" s="149">
        <v>0</v>
      </c>
    </row>
    <row r="34" spans="1:10" ht="21" customHeight="1" x14ac:dyDescent="0.25">
      <c r="A34" s="185">
        <v>44982</v>
      </c>
      <c r="B34" s="186" t="s">
        <v>96</v>
      </c>
      <c r="C34" s="149">
        <v>146926.39000000001</v>
      </c>
      <c r="D34" s="185"/>
      <c r="E34" s="149"/>
      <c r="F34" s="183">
        <f t="shared" si="0"/>
        <v>146926.39000000001</v>
      </c>
      <c r="J34" s="149">
        <v>0</v>
      </c>
    </row>
    <row r="35" spans="1:10" ht="18.75" customHeight="1" x14ac:dyDescent="0.25">
      <c r="A35" s="185">
        <v>44982</v>
      </c>
      <c r="B35" s="186" t="s">
        <v>97</v>
      </c>
      <c r="C35" s="149">
        <v>77936.95</v>
      </c>
      <c r="D35" s="185"/>
      <c r="E35" s="149"/>
      <c r="F35" s="183">
        <f t="shared" si="0"/>
        <v>224863.34000000003</v>
      </c>
      <c r="J35" s="149">
        <v>0</v>
      </c>
    </row>
    <row r="36" spans="1:10" ht="18.75" customHeight="1" x14ac:dyDescent="0.25">
      <c r="A36" s="185">
        <v>44984</v>
      </c>
      <c r="B36" s="186" t="s">
        <v>98</v>
      </c>
      <c r="C36" s="149">
        <v>89190.64</v>
      </c>
      <c r="D36" s="185"/>
      <c r="E36" s="149"/>
      <c r="F36" s="183">
        <f t="shared" si="0"/>
        <v>314053.98000000004</v>
      </c>
      <c r="J36" s="133">
        <v>0</v>
      </c>
    </row>
    <row r="37" spans="1:10" ht="18.75" customHeight="1" x14ac:dyDescent="0.25">
      <c r="A37" s="185"/>
      <c r="B37" s="186"/>
      <c r="C37" s="149"/>
      <c r="D37" s="185"/>
      <c r="E37" s="149"/>
      <c r="F37" s="183">
        <f t="shared" si="0"/>
        <v>314053.98000000004</v>
      </c>
      <c r="J37" s="187">
        <f>SUM(J29:J36)</f>
        <v>0</v>
      </c>
    </row>
    <row r="38" spans="1:10" ht="18.75" customHeight="1" x14ac:dyDescent="0.25">
      <c r="A38" s="185"/>
      <c r="B38" s="186"/>
      <c r="C38" s="149"/>
      <c r="D38" s="185"/>
      <c r="E38" s="149"/>
      <c r="F38" s="183">
        <f t="shared" si="0"/>
        <v>314053.98000000004</v>
      </c>
    </row>
    <row r="39" spans="1:10" ht="18.75" customHeight="1" x14ac:dyDescent="0.25">
      <c r="A39" s="185"/>
      <c r="B39" s="186"/>
      <c r="C39" s="149"/>
      <c r="D39" s="185"/>
      <c r="E39" s="149"/>
      <c r="F39" s="183">
        <f t="shared" si="0"/>
        <v>314053.98000000004</v>
      </c>
    </row>
    <row r="40" spans="1:10" ht="18.75" customHeight="1" x14ac:dyDescent="0.25">
      <c r="A40" s="185"/>
      <c r="B40" s="186"/>
      <c r="C40" s="149"/>
      <c r="D40" s="185"/>
      <c r="E40" s="100"/>
      <c r="F40" s="183">
        <f t="shared" si="0"/>
        <v>314053.98000000004</v>
      </c>
    </row>
    <row r="41" spans="1:10" ht="18.75" customHeight="1" x14ac:dyDescent="0.25">
      <c r="A41" s="185"/>
      <c r="B41" s="186"/>
      <c r="C41" s="149"/>
      <c r="D41" s="185"/>
      <c r="E41" s="100"/>
      <c r="F41" s="183">
        <f t="shared" si="0"/>
        <v>314053.98000000004</v>
      </c>
    </row>
    <row r="42" spans="1:10" ht="18.75" customHeight="1" x14ac:dyDescent="0.25">
      <c r="A42" s="188"/>
      <c r="B42" s="189"/>
      <c r="C42" s="100"/>
      <c r="D42" s="185"/>
      <c r="E42" s="100"/>
      <c r="F42" s="183">
        <f t="shared" si="0"/>
        <v>314053.98000000004</v>
      </c>
    </row>
    <row r="43" spans="1:10" x14ac:dyDescent="0.25">
      <c r="A43" s="190"/>
      <c r="B43" s="191"/>
      <c r="C43" s="100"/>
      <c r="D43" s="192"/>
      <c r="E43" s="100"/>
      <c r="F43" s="183">
        <f t="shared" si="0"/>
        <v>314053.98000000004</v>
      </c>
    </row>
    <row r="44" spans="1:10" ht="15" customHeight="1" x14ac:dyDescent="0.25">
      <c r="A44" s="193"/>
      <c r="B44" s="194"/>
      <c r="C44" s="100"/>
      <c r="D44" s="192"/>
      <c r="E44" s="100"/>
      <c r="F44" s="183">
        <f t="shared" si="0"/>
        <v>314053.98000000004</v>
      </c>
    </row>
    <row r="45" spans="1:10" x14ac:dyDescent="0.25">
      <c r="A45" s="193"/>
      <c r="B45" s="194"/>
      <c r="C45" s="100"/>
      <c r="D45" s="192"/>
      <c r="E45" s="100"/>
      <c r="F45" s="183">
        <f t="shared" si="0"/>
        <v>314053.98000000004</v>
      </c>
    </row>
    <row r="46" spans="1:10" x14ac:dyDescent="0.25">
      <c r="A46" s="193"/>
      <c r="B46" s="194"/>
      <c r="C46" s="100"/>
      <c r="D46" s="192"/>
      <c r="E46" s="100"/>
      <c r="F46" s="183">
        <f t="shared" si="0"/>
        <v>314053.98000000004</v>
      </c>
    </row>
    <row r="47" spans="1:10" x14ac:dyDescent="0.25">
      <c r="A47" s="193"/>
      <c r="B47" s="194"/>
      <c r="C47" s="100"/>
      <c r="D47" s="192"/>
      <c r="E47" s="100"/>
      <c r="F47" s="183">
        <f t="shared" si="0"/>
        <v>314053.98000000004</v>
      </c>
    </row>
    <row r="48" spans="1:10" x14ac:dyDescent="0.25">
      <c r="A48" s="193"/>
      <c r="B48" s="194"/>
      <c r="C48" s="100"/>
      <c r="D48" s="192"/>
      <c r="E48" s="100"/>
      <c r="F48" s="183">
        <f t="shared" si="0"/>
        <v>314053.98000000004</v>
      </c>
    </row>
    <row r="49" spans="1:6" x14ac:dyDescent="0.25">
      <c r="A49" s="193"/>
      <c r="B49" s="194"/>
      <c r="C49" s="100"/>
      <c r="D49" s="192"/>
      <c r="E49" s="100"/>
      <c r="F49" s="183">
        <f t="shared" si="0"/>
        <v>314053.98000000004</v>
      </c>
    </row>
    <row r="50" spans="1:6" x14ac:dyDescent="0.25">
      <c r="A50" s="193"/>
      <c r="B50" s="194"/>
      <c r="C50" s="100"/>
      <c r="D50" s="192"/>
      <c r="E50" s="100"/>
      <c r="F50" s="183">
        <f t="shared" si="0"/>
        <v>314053.98000000004</v>
      </c>
    </row>
    <row r="51" spans="1:6" x14ac:dyDescent="0.25">
      <c r="A51" s="193"/>
      <c r="B51" s="194"/>
      <c r="C51" s="100"/>
      <c r="D51" s="192"/>
      <c r="E51" s="100"/>
      <c r="F51" s="183">
        <f t="shared" si="0"/>
        <v>314053.98000000004</v>
      </c>
    </row>
    <row r="52" spans="1:6" x14ac:dyDescent="0.25">
      <c r="A52" s="193"/>
      <c r="B52" s="194"/>
      <c r="C52" s="100"/>
      <c r="D52" s="192"/>
      <c r="E52" s="100"/>
      <c r="F52" s="183">
        <f t="shared" si="0"/>
        <v>314053.98000000004</v>
      </c>
    </row>
    <row r="53" spans="1:6" x14ac:dyDescent="0.25">
      <c r="A53" s="193"/>
      <c r="B53" s="194"/>
      <c r="C53" s="100"/>
      <c r="D53" s="192"/>
      <c r="E53" s="100"/>
      <c r="F53" s="183">
        <f t="shared" si="0"/>
        <v>314053.98000000004</v>
      </c>
    </row>
    <row r="54" spans="1:6" x14ac:dyDescent="0.25">
      <c r="A54" s="193"/>
      <c r="B54" s="194"/>
      <c r="C54" s="100"/>
      <c r="D54" s="192"/>
      <c r="E54" s="100"/>
      <c r="F54" s="183">
        <f t="shared" si="0"/>
        <v>314053.98000000004</v>
      </c>
    </row>
    <row r="55" spans="1:6" x14ac:dyDescent="0.25">
      <c r="A55" s="193"/>
      <c r="B55" s="194"/>
      <c r="C55" s="100"/>
      <c r="D55" s="192"/>
      <c r="E55" s="100"/>
      <c r="F55" s="183">
        <f t="shared" si="0"/>
        <v>314053.98000000004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314053.98000000004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314053.98000000004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314053.98000000004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314053.98000000004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314053.98000000004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314053.98000000004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314053.98000000004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314053.98000000004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314053.98000000004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314053.98000000004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314053.98000000004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314053.98000000004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314053.98000000004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314053.98000000004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314053.98000000004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314053.98000000004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314053.98000000004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314053.98000000004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314053.98000000004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314053.98000000004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314053.98000000004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314053.98000000004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314053.98000000004</v>
      </c>
    </row>
    <row r="79" spans="1:6" ht="19.5" thickBot="1" x14ac:dyDescent="0.35">
      <c r="A79" s="201"/>
      <c r="B79" s="202"/>
      <c r="C79" s="203">
        <f>SUM(C3:C78)</f>
        <v>2224189.7400000002</v>
      </c>
      <c r="D79" s="175"/>
      <c r="E79" s="204">
        <f>SUM(E3:E78)</f>
        <v>1910135.76</v>
      </c>
      <c r="F79" s="205">
        <f>F78</f>
        <v>314053.98000000004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F54" sqref="F54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69"/>
      <c r="C1" s="271" t="s">
        <v>115</v>
      </c>
      <c r="D1" s="272"/>
      <c r="E1" s="272"/>
      <c r="F1" s="272"/>
      <c r="G1" s="272"/>
      <c r="H1" s="272"/>
      <c r="I1" s="272"/>
      <c r="J1" s="272"/>
      <c r="K1" s="272"/>
      <c r="L1" s="272"/>
      <c r="M1" s="272"/>
    </row>
    <row r="2" spans="1:21" ht="16.5" thickBot="1" x14ac:dyDescent="0.3">
      <c r="B2" s="270"/>
      <c r="C2" s="4"/>
      <c r="H2" s="6"/>
      <c r="I2" s="7"/>
      <c r="J2" s="8"/>
      <c r="L2" s="3"/>
      <c r="M2" s="7"/>
      <c r="N2" s="9"/>
    </row>
    <row r="3" spans="1:21" ht="21.75" thickBot="1" x14ac:dyDescent="0.35">
      <c r="B3" s="273" t="s">
        <v>0</v>
      </c>
      <c r="C3" s="274"/>
      <c r="D3" s="10"/>
      <c r="E3" s="11"/>
      <c r="F3" s="11"/>
      <c r="H3" s="275" t="s">
        <v>1</v>
      </c>
      <c r="I3" s="275"/>
      <c r="K3" s="13"/>
      <c r="L3" s="13"/>
      <c r="M3" s="6"/>
      <c r="R3" s="252" t="s">
        <v>2</v>
      </c>
    </row>
    <row r="4" spans="1:21" ht="20.25" thickTop="1" thickBot="1" x14ac:dyDescent="0.35">
      <c r="A4" s="14" t="s">
        <v>3</v>
      </c>
      <c r="B4" s="15"/>
      <c r="C4" s="16">
        <v>230554.55</v>
      </c>
      <c r="D4" s="17">
        <v>44985</v>
      </c>
      <c r="E4" s="254" t="s">
        <v>4</v>
      </c>
      <c r="F4" s="255"/>
      <c r="H4" s="256" t="s">
        <v>5</v>
      </c>
      <c r="I4" s="257"/>
      <c r="J4" s="18"/>
      <c r="K4" s="19"/>
      <c r="L4" s="20"/>
      <c r="M4" s="21" t="s">
        <v>6</v>
      </c>
      <c r="N4" s="22" t="s">
        <v>7</v>
      </c>
      <c r="P4" s="291" t="s">
        <v>8</v>
      </c>
      <c r="Q4" s="292"/>
      <c r="R4" s="290"/>
    </row>
    <row r="5" spans="1:21" ht="18" thickBot="1" x14ac:dyDescent="0.35">
      <c r="A5" s="23" t="s">
        <v>9</v>
      </c>
      <c r="B5" s="24">
        <v>44986</v>
      </c>
      <c r="C5" s="25">
        <v>4174</v>
      </c>
      <c r="D5" s="26" t="s">
        <v>67</v>
      </c>
      <c r="E5" s="27">
        <v>44986</v>
      </c>
      <c r="F5" s="28">
        <v>40846</v>
      </c>
      <c r="G5" s="29"/>
      <c r="H5" s="30">
        <v>44986</v>
      </c>
      <c r="I5" s="31">
        <v>673</v>
      </c>
      <c r="J5" s="8"/>
      <c r="K5" s="32"/>
      <c r="L5" s="9"/>
      <c r="M5" s="33">
        <f>39061+3828</f>
        <v>42889</v>
      </c>
      <c r="N5" s="34">
        <v>113</v>
      </c>
      <c r="O5" s="35"/>
      <c r="P5" s="235">
        <f>N5+M5+L5+I5+C5</f>
        <v>47849</v>
      </c>
      <c r="Q5" s="236">
        <v>0</v>
      </c>
      <c r="R5" s="237">
        <v>7003</v>
      </c>
      <c r="S5" s="37"/>
    </row>
    <row r="6" spans="1:21" ht="18" thickBot="1" x14ac:dyDescent="0.35">
      <c r="A6" s="23"/>
      <c r="B6" s="24">
        <v>44987</v>
      </c>
      <c r="C6" s="25">
        <v>0</v>
      </c>
      <c r="D6" s="38"/>
      <c r="E6" s="27">
        <v>44987</v>
      </c>
      <c r="F6" s="28">
        <v>61565</v>
      </c>
      <c r="G6" s="29"/>
      <c r="H6" s="30">
        <v>44987</v>
      </c>
      <c r="I6" s="31">
        <v>57</v>
      </c>
      <c r="J6" s="39"/>
      <c r="K6" s="40" t="s">
        <v>9</v>
      </c>
      <c r="L6" s="41"/>
      <c r="M6" s="33">
        <f>19000+39619</f>
        <v>58619</v>
      </c>
      <c r="N6" s="34">
        <v>4789</v>
      </c>
      <c r="O6" s="35"/>
      <c r="P6" s="235">
        <f>N6+M6+L6+I6+C6</f>
        <v>63465</v>
      </c>
      <c r="Q6" s="236">
        <v>0</v>
      </c>
      <c r="R6" s="237">
        <v>1900</v>
      </c>
      <c r="S6" s="37"/>
      <c r="T6" s="9"/>
    </row>
    <row r="7" spans="1:21" ht="18" thickBot="1" x14ac:dyDescent="0.35">
      <c r="A7" s="23"/>
      <c r="B7" s="24">
        <v>44988</v>
      </c>
      <c r="C7" s="25">
        <v>8209</v>
      </c>
      <c r="D7" s="42" t="s">
        <v>69</v>
      </c>
      <c r="E7" s="27">
        <v>44988</v>
      </c>
      <c r="F7" s="28">
        <v>110006</v>
      </c>
      <c r="G7" s="29"/>
      <c r="H7" s="30">
        <v>44988</v>
      </c>
      <c r="I7" s="31">
        <v>581</v>
      </c>
      <c r="J7" s="39"/>
      <c r="K7" s="43"/>
      <c r="L7" s="41"/>
      <c r="M7" s="33">
        <f>50000+49987</f>
        <v>99987</v>
      </c>
      <c r="N7" s="34">
        <v>2607</v>
      </c>
      <c r="O7" s="35"/>
      <c r="P7" s="235">
        <f>N7+M7+L7+I7+C7</f>
        <v>111384</v>
      </c>
      <c r="Q7" s="243">
        <f>P7-F7-378</f>
        <v>1000</v>
      </c>
      <c r="R7" s="237">
        <v>378</v>
      </c>
      <c r="S7" s="37"/>
    </row>
    <row r="8" spans="1:21" ht="18" thickBot="1" x14ac:dyDescent="0.35">
      <c r="A8" s="23"/>
      <c r="B8" s="24">
        <v>44989</v>
      </c>
      <c r="C8" s="25">
        <v>0</v>
      </c>
      <c r="D8" s="42"/>
      <c r="E8" s="27">
        <v>44989</v>
      </c>
      <c r="F8" s="28">
        <v>47183</v>
      </c>
      <c r="G8" s="29"/>
      <c r="H8" s="30">
        <v>44989</v>
      </c>
      <c r="I8" s="31">
        <v>974</v>
      </c>
      <c r="J8" s="44"/>
      <c r="K8" s="45"/>
      <c r="L8" s="41"/>
      <c r="M8" s="33">
        <f>7000+36335</f>
        <v>43335</v>
      </c>
      <c r="N8" s="34">
        <v>4278</v>
      </c>
      <c r="O8" s="35"/>
      <c r="P8" s="235">
        <f t="shared" ref="P8:P45" si="0">N8+M8+L8+I8+C8</f>
        <v>48587</v>
      </c>
      <c r="Q8" s="236">
        <v>0</v>
      </c>
      <c r="R8" s="237">
        <v>1404</v>
      </c>
      <c r="S8" s="37"/>
    </row>
    <row r="9" spans="1:21" ht="18" thickBot="1" x14ac:dyDescent="0.35">
      <c r="A9" s="23"/>
      <c r="B9" s="24">
        <v>44990</v>
      </c>
      <c r="C9" s="25">
        <v>0</v>
      </c>
      <c r="D9" s="46"/>
      <c r="E9" s="27">
        <v>44990</v>
      </c>
      <c r="F9" s="28">
        <v>94515</v>
      </c>
      <c r="G9" s="29"/>
      <c r="H9" s="30">
        <v>44990</v>
      </c>
      <c r="I9" s="31">
        <v>590</v>
      </c>
      <c r="J9" s="39"/>
      <c r="K9" s="47"/>
      <c r="L9" s="41"/>
      <c r="M9" s="33">
        <f>97000+14044</f>
        <v>111044</v>
      </c>
      <c r="N9" s="34">
        <v>621</v>
      </c>
      <c r="O9" s="35"/>
      <c r="P9" s="235">
        <f t="shared" si="0"/>
        <v>112255</v>
      </c>
      <c r="Q9" s="236">
        <v>0</v>
      </c>
      <c r="R9" s="237">
        <v>17740</v>
      </c>
      <c r="S9" s="37"/>
    </row>
    <row r="10" spans="1:21" ht="18" thickBot="1" x14ac:dyDescent="0.35">
      <c r="A10" s="23"/>
      <c r="B10" s="24">
        <v>44991</v>
      </c>
      <c r="C10" s="25">
        <v>2940</v>
      </c>
      <c r="D10" s="38" t="s">
        <v>67</v>
      </c>
      <c r="E10" s="27">
        <v>44991</v>
      </c>
      <c r="F10" s="28">
        <v>138469</v>
      </c>
      <c r="G10" s="29"/>
      <c r="H10" s="30">
        <v>44991</v>
      </c>
      <c r="I10" s="31">
        <v>616</v>
      </c>
      <c r="J10" s="39"/>
      <c r="K10" s="48"/>
      <c r="L10" s="49"/>
      <c r="M10" s="33">
        <f>16000+70000+48913</f>
        <v>134913</v>
      </c>
      <c r="N10" s="34">
        <v>0</v>
      </c>
      <c r="O10" s="35"/>
      <c r="P10" s="235">
        <f>N10+M10+L10+I10+C10</f>
        <v>138469</v>
      </c>
      <c r="Q10" s="236">
        <f t="shared" ref="Q10:Q44" si="1">P10-F10</f>
        <v>0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44992</v>
      </c>
      <c r="C11" s="25">
        <v>0</v>
      </c>
      <c r="D11" s="38"/>
      <c r="E11" s="27">
        <v>44992</v>
      </c>
      <c r="F11" s="28">
        <v>106309</v>
      </c>
      <c r="G11" s="29"/>
      <c r="H11" s="30">
        <v>44992</v>
      </c>
      <c r="I11" s="31">
        <v>567</v>
      </c>
      <c r="J11" s="44">
        <v>44992</v>
      </c>
      <c r="K11" s="50" t="s">
        <v>160</v>
      </c>
      <c r="L11" s="41">
        <v>7816.67</v>
      </c>
      <c r="M11" s="33">
        <f>27500+68703</f>
        <v>96203</v>
      </c>
      <c r="N11" s="34">
        <v>1723</v>
      </c>
      <c r="O11" s="35"/>
      <c r="P11" s="235">
        <f>N11+M11+L11+I11+C11</f>
        <v>106309.67</v>
      </c>
      <c r="Q11" s="236">
        <f t="shared" si="1"/>
        <v>0.66999999999825377</v>
      </c>
      <c r="R11" s="238">
        <v>0</v>
      </c>
      <c r="S11" s="37"/>
    </row>
    <row r="12" spans="1:21" ht="18" thickBot="1" x14ac:dyDescent="0.35">
      <c r="A12" s="23"/>
      <c r="B12" s="24">
        <v>44993</v>
      </c>
      <c r="C12" s="25">
        <v>485</v>
      </c>
      <c r="D12" s="38" t="s">
        <v>100</v>
      </c>
      <c r="E12" s="27">
        <v>44993</v>
      </c>
      <c r="F12" s="28">
        <v>22101</v>
      </c>
      <c r="G12" s="29"/>
      <c r="H12" s="30">
        <v>44993</v>
      </c>
      <c r="I12" s="31">
        <v>629</v>
      </c>
      <c r="J12" s="39"/>
      <c r="K12" s="51"/>
      <c r="L12" s="41"/>
      <c r="M12" s="33">
        <f>6000+14949</f>
        <v>20949</v>
      </c>
      <c r="N12" s="34">
        <v>38</v>
      </c>
      <c r="O12" s="35"/>
      <c r="P12" s="235">
        <f t="shared" si="0"/>
        <v>22101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44994</v>
      </c>
      <c r="C13" s="25">
        <v>0</v>
      </c>
      <c r="D13" s="42"/>
      <c r="E13" s="27">
        <v>44994</v>
      </c>
      <c r="F13" s="28">
        <v>77215</v>
      </c>
      <c r="G13" s="29"/>
      <c r="H13" s="30">
        <v>44994</v>
      </c>
      <c r="I13" s="31">
        <v>312</v>
      </c>
      <c r="J13" s="39"/>
      <c r="K13" s="40"/>
      <c r="L13" s="41"/>
      <c r="M13" s="33">
        <f>37000+39703</f>
        <v>76703</v>
      </c>
      <c r="N13" s="34">
        <v>200</v>
      </c>
      <c r="O13" s="35"/>
      <c r="P13" s="235">
        <f t="shared" si="0"/>
        <v>77215</v>
      </c>
      <c r="Q13" s="236">
        <f t="shared" si="1"/>
        <v>0</v>
      </c>
      <c r="R13" s="238">
        <v>0</v>
      </c>
      <c r="S13" s="37"/>
    </row>
    <row r="14" spans="1:21" ht="18" thickBot="1" x14ac:dyDescent="0.35">
      <c r="A14" s="23"/>
      <c r="B14" s="24">
        <v>44995</v>
      </c>
      <c r="C14" s="25">
        <v>12818</v>
      </c>
      <c r="D14" s="46" t="s">
        <v>69</v>
      </c>
      <c r="E14" s="27">
        <v>44995</v>
      </c>
      <c r="F14" s="28">
        <v>144672</v>
      </c>
      <c r="G14" s="29"/>
      <c r="H14" s="30">
        <v>44995</v>
      </c>
      <c r="I14" s="31">
        <v>560</v>
      </c>
      <c r="J14" s="39"/>
      <c r="K14" s="45"/>
      <c r="L14" s="41"/>
      <c r="M14" s="33">
        <f>25000+106295</f>
        <v>131295</v>
      </c>
      <c r="N14" s="34">
        <v>0</v>
      </c>
      <c r="O14" s="35"/>
      <c r="P14" s="235">
        <f t="shared" si="0"/>
        <v>144673</v>
      </c>
      <c r="Q14" s="236">
        <f t="shared" si="1"/>
        <v>1</v>
      </c>
      <c r="R14" s="238">
        <v>0</v>
      </c>
      <c r="S14" s="37"/>
    </row>
    <row r="15" spans="1:21" ht="18" thickBot="1" x14ac:dyDescent="0.35">
      <c r="A15" s="23"/>
      <c r="B15" s="24">
        <v>44996</v>
      </c>
      <c r="C15" s="25">
        <v>1701</v>
      </c>
      <c r="D15" s="46" t="s">
        <v>161</v>
      </c>
      <c r="E15" s="27">
        <v>44996</v>
      </c>
      <c r="F15" s="28">
        <v>83147</v>
      </c>
      <c r="G15" s="29"/>
      <c r="H15" s="30">
        <v>44996</v>
      </c>
      <c r="I15" s="31">
        <v>647</v>
      </c>
      <c r="J15" s="39">
        <v>44996</v>
      </c>
      <c r="K15" s="45" t="s">
        <v>162</v>
      </c>
      <c r="L15" s="41">
        <v>7900</v>
      </c>
      <c r="M15" s="33">
        <f>25000+42244</f>
        <v>67244</v>
      </c>
      <c r="N15" s="34">
        <v>5655</v>
      </c>
      <c r="O15" s="35"/>
      <c r="P15" s="235">
        <f t="shared" si="0"/>
        <v>83147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44997</v>
      </c>
      <c r="C16" s="25">
        <v>0</v>
      </c>
      <c r="D16" s="52"/>
      <c r="E16" s="27">
        <v>44997</v>
      </c>
      <c r="F16" s="28">
        <v>132329</v>
      </c>
      <c r="G16" s="29"/>
      <c r="H16" s="30">
        <v>44997</v>
      </c>
      <c r="I16" s="31">
        <v>535</v>
      </c>
      <c r="J16" s="39"/>
      <c r="K16" s="45"/>
      <c r="L16" s="9"/>
      <c r="M16" s="33">
        <f>53000+51000+25100</f>
        <v>129100</v>
      </c>
      <c r="N16" s="34">
        <v>2696</v>
      </c>
      <c r="O16" s="35"/>
      <c r="P16" s="235">
        <f t="shared" si="0"/>
        <v>132331</v>
      </c>
      <c r="Q16" s="236">
        <f t="shared" si="1"/>
        <v>2</v>
      </c>
      <c r="R16" s="238">
        <v>0</v>
      </c>
      <c r="S16" s="37"/>
    </row>
    <row r="17" spans="1:20" ht="18" thickBot="1" x14ac:dyDescent="0.35">
      <c r="A17" s="23"/>
      <c r="B17" s="24">
        <v>44998</v>
      </c>
      <c r="C17" s="25">
        <v>0</v>
      </c>
      <c r="D17" s="46"/>
      <c r="E17" s="27">
        <v>44998</v>
      </c>
      <c r="F17" s="28">
        <v>161282</v>
      </c>
      <c r="G17" s="29"/>
      <c r="H17" s="30">
        <v>44998</v>
      </c>
      <c r="I17" s="31">
        <v>643</v>
      </c>
      <c r="J17" s="39"/>
      <c r="K17" s="53"/>
      <c r="L17" s="49"/>
      <c r="M17" s="33">
        <f>36000+124639</f>
        <v>160639</v>
      </c>
      <c r="N17" s="34">
        <v>0</v>
      </c>
      <c r="O17" s="35"/>
      <c r="P17" s="235">
        <f t="shared" si="0"/>
        <v>161282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44999</v>
      </c>
      <c r="C18" s="25">
        <v>3210</v>
      </c>
      <c r="D18" s="38" t="s">
        <v>67</v>
      </c>
      <c r="E18" s="27">
        <v>44999</v>
      </c>
      <c r="F18" s="28">
        <v>124114</v>
      </c>
      <c r="G18" s="29"/>
      <c r="H18" s="30">
        <v>44999</v>
      </c>
      <c r="I18" s="31">
        <v>222</v>
      </c>
      <c r="J18" s="39"/>
      <c r="K18" s="54"/>
      <c r="L18" s="41"/>
      <c r="M18" s="33">
        <f>18500+102182</f>
        <v>120682</v>
      </c>
      <c r="N18" s="34">
        <v>0</v>
      </c>
      <c r="O18" s="35"/>
      <c r="P18" s="235">
        <f t="shared" si="0"/>
        <v>124114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45000</v>
      </c>
      <c r="C19" s="25">
        <v>0</v>
      </c>
      <c r="D19" s="38"/>
      <c r="E19" s="27">
        <v>45000</v>
      </c>
      <c r="F19" s="28">
        <v>44605</v>
      </c>
      <c r="G19" s="29"/>
      <c r="H19" s="30">
        <v>45000</v>
      </c>
      <c r="I19" s="31">
        <v>593</v>
      </c>
      <c r="J19" s="39"/>
      <c r="K19" s="55"/>
      <c r="L19" s="56"/>
      <c r="M19" s="33">
        <f>15000+27417</f>
        <v>42417</v>
      </c>
      <c r="N19" s="34">
        <v>1595</v>
      </c>
      <c r="O19" s="35"/>
      <c r="P19" s="235">
        <f t="shared" si="0"/>
        <v>44605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45001</v>
      </c>
      <c r="C20" s="25">
        <v>0</v>
      </c>
      <c r="D20" s="38"/>
      <c r="E20" s="27">
        <v>45001</v>
      </c>
      <c r="F20" s="28">
        <v>112609</v>
      </c>
      <c r="G20" s="29"/>
      <c r="H20" s="30">
        <v>45001</v>
      </c>
      <c r="I20" s="31">
        <v>523</v>
      </c>
      <c r="J20" s="39"/>
      <c r="K20" s="57"/>
      <c r="L20" s="49"/>
      <c r="M20" s="33">
        <f>69485+41600</f>
        <v>111085</v>
      </c>
      <c r="N20" s="34">
        <v>1001</v>
      </c>
      <c r="O20" s="35"/>
      <c r="P20" s="235">
        <f t="shared" si="0"/>
        <v>112609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45002</v>
      </c>
      <c r="C21" s="25">
        <v>12939</v>
      </c>
      <c r="D21" s="38" t="s">
        <v>69</v>
      </c>
      <c r="E21" s="27">
        <v>45002</v>
      </c>
      <c r="F21" s="28">
        <v>124638</v>
      </c>
      <c r="G21" s="29"/>
      <c r="H21" s="30">
        <v>45002</v>
      </c>
      <c r="I21" s="31">
        <v>127</v>
      </c>
      <c r="J21" s="39"/>
      <c r="K21" s="58"/>
      <c r="L21" s="49"/>
      <c r="M21" s="33">
        <f>95992+12000</f>
        <v>107992</v>
      </c>
      <c r="N21" s="34">
        <v>3580</v>
      </c>
      <c r="O21" s="35"/>
      <c r="P21" s="235">
        <f t="shared" si="0"/>
        <v>124638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45003</v>
      </c>
      <c r="C22" s="25">
        <v>0</v>
      </c>
      <c r="D22" s="38"/>
      <c r="E22" s="27">
        <v>45003</v>
      </c>
      <c r="F22" s="28">
        <v>76608</v>
      </c>
      <c r="G22" s="29"/>
      <c r="H22" s="30">
        <v>45003</v>
      </c>
      <c r="I22" s="31">
        <v>1063</v>
      </c>
      <c r="J22" s="39">
        <v>45003</v>
      </c>
      <c r="K22" s="45" t="s">
        <v>163</v>
      </c>
      <c r="L22" s="59">
        <v>8386</v>
      </c>
      <c r="M22" s="33">
        <f>31103+28000</f>
        <v>59103</v>
      </c>
      <c r="N22" s="34">
        <f>4936+3120</f>
        <v>8056</v>
      </c>
      <c r="O22" s="35"/>
      <c r="P22" s="235">
        <f t="shared" si="0"/>
        <v>76608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45004</v>
      </c>
      <c r="C23" s="25">
        <v>0</v>
      </c>
      <c r="D23" s="46"/>
      <c r="E23" s="27">
        <v>45004</v>
      </c>
      <c r="F23" s="28">
        <v>116707</v>
      </c>
      <c r="G23" s="29"/>
      <c r="H23" s="30">
        <v>45004</v>
      </c>
      <c r="I23" s="31">
        <v>500</v>
      </c>
      <c r="J23" s="60"/>
      <c r="K23" s="61"/>
      <c r="L23" s="49"/>
      <c r="M23" s="33">
        <f>56432+56000</f>
        <v>112432</v>
      </c>
      <c r="N23" s="34">
        <v>3775</v>
      </c>
      <c r="O23" s="35"/>
      <c r="P23" s="235">
        <f t="shared" si="0"/>
        <v>116707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45005</v>
      </c>
      <c r="C24" s="25">
        <v>0</v>
      </c>
      <c r="D24" s="42"/>
      <c r="E24" s="27">
        <v>45005</v>
      </c>
      <c r="F24" s="28">
        <v>167012</v>
      </c>
      <c r="G24" s="29"/>
      <c r="H24" s="30">
        <v>45005</v>
      </c>
      <c r="I24" s="31">
        <v>1148</v>
      </c>
      <c r="J24" s="62"/>
      <c r="K24" s="63"/>
      <c r="L24" s="64"/>
      <c r="M24" s="33">
        <f>123478+41200</f>
        <v>164678</v>
      </c>
      <c r="N24" s="34">
        <v>1186</v>
      </c>
      <c r="O24" s="35"/>
      <c r="P24" s="235">
        <f t="shared" si="0"/>
        <v>167012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45006</v>
      </c>
      <c r="C25" s="25">
        <v>0</v>
      </c>
      <c r="D25" s="38"/>
      <c r="E25" s="27">
        <v>45006</v>
      </c>
      <c r="F25" s="28">
        <v>98911</v>
      </c>
      <c r="G25" s="29"/>
      <c r="H25" s="30">
        <v>45006</v>
      </c>
      <c r="I25" s="31">
        <v>18</v>
      </c>
      <c r="J25" s="65"/>
      <c r="K25" s="66"/>
      <c r="L25" s="67"/>
      <c r="M25" s="33">
        <f>5300+92318</f>
        <v>97618</v>
      </c>
      <c r="N25" s="34">
        <f>190+1085</f>
        <v>1275</v>
      </c>
      <c r="O25" s="35"/>
      <c r="P25" s="235">
        <f t="shared" si="0"/>
        <v>98911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45007</v>
      </c>
      <c r="C26" s="25">
        <v>3480</v>
      </c>
      <c r="D26" s="38" t="s">
        <v>67</v>
      </c>
      <c r="E26" s="27">
        <v>45007</v>
      </c>
      <c r="F26" s="28">
        <v>62059</v>
      </c>
      <c r="G26" s="29"/>
      <c r="H26" s="30">
        <v>45007</v>
      </c>
      <c r="I26" s="31">
        <v>64</v>
      </c>
      <c r="J26" s="39"/>
      <c r="K26" s="63"/>
      <c r="L26" s="49"/>
      <c r="M26" s="33">
        <v>57072</v>
      </c>
      <c r="N26" s="34">
        <v>1443</v>
      </c>
      <c r="O26" s="35"/>
      <c r="P26" s="235">
        <f t="shared" si="0"/>
        <v>62059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45008</v>
      </c>
      <c r="C27" s="25">
        <v>2655</v>
      </c>
      <c r="D27" s="42" t="s">
        <v>164</v>
      </c>
      <c r="E27" s="27">
        <v>45008</v>
      </c>
      <c r="F27" s="28">
        <v>118074</v>
      </c>
      <c r="G27" s="29"/>
      <c r="H27" s="30">
        <v>45008</v>
      </c>
      <c r="I27" s="31">
        <v>18</v>
      </c>
      <c r="J27" s="68"/>
      <c r="K27" s="69"/>
      <c r="L27" s="67"/>
      <c r="M27" s="33">
        <f>22700+92701</f>
        <v>115401</v>
      </c>
      <c r="N27" s="34">
        <v>0</v>
      </c>
      <c r="O27" s="35"/>
      <c r="P27" s="235">
        <f t="shared" si="0"/>
        <v>118074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45009</v>
      </c>
      <c r="C28" s="25">
        <v>18707</v>
      </c>
      <c r="D28" s="42" t="s">
        <v>69</v>
      </c>
      <c r="E28" s="27">
        <v>45009</v>
      </c>
      <c r="F28" s="28">
        <v>109480</v>
      </c>
      <c r="G28" s="29"/>
      <c r="H28" s="30">
        <v>45009</v>
      </c>
      <c r="I28" s="31">
        <v>116</v>
      </c>
      <c r="J28" s="70"/>
      <c r="K28" s="71"/>
      <c r="L28" s="67"/>
      <c r="M28" s="33">
        <f>16000+70989</f>
        <v>86989</v>
      </c>
      <c r="N28" s="34">
        <v>3668</v>
      </c>
      <c r="O28" s="35"/>
      <c r="P28" s="235">
        <f t="shared" si="0"/>
        <v>109480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45010</v>
      </c>
      <c r="C29" s="25">
        <v>0</v>
      </c>
      <c r="D29" s="72"/>
      <c r="E29" s="27">
        <v>45010</v>
      </c>
      <c r="F29" s="28">
        <v>74820</v>
      </c>
      <c r="G29" s="29"/>
      <c r="H29" s="30">
        <v>45010</v>
      </c>
      <c r="I29" s="31">
        <v>142</v>
      </c>
      <c r="J29" s="68">
        <v>45010</v>
      </c>
      <c r="K29" s="73" t="s">
        <v>165</v>
      </c>
      <c r="L29" s="67">
        <v>12045</v>
      </c>
      <c r="M29" s="250">
        <f>30700</f>
        <v>30700</v>
      </c>
      <c r="N29" s="34">
        <v>8222</v>
      </c>
      <c r="O29" s="35"/>
      <c r="P29" s="235">
        <f t="shared" si="0"/>
        <v>51109</v>
      </c>
      <c r="Q29" s="251">
        <f t="shared" si="1"/>
        <v>-23711</v>
      </c>
      <c r="R29" s="238">
        <v>0</v>
      </c>
      <c r="S29" s="37"/>
      <c r="T29" s="9"/>
    </row>
    <row r="30" spans="1:20" ht="18" thickBot="1" x14ac:dyDescent="0.35">
      <c r="A30" s="23"/>
      <c r="B30" s="24">
        <v>45011</v>
      </c>
      <c r="C30" s="25">
        <v>9514</v>
      </c>
      <c r="D30" s="72" t="s">
        <v>166</v>
      </c>
      <c r="E30" s="27">
        <v>45011</v>
      </c>
      <c r="F30" s="28">
        <v>131563</v>
      </c>
      <c r="G30" s="29"/>
      <c r="H30" s="30">
        <v>45011</v>
      </c>
      <c r="I30" s="31">
        <v>0</v>
      </c>
      <c r="J30" s="74"/>
      <c r="K30" s="75"/>
      <c r="L30" s="76"/>
      <c r="M30" s="250">
        <f>33777</f>
        <v>33777</v>
      </c>
      <c r="N30" s="34">
        <v>4272</v>
      </c>
      <c r="O30" s="35"/>
      <c r="P30" s="235">
        <f t="shared" si="0"/>
        <v>47563</v>
      </c>
      <c r="Q30" s="251">
        <f t="shared" si="1"/>
        <v>-84000</v>
      </c>
      <c r="R30" s="238">
        <v>0</v>
      </c>
      <c r="S30" s="37"/>
    </row>
    <row r="31" spans="1:20" ht="18" thickBot="1" x14ac:dyDescent="0.35">
      <c r="A31" s="23"/>
      <c r="B31" s="24">
        <v>45012</v>
      </c>
      <c r="C31" s="25">
        <v>0</v>
      </c>
      <c r="D31" s="77"/>
      <c r="E31" s="27">
        <v>45012</v>
      </c>
      <c r="F31" s="28">
        <v>189808</v>
      </c>
      <c r="G31" s="29"/>
      <c r="H31" s="30">
        <v>45012</v>
      </c>
      <c r="I31" s="31">
        <v>152</v>
      </c>
      <c r="J31" s="74"/>
      <c r="K31" s="78"/>
      <c r="L31" s="79"/>
      <c r="M31" s="33">
        <f>21500+168156</f>
        <v>189656</v>
      </c>
      <c r="N31" s="34">
        <v>0</v>
      </c>
      <c r="O31" s="35"/>
      <c r="P31" s="235">
        <f t="shared" si="0"/>
        <v>189808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45013</v>
      </c>
      <c r="C32" s="25">
        <v>0</v>
      </c>
      <c r="D32" s="82"/>
      <c r="E32" s="27">
        <v>45013</v>
      </c>
      <c r="F32" s="28">
        <v>102688</v>
      </c>
      <c r="G32" s="29"/>
      <c r="H32" s="30">
        <v>45013</v>
      </c>
      <c r="I32" s="31">
        <v>55</v>
      </c>
      <c r="J32" s="74"/>
      <c r="K32" s="75"/>
      <c r="L32" s="76"/>
      <c r="M32" s="33">
        <f>19000+83066</f>
        <v>102066</v>
      </c>
      <c r="N32" s="34">
        <v>567</v>
      </c>
      <c r="O32" s="35"/>
      <c r="P32" s="235">
        <f t="shared" si="0"/>
        <v>102688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45014</v>
      </c>
      <c r="C33" s="25">
        <v>0</v>
      </c>
      <c r="D33" s="80"/>
      <c r="E33" s="27">
        <v>45014</v>
      </c>
      <c r="F33" s="28">
        <v>24205</v>
      </c>
      <c r="G33" s="29"/>
      <c r="H33" s="30">
        <v>45014</v>
      </c>
      <c r="I33" s="31">
        <v>59</v>
      </c>
      <c r="J33" s="74"/>
      <c r="K33" s="78"/>
      <c r="L33" s="81"/>
      <c r="M33" s="33">
        <v>24084</v>
      </c>
      <c r="N33" s="34">
        <v>62</v>
      </c>
      <c r="O33" s="35"/>
      <c r="P33" s="235">
        <f t="shared" si="0"/>
        <v>24205</v>
      </c>
      <c r="Q33" s="236">
        <f t="shared" si="1"/>
        <v>0</v>
      </c>
      <c r="R33" s="238">
        <v>0</v>
      </c>
      <c r="S33" s="37"/>
    </row>
    <row r="34" spans="1:19" ht="33" thickBot="1" x14ac:dyDescent="0.35">
      <c r="A34" s="23"/>
      <c r="B34" s="24">
        <v>45015</v>
      </c>
      <c r="C34" s="25">
        <v>0</v>
      </c>
      <c r="D34" s="82"/>
      <c r="E34" s="27">
        <v>45015</v>
      </c>
      <c r="F34" s="28">
        <v>72817</v>
      </c>
      <c r="G34" s="29"/>
      <c r="H34" s="30">
        <v>45015</v>
      </c>
      <c r="I34" s="31">
        <v>37</v>
      </c>
      <c r="J34" s="74">
        <v>45015</v>
      </c>
      <c r="K34" s="83" t="s">
        <v>167</v>
      </c>
      <c r="L34" s="84">
        <v>11500</v>
      </c>
      <c r="M34" s="33">
        <v>61280</v>
      </c>
      <c r="N34" s="34">
        <v>0</v>
      </c>
      <c r="O34" s="35"/>
      <c r="P34" s="235">
        <f t="shared" si="0"/>
        <v>72817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/>
      <c r="C35" s="25">
        <v>0</v>
      </c>
      <c r="D35" s="77"/>
      <c r="E35" s="27"/>
      <c r="F35" s="28"/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235">
        <f t="shared" si="0"/>
        <v>0</v>
      </c>
      <c r="Q35" s="236">
        <f t="shared" si="1"/>
        <v>0</v>
      </c>
      <c r="R35" s="238">
        <v>0</v>
      </c>
      <c r="S35" s="37"/>
    </row>
    <row r="36" spans="1:19" ht="19.5" thickBot="1" x14ac:dyDescent="0.35">
      <c r="A36" s="23"/>
      <c r="B36" s="24"/>
      <c r="C36" s="25">
        <v>0</v>
      </c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235">
        <f t="shared" si="0"/>
        <v>0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/>
      <c r="C37" s="25">
        <v>0</v>
      </c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78"/>
      <c r="L38" s="81"/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9.5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244"/>
      <c r="L40" s="76"/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74"/>
      <c r="K43" s="89"/>
      <c r="L43" s="76"/>
      <c r="M43" s="33">
        <v>0</v>
      </c>
      <c r="N43" s="34">
        <v>0</v>
      </c>
      <c r="O43" s="35"/>
      <c r="P43" s="240">
        <f t="shared" si="0"/>
        <v>0</v>
      </c>
      <c r="Q43" s="241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74"/>
      <c r="K44" s="89"/>
      <c r="L44" s="76"/>
      <c r="M44" s="92">
        <v>0</v>
      </c>
      <c r="N44" s="93"/>
      <c r="O44" s="35"/>
      <c r="P44" s="36">
        <f t="shared" si="0"/>
        <v>0</v>
      </c>
      <c r="Q44" s="13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74"/>
      <c r="K45" s="97"/>
      <c r="L45" s="76"/>
      <c r="M45" s="276">
        <f>SUM(M5:M39)</f>
        <v>2689952</v>
      </c>
      <c r="N45" s="261">
        <f>SUM(N5:N39)</f>
        <v>61422</v>
      </c>
      <c r="P45" s="98">
        <f t="shared" si="0"/>
        <v>2751374</v>
      </c>
      <c r="Q45" s="99">
        <f>SUM(Q5:Q39)</f>
        <v>-106707.33</v>
      </c>
      <c r="R45" s="99">
        <f>SUM(R5:R39)</f>
        <v>28425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74"/>
      <c r="K46" s="102"/>
      <c r="L46" s="76"/>
      <c r="M46" s="277"/>
      <c r="N46" s="262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74"/>
      <c r="K47" s="114"/>
      <c r="L47" s="81"/>
      <c r="M47" s="105"/>
      <c r="N47" s="106"/>
      <c r="P47" s="36"/>
      <c r="Q47" s="9"/>
    </row>
    <row r="48" spans="1:19" ht="15.7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118"/>
      <c r="K48" s="119"/>
      <c r="L48" s="9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80832</v>
      </c>
      <c r="D49" s="123"/>
      <c r="E49" s="124" t="s">
        <v>10</v>
      </c>
      <c r="F49" s="125">
        <f>SUM(F5:F48)</f>
        <v>2970357</v>
      </c>
      <c r="G49" s="123"/>
      <c r="H49" s="126" t="s">
        <v>11</v>
      </c>
      <c r="I49" s="127">
        <f>SUM(I5:I48)</f>
        <v>12221</v>
      </c>
      <c r="J49" s="128"/>
      <c r="K49" s="129" t="s">
        <v>12</v>
      </c>
      <c r="L49" s="130">
        <f>SUM(L5:L48)</f>
        <v>47647.67</v>
      </c>
      <c r="M49" s="131"/>
      <c r="N49" s="131"/>
      <c r="P49" s="36"/>
      <c r="Q49" s="9"/>
    </row>
    <row r="50" spans="1:17" ht="16.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263" t="s">
        <v>13</v>
      </c>
      <c r="I51" s="264"/>
      <c r="J51" s="135"/>
      <c r="K51" s="265">
        <f>I49+L49</f>
        <v>59868.67</v>
      </c>
      <c r="L51" s="266"/>
      <c r="M51" s="267">
        <f>N45+M45</f>
        <v>2751374</v>
      </c>
      <c r="N51" s="268"/>
      <c r="P51" s="36"/>
      <c r="Q51" s="9"/>
    </row>
    <row r="52" spans="1:17" ht="15.75" x14ac:dyDescent="0.25">
      <c r="D52" s="260" t="s">
        <v>14</v>
      </c>
      <c r="E52" s="260"/>
      <c r="F52" s="136">
        <f>F49-K51-C49</f>
        <v>2829656.33</v>
      </c>
      <c r="I52" s="137"/>
      <c r="J52" s="138"/>
      <c r="P52" s="36"/>
      <c r="Q52" s="9"/>
    </row>
    <row r="53" spans="1:17" ht="18.75" x14ac:dyDescent="0.3">
      <c r="D53" s="278" t="s">
        <v>15</v>
      </c>
      <c r="E53" s="278"/>
      <c r="F53" s="131">
        <v>-2799162.44</v>
      </c>
      <c r="I53" s="279" t="s">
        <v>16</v>
      </c>
      <c r="J53" s="280"/>
      <c r="K53" s="281">
        <f>F55+F56+F57</f>
        <v>30493.89000000013</v>
      </c>
      <c r="L53" s="282"/>
      <c r="P53" s="3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9</v>
      </c>
      <c r="E55" s="133" t="s">
        <v>17</v>
      </c>
      <c r="F55" s="131">
        <f>SUM(F52:F54)</f>
        <v>30493.89000000013</v>
      </c>
      <c r="H55" s="23"/>
      <c r="I55" s="146" t="s">
        <v>18</v>
      </c>
      <c r="J55" s="147"/>
      <c r="K55" s="283">
        <f>-C4</f>
        <v>-230554.55</v>
      </c>
      <c r="L55" s="284"/>
    </row>
    <row r="56" spans="1:17" ht="16.5" thickBot="1" x14ac:dyDescent="0.3">
      <c r="D56" s="148" t="s">
        <v>19</v>
      </c>
      <c r="E56" s="133" t="s">
        <v>20</v>
      </c>
      <c r="F56" s="149">
        <v>0</v>
      </c>
    </row>
    <row r="57" spans="1:17" ht="20.25" thickTop="1" thickBot="1" x14ac:dyDescent="0.35">
      <c r="C57" s="150"/>
      <c r="D57" s="285" t="s">
        <v>21</v>
      </c>
      <c r="E57" s="286"/>
      <c r="F57" s="151">
        <v>0</v>
      </c>
      <c r="I57" s="287" t="s">
        <v>22</v>
      </c>
      <c r="J57" s="288"/>
      <c r="K57" s="289">
        <f>K53+K55</f>
        <v>-200060.65999999986</v>
      </c>
      <c r="L57" s="289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3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36"/>
      <c r="M61" s="162"/>
      <c r="N61" s="133"/>
    </row>
    <row r="62" spans="1:17" ht="15.75" x14ac:dyDescent="0.25">
      <c r="B62" s="159"/>
      <c r="C62" s="163"/>
      <c r="E62" s="36"/>
      <c r="F62" s="164"/>
      <c r="L62" s="165"/>
      <c r="M62" s="1"/>
    </row>
    <row r="63" spans="1:17" ht="15.75" x14ac:dyDescent="0.25">
      <c r="B63" s="159"/>
      <c r="C63" s="163"/>
      <c r="E63" s="36"/>
      <c r="M63" s="1"/>
    </row>
    <row r="64" spans="1:17" ht="15.75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topLeftCell="H1" workbookViewId="0">
      <pane ySplit="2" topLeftCell="A48" activePane="bottomLeft" state="frozen"/>
      <selection pane="bottomLeft" activeCell="J80" sqref="J80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44986</v>
      </c>
      <c r="B3" s="182" t="s">
        <v>116</v>
      </c>
      <c r="C3" s="149">
        <v>56416.3</v>
      </c>
      <c r="D3" s="245"/>
      <c r="E3" s="220"/>
      <c r="F3" s="180">
        <f>C3-E3</f>
        <v>56416.3</v>
      </c>
    </row>
    <row r="4" spans="1:7" ht="22.5" customHeight="1" x14ac:dyDescent="0.25">
      <c r="A4" s="181">
        <v>44986</v>
      </c>
      <c r="B4" s="182" t="s">
        <v>117</v>
      </c>
      <c r="C4" s="149">
        <v>32587.200000000001</v>
      </c>
      <c r="D4" s="245"/>
      <c r="E4" s="220"/>
      <c r="F4" s="183">
        <f>C4-E4+F3</f>
        <v>89003.5</v>
      </c>
    </row>
    <row r="5" spans="1:7" ht="21" customHeight="1" x14ac:dyDescent="0.25">
      <c r="A5" s="181">
        <v>44987</v>
      </c>
      <c r="B5" s="182" t="s">
        <v>118</v>
      </c>
      <c r="C5" s="149">
        <v>167188.4</v>
      </c>
      <c r="D5" s="245"/>
      <c r="E5" s="220"/>
      <c r="F5" s="183">
        <f t="shared" ref="F5:F68" si="0">C5-E5+F4</f>
        <v>256191.9</v>
      </c>
    </row>
    <row r="6" spans="1:7" ht="21" customHeight="1" x14ac:dyDescent="0.3">
      <c r="A6" s="181">
        <v>44988</v>
      </c>
      <c r="B6" s="182" t="s">
        <v>119</v>
      </c>
      <c r="C6" s="149">
        <v>80004.850000000006</v>
      </c>
      <c r="D6" s="245"/>
      <c r="E6" s="220"/>
      <c r="F6" s="183">
        <f t="shared" si="0"/>
        <v>336196.75</v>
      </c>
      <c r="G6" s="184"/>
    </row>
    <row r="7" spans="1:7" ht="21" customHeight="1" x14ac:dyDescent="0.25">
      <c r="A7" s="181">
        <v>44989</v>
      </c>
      <c r="B7" s="182" t="s">
        <v>120</v>
      </c>
      <c r="C7" s="149">
        <v>111204.71</v>
      </c>
      <c r="D7" s="245"/>
      <c r="E7" s="220"/>
      <c r="F7" s="183">
        <f t="shared" si="0"/>
        <v>447401.46</v>
      </c>
    </row>
    <row r="8" spans="1:7" ht="21" customHeight="1" x14ac:dyDescent="0.25">
      <c r="A8" s="181">
        <v>44989</v>
      </c>
      <c r="B8" s="182" t="s">
        <v>121</v>
      </c>
      <c r="C8" s="149">
        <v>31158.5</v>
      </c>
      <c r="D8" s="245"/>
      <c r="E8" s="220"/>
      <c r="F8" s="183">
        <f t="shared" si="0"/>
        <v>478559.96</v>
      </c>
    </row>
    <row r="9" spans="1:7" ht="21" customHeight="1" x14ac:dyDescent="0.25">
      <c r="A9" s="181">
        <v>44989</v>
      </c>
      <c r="B9" s="182" t="s">
        <v>122</v>
      </c>
      <c r="C9" s="149">
        <v>23886.2</v>
      </c>
      <c r="D9" s="181"/>
      <c r="E9" s="149"/>
      <c r="F9" s="183">
        <f t="shared" si="0"/>
        <v>502446.16000000003</v>
      </c>
    </row>
    <row r="10" spans="1:7" ht="21" customHeight="1" x14ac:dyDescent="0.25">
      <c r="A10" s="181">
        <v>44989</v>
      </c>
      <c r="B10" s="182" t="s">
        <v>123</v>
      </c>
      <c r="C10" s="149">
        <v>10249.6</v>
      </c>
      <c r="D10" s="181"/>
      <c r="E10" s="149"/>
      <c r="F10" s="183">
        <f t="shared" si="0"/>
        <v>512695.76</v>
      </c>
    </row>
    <row r="11" spans="1:7" ht="21" customHeight="1" x14ac:dyDescent="0.25">
      <c r="A11" s="181">
        <v>44991</v>
      </c>
      <c r="B11" s="182" t="s">
        <v>124</v>
      </c>
      <c r="C11" s="149">
        <v>97973.8</v>
      </c>
      <c r="D11" s="181"/>
      <c r="E11" s="149"/>
      <c r="F11" s="183">
        <f t="shared" si="0"/>
        <v>610669.56000000006</v>
      </c>
    </row>
    <row r="12" spans="1:7" ht="21" customHeight="1" x14ac:dyDescent="0.3">
      <c r="A12" s="181">
        <v>44992</v>
      </c>
      <c r="B12" s="182" t="s">
        <v>125</v>
      </c>
      <c r="C12" s="149">
        <v>10493.52</v>
      </c>
      <c r="D12" s="181"/>
      <c r="E12" s="149"/>
      <c r="F12" s="183">
        <f t="shared" si="0"/>
        <v>621163.08000000007</v>
      </c>
      <c r="G12" s="184"/>
    </row>
    <row r="13" spans="1:7" ht="21" customHeight="1" x14ac:dyDescent="0.25">
      <c r="A13" s="181">
        <v>44992</v>
      </c>
      <c r="B13" s="182" t="s">
        <v>126</v>
      </c>
      <c r="C13" s="149">
        <v>46782.2</v>
      </c>
      <c r="D13" s="181"/>
      <c r="E13" s="149"/>
      <c r="F13" s="183">
        <f t="shared" si="0"/>
        <v>667945.28</v>
      </c>
    </row>
    <row r="14" spans="1:7" ht="21" customHeight="1" x14ac:dyDescent="0.25">
      <c r="A14" s="181">
        <v>44993</v>
      </c>
      <c r="B14" s="182" t="s">
        <v>127</v>
      </c>
      <c r="C14" s="149">
        <v>81287.320000000007</v>
      </c>
      <c r="D14" s="181"/>
      <c r="E14" s="149"/>
      <c r="F14" s="183">
        <f t="shared" si="0"/>
        <v>749232.60000000009</v>
      </c>
    </row>
    <row r="15" spans="1:7" ht="21" customHeight="1" x14ac:dyDescent="0.25">
      <c r="A15" s="181">
        <v>44995</v>
      </c>
      <c r="B15" s="182" t="s">
        <v>128</v>
      </c>
      <c r="C15" s="149">
        <v>69661.899999999994</v>
      </c>
      <c r="D15" s="181"/>
      <c r="E15" s="149"/>
      <c r="F15" s="183">
        <f t="shared" si="0"/>
        <v>818894.50000000012</v>
      </c>
    </row>
    <row r="16" spans="1:7" ht="21" customHeight="1" x14ac:dyDescent="0.25">
      <c r="A16" s="181">
        <v>44995</v>
      </c>
      <c r="B16" s="182" t="s">
        <v>129</v>
      </c>
      <c r="C16" s="149">
        <v>80384.2</v>
      </c>
      <c r="D16" s="181"/>
      <c r="E16" s="149"/>
      <c r="F16" s="183">
        <f t="shared" si="0"/>
        <v>899278.70000000007</v>
      </c>
    </row>
    <row r="17" spans="1:10" ht="21" customHeight="1" x14ac:dyDescent="0.25">
      <c r="A17" s="181">
        <v>44995</v>
      </c>
      <c r="B17" s="182" t="s">
        <v>130</v>
      </c>
      <c r="C17" s="149">
        <v>26566.799999999999</v>
      </c>
      <c r="D17" s="181"/>
      <c r="E17" s="149"/>
      <c r="F17" s="183">
        <f t="shared" si="0"/>
        <v>925845.50000000012</v>
      </c>
    </row>
    <row r="18" spans="1:10" ht="21" customHeight="1" x14ac:dyDescent="0.25">
      <c r="A18" s="181">
        <v>44995</v>
      </c>
      <c r="B18" s="182" t="s">
        <v>131</v>
      </c>
      <c r="C18" s="149">
        <v>72043.199999999997</v>
      </c>
      <c r="D18" s="181"/>
      <c r="E18" s="149"/>
      <c r="F18" s="183">
        <f t="shared" si="0"/>
        <v>997888.70000000007</v>
      </c>
    </row>
    <row r="19" spans="1:10" ht="21" customHeight="1" x14ac:dyDescent="0.25">
      <c r="A19" s="181">
        <v>44996</v>
      </c>
      <c r="B19" s="182" t="s">
        <v>132</v>
      </c>
      <c r="C19" s="149">
        <v>66052.399999999994</v>
      </c>
      <c r="D19" s="181"/>
      <c r="E19" s="149"/>
      <c r="F19" s="183">
        <f t="shared" si="0"/>
        <v>1063941.1000000001</v>
      </c>
    </row>
    <row r="20" spans="1:10" ht="21" customHeight="1" x14ac:dyDescent="0.25">
      <c r="A20" s="181">
        <v>44996</v>
      </c>
      <c r="B20" s="182" t="s">
        <v>133</v>
      </c>
      <c r="C20" s="149">
        <v>80441.600000000006</v>
      </c>
      <c r="D20" s="181"/>
      <c r="E20" s="149"/>
      <c r="F20" s="183">
        <f t="shared" si="0"/>
        <v>1144382.7000000002</v>
      </c>
    </row>
    <row r="21" spans="1:10" ht="24.75" customHeight="1" x14ac:dyDescent="0.25">
      <c r="A21" s="181">
        <v>44998</v>
      </c>
      <c r="B21" s="182" t="s">
        <v>134</v>
      </c>
      <c r="C21" s="149">
        <v>17596.8</v>
      </c>
      <c r="D21" s="181"/>
      <c r="E21" s="149"/>
      <c r="F21" s="183">
        <f t="shared" si="0"/>
        <v>1161979.5000000002</v>
      </c>
    </row>
    <row r="22" spans="1:10" ht="21" customHeight="1" x14ac:dyDescent="0.25">
      <c r="A22" s="181">
        <v>44998</v>
      </c>
      <c r="B22" s="182" t="s">
        <v>135</v>
      </c>
      <c r="C22" s="149">
        <v>75126.05</v>
      </c>
      <c r="D22" s="181"/>
      <c r="E22" s="149"/>
      <c r="F22" s="183">
        <f t="shared" si="0"/>
        <v>1237105.5500000003</v>
      </c>
    </row>
    <row r="23" spans="1:10" ht="21" customHeight="1" x14ac:dyDescent="0.25">
      <c r="A23" s="181">
        <v>44998</v>
      </c>
      <c r="B23" s="182" t="s">
        <v>136</v>
      </c>
      <c r="C23" s="149">
        <v>50218</v>
      </c>
      <c r="D23" s="181"/>
      <c r="E23" s="149"/>
      <c r="F23" s="183">
        <f t="shared" si="0"/>
        <v>1287323.5500000003</v>
      </c>
    </row>
    <row r="24" spans="1:10" ht="21" customHeight="1" x14ac:dyDescent="0.3">
      <c r="A24" s="181">
        <v>44999</v>
      </c>
      <c r="B24" s="182" t="s">
        <v>137</v>
      </c>
      <c r="C24" s="149">
        <v>50950.400000000001</v>
      </c>
      <c r="D24" s="181"/>
      <c r="E24" s="149"/>
      <c r="F24" s="183">
        <f t="shared" si="0"/>
        <v>1338273.9500000002</v>
      </c>
      <c r="G24" s="184"/>
    </row>
    <row r="25" spans="1:10" ht="21" customHeight="1" x14ac:dyDescent="0.25">
      <c r="A25" s="181">
        <v>45000</v>
      </c>
      <c r="B25" s="182" t="s">
        <v>138</v>
      </c>
      <c r="C25" s="149">
        <v>91595.02</v>
      </c>
      <c r="D25" s="181"/>
      <c r="E25" s="149"/>
      <c r="F25" s="183">
        <f t="shared" si="0"/>
        <v>1429868.9700000002</v>
      </c>
    </row>
    <row r="26" spans="1:10" ht="21" customHeight="1" x14ac:dyDescent="0.25">
      <c r="A26" s="181">
        <v>45001</v>
      </c>
      <c r="B26" s="182" t="s">
        <v>139</v>
      </c>
      <c r="C26" s="149">
        <v>157336.79999999999</v>
      </c>
      <c r="D26" s="181"/>
      <c r="E26" s="149"/>
      <c r="F26" s="183">
        <f t="shared" si="0"/>
        <v>1587205.7700000003</v>
      </c>
    </row>
    <row r="27" spans="1:10" ht="21" customHeight="1" x14ac:dyDescent="0.25">
      <c r="A27" s="181">
        <v>45001</v>
      </c>
      <c r="B27" s="182" t="s">
        <v>140</v>
      </c>
      <c r="C27" s="149">
        <v>2166</v>
      </c>
      <c r="D27" s="181"/>
      <c r="E27" s="149"/>
      <c r="F27" s="183">
        <f t="shared" si="0"/>
        <v>1589371.7700000003</v>
      </c>
    </row>
    <row r="28" spans="1:10" ht="21" customHeight="1" x14ac:dyDescent="0.25">
      <c r="A28" s="181">
        <v>45001</v>
      </c>
      <c r="B28" s="182" t="s">
        <v>141</v>
      </c>
      <c r="C28" s="149">
        <v>7987.2</v>
      </c>
      <c r="D28" s="181"/>
      <c r="E28" s="149"/>
      <c r="F28" s="183">
        <f t="shared" si="0"/>
        <v>1597358.9700000002</v>
      </c>
    </row>
    <row r="29" spans="1:10" ht="21" customHeight="1" x14ac:dyDescent="0.25">
      <c r="A29" s="181">
        <v>45002</v>
      </c>
      <c r="B29" s="182" t="s">
        <v>142</v>
      </c>
      <c r="C29" s="149">
        <v>57515.48</v>
      </c>
      <c r="D29" s="181"/>
      <c r="E29" s="149"/>
      <c r="F29" s="183">
        <f t="shared" si="0"/>
        <v>1654874.4500000002</v>
      </c>
      <c r="J29" s="149">
        <v>0</v>
      </c>
    </row>
    <row r="30" spans="1:10" ht="21" customHeight="1" x14ac:dyDescent="0.25">
      <c r="A30" s="181">
        <v>45002</v>
      </c>
      <c r="B30" s="182" t="s">
        <v>143</v>
      </c>
      <c r="C30" s="149">
        <v>155086.71</v>
      </c>
      <c r="D30" s="181"/>
      <c r="E30" s="149"/>
      <c r="F30" s="183">
        <f t="shared" si="0"/>
        <v>1809961.1600000001</v>
      </c>
      <c r="J30" s="149">
        <v>0</v>
      </c>
    </row>
    <row r="31" spans="1:10" ht="21" customHeight="1" x14ac:dyDescent="0.25">
      <c r="A31" s="181">
        <v>45003</v>
      </c>
      <c r="B31" s="182" t="s">
        <v>144</v>
      </c>
      <c r="C31" s="149">
        <v>65083.4</v>
      </c>
      <c r="D31" s="181"/>
      <c r="E31" s="149"/>
      <c r="F31" s="183">
        <f t="shared" si="0"/>
        <v>1875044.56</v>
      </c>
      <c r="J31" s="149">
        <v>0</v>
      </c>
    </row>
    <row r="32" spans="1:10" ht="21" customHeight="1" x14ac:dyDescent="0.3">
      <c r="A32" s="181">
        <v>45003</v>
      </c>
      <c r="B32" s="182" t="s">
        <v>145</v>
      </c>
      <c r="C32" s="149">
        <v>7147.8</v>
      </c>
      <c r="D32" s="181"/>
      <c r="E32" s="149"/>
      <c r="F32" s="183">
        <f t="shared" si="0"/>
        <v>1882192.36</v>
      </c>
      <c r="G32" s="184"/>
      <c r="J32" s="149">
        <v>0</v>
      </c>
    </row>
    <row r="33" spans="1:10" ht="21" customHeight="1" x14ac:dyDescent="0.25">
      <c r="A33" s="181">
        <v>45005</v>
      </c>
      <c r="B33" s="182" t="s">
        <v>146</v>
      </c>
      <c r="C33" s="149">
        <v>78851.350000000006</v>
      </c>
      <c r="D33" s="181"/>
      <c r="E33" s="149"/>
      <c r="F33" s="183">
        <f t="shared" si="0"/>
        <v>1961043.7100000002</v>
      </c>
      <c r="J33" s="149">
        <v>0</v>
      </c>
    </row>
    <row r="34" spans="1:10" ht="21" customHeight="1" x14ac:dyDescent="0.25">
      <c r="A34" s="181">
        <v>45005</v>
      </c>
      <c r="B34" s="182" t="s">
        <v>147</v>
      </c>
      <c r="C34" s="149">
        <v>43916.800000000003</v>
      </c>
      <c r="D34" s="181"/>
      <c r="E34" s="149"/>
      <c r="F34" s="183">
        <f t="shared" si="0"/>
        <v>2004960.5100000002</v>
      </c>
      <c r="J34" s="149">
        <v>0</v>
      </c>
    </row>
    <row r="35" spans="1:10" ht="18.75" customHeight="1" x14ac:dyDescent="0.25">
      <c r="A35" s="181">
        <v>45006</v>
      </c>
      <c r="B35" s="182" t="s">
        <v>148</v>
      </c>
      <c r="C35" s="149">
        <v>58371.82</v>
      </c>
      <c r="D35" s="181"/>
      <c r="E35" s="149"/>
      <c r="F35" s="183">
        <f t="shared" si="0"/>
        <v>2063332.3300000003</v>
      </c>
      <c r="J35" s="149">
        <v>0</v>
      </c>
    </row>
    <row r="36" spans="1:10" ht="18.75" customHeight="1" x14ac:dyDescent="0.25">
      <c r="A36" s="181">
        <v>45007</v>
      </c>
      <c r="B36" s="182" t="s">
        <v>149</v>
      </c>
      <c r="C36" s="149">
        <v>49800</v>
      </c>
      <c r="D36" s="181"/>
      <c r="E36" s="149"/>
      <c r="F36" s="183">
        <f t="shared" si="0"/>
        <v>2113132.33</v>
      </c>
      <c r="J36" s="133">
        <v>0</v>
      </c>
    </row>
    <row r="37" spans="1:10" ht="18.75" customHeight="1" x14ac:dyDescent="0.25">
      <c r="A37" s="181">
        <v>45008</v>
      </c>
      <c r="B37" s="182" t="s">
        <v>150</v>
      </c>
      <c r="C37" s="149">
        <v>19380</v>
      </c>
      <c r="D37" s="181"/>
      <c r="E37" s="149"/>
      <c r="F37" s="183">
        <f t="shared" si="0"/>
        <v>2132512.33</v>
      </c>
      <c r="J37" s="187">
        <f>SUM(J29:J36)</f>
        <v>0</v>
      </c>
    </row>
    <row r="38" spans="1:10" ht="18.75" customHeight="1" x14ac:dyDescent="0.25">
      <c r="A38" s="181">
        <v>45008</v>
      </c>
      <c r="B38" s="182" t="s">
        <v>151</v>
      </c>
      <c r="C38" s="149">
        <v>103725.73</v>
      </c>
      <c r="D38" s="181"/>
      <c r="E38" s="149"/>
      <c r="F38" s="183">
        <f t="shared" si="0"/>
        <v>2236238.06</v>
      </c>
    </row>
    <row r="39" spans="1:10" ht="18.75" customHeight="1" x14ac:dyDescent="0.25">
      <c r="A39" s="181">
        <v>45009</v>
      </c>
      <c r="B39" s="182" t="s">
        <v>152</v>
      </c>
      <c r="C39" s="149">
        <v>90703.66</v>
      </c>
      <c r="D39" s="181"/>
      <c r="E39" s="149"/>
      <c r="F39" s="183">
        <f t="shared" si="0"/>
        <v>2326941.7200000002</v>
      </c>
    </row>
    <row r="40" spans="1:10" ht="18.75" customHeight="1" x14ac:dyDescent="0.25">
      <c r="A40" s="181">
        <v>45009</v>
      </c>
      <c r="B40" s="182" t="s">
        <v>153</v>
      </c>
      <c r="C40" s="149">
        <v>15108</v>
      </c>
      <c r="D40" s="181"/>
      <c r="E40" s="100"/>
      <c r="F40" s="183">
        <f t="shared" si="0"/>
        <v>2342049.7200000002</v>
      </c>
    </row>
    <row r="41" spans="1:10" ht="18.75" customHeight="1" x14ac:dyDescent="0.25">
      <c r="A41" s="181">
        <v>45010</v>
      </c>
      <c r="B41" s="182" t="s">
        <v>154</v>
      </c>
      <c r="C41" s="149">
        <v>110246.96</v>
      </c>
      <c r="D41" s="181"/>
      <c r="E41" s="100"/>
      <c r="F41" s="183">
        <f t="shared" si="0"/>
        <v>2452296.6800000002</v>
      </c>
    </row>
    <row r="42" spans="1:10" ht="24" customHeight="1" x14ac:dyDescent="0.25">
      <c r="A42" s="185">
        <v>45010</v>
      </c>
      <c r="B42" s="186" t="s">
        <v>155</v>
      </c>
      <c r="C42" s="149">
        <v>73872.600000000006</v>
      </c>
      <c r="D42" s="185"/>
      <c r="E42" s="100"/>
      <c r="F42" s="183">
        <f t="shared" si="0"/>
        <v>2526169.2800000003</v>
      </c>
    </row>
    <row r="43" spans="1:10" ht="23.25" customHeight="1" x14ac:dyDescent="0.25">
      <c r="A43" s="246">
        <v>45012</v>
      </c>
      <c r="B43" s="248" t="s">
        <v>156</v>
      </c>
      <c r="C43" s="149">
        <v>18201.599999999999</v>
      </c>
      <c r="D43" s="192"/>
      <c r="E43" s="100"/>
      <c r="F43" s="183">
        <f t="shared" si="0"/>
        <v>2544370.8800000004</v>
      </c>
    </row>
    <row r="44" spans="1:10" ht="23.25" customHeight="1" x14ac:dyDescent="0.25">
      <c r="A44" s="247">
        <v>45012</v>
      </c>
      <c r="B44" s="249" t="s">
        <v>157</v>
      </c>
      <c r="C44" s="149">
        <v>90248.6</v>
      </c>
      <c r="D44" s="192"/>
      <c r="E44" s="100"/>
      <c r="F44" s="183">
        <f t="shared" si="0"/>
        <v>2634619.4800000004</v>
      </c>
    </row>
    <row r="45" spans="1:10" ht="23.25" customHeight="1" x14ac:dyDescent="0.25">
      <c r="A45" s="247">
        <v>45013</v>
      </c>
      <c r="B45" s="249" t="s">
        <v>158</v>
      </c>
      <c r="C45" s="149">
        <v>103968.36</v>
      </c>
      <c r="D45" s="192"/>
      <c r="E45" s="100"/>
      <c r="F45" s="183">
        <f t="shared" si="0"/>
        <v>2738587.8400000003</v>
      </c>
    </row>
    <row r="46" spans="1:10" ht="23.25" customHeight="1" x14ac:dyDescent="0.25">
      <c r="A46" s="247">
        <v>45014</v>
      </c>
      <c r="B46" s="249" t="s">
        <v>159</v>
      </c>
      <c r="C46" s="149">
        <v>60574.6</v>
      </c>
      <c r="D46" s="192"/>
      <c r="E46" s="100"/>
      <c r="F46" s="183">
        <f t="shared" si="0"/>
        <v>2799162.4400000004</v>
      </c>
    </row>
    <row r="47" spans="1:10" ht="23.25" customHeight="1" x14ac:dyDescent="0.25">
      <c r="A47" s="247"/>
      <c r="B47" s="249"/>
      <c r="C47" s="149"/>
      <c r="D47" s="192"/>
      <c r="E47" s="100"/>
      <c r="F47" s="183">
        <f t="shared" si="0"/>
        <v>2799162.4400000004</v>
      </c>
    </row>
    <row r="48" spans="1:10" ht="23.25" customHeight="1" x14ac:dyDescent="0.25">
      <c r="A48" s="247"/>
      <c r="B48" s="249"/>
      <c r="C48" s="149"/>
      <c r="D48" s="192"/>
      <c r="E48" s="100"/>
      <c r="F48" s="183">
        <f t="shared" si="0"/>
        <v>2799162.4400000004</v>
      </c>
    </row>
    <row r="49" spans="1:6" ht="23.25" customHeight="1" x14ac:dyDescent="0.25">
      <c r="A49" s="247"/>
      <c r="B49" s="249"/>
      <c r="C49" s="149"/>
      <c r="D49" s="192"/>
      <c r="E49" s="100"/>
      <c r="F49" s="183">
        <f t="shared" si="0"/>
        <v>2799162.4400000004</v>
      </c>
    </row>
    <row r="50" spans="1:6" ht="23.25" customHeight="1" x14ac:dyDescent="0.25">
      <c r="A50" s="247"/>
      <c r="B50" s="249"/>
      <c r="C50" s="149"/>
      <c r="D50" s="192"/>
      <c r="E50" s="100"/>
      <c r="F50" s="183">
        <f t="shared" si="0"/>
        <v>2799162.4400000004</v>
      </c>
    </row>
    <row r="51" spans="1:6" ht="23.25" customHeight="1" x14ac:dyDescent="0.25">
      <c r="A51" s="247"/>
      <c r="B51" s="249"/>
      <c r="C51" s="149"/>
      <c r="D51" s="192"/>
      <c r="E51" s="100"/>
      <c r="F51" s="183">
        <f t="shared" si="0"/>
        <v>2799162.4400000004</v>
      </c>
    </row>
    <row r="52" spans="1:6" ht="23.25" customHeight="1" x14ac:dyDescent="0.25">
      <c r="A52" s="247"/>
      <c r="B52" s="249"/>
      <c r="C52" s="149"/>
      <c r="D52" s="192"/>
      <c r="E52" s="100"/>
      <c r="F52" s="183">
        <f t="shared" si="0"/>
        <v>2799162.4400000004</v>
      </c>
    </row>
    <row r="53" spans="1:6" ht="23.25" customHeight="1" x14ac:dyDescent="0.25">
      <c r="A53" s="247"/>
      <c r="B53" s="249"/>
      <c r="C53" s="149"/>
      <c r="D53" s="192"/>
      <c r="E53" s="100"/>
      <c r="F53" s="183">
        <f t="shared" si="0"/>
        <v>2799162.4400000004</v>
      </c>
    </row>
    <row r="54" spans="1:6" ht="23.25" customHeight="1" x14ac:dyDescent="0.25">
      <c r="A54" s="247"/>
      <c r="B54" s="249"/>
      <c r="C54" s="149"/>
      <c r="D54" s="192"/>
      <c r="E54" s="100"/>
      <c r="F54" s="183">
        <f t="shared" si="0"/>
        <v>2799162.4400000004</v>
      </c>
    </row>
    <row r="55" spans="1:6" ht="23.25" customHeight="1" x14ac:dyDescent="0.25">
      <c r="A55" s="247"/>
      <c r="B55" s="249"/>
      <c r="C55" s="149"/>
      <c r="D55" s="192"/>
      <c r="E55" s="100"/>
      <c r="F55" s="183">
        <f t="shared" si="0"/>
        <v>2799162.4400000004</v>
      </c>
    </row>
    <row r="56" spans="1:6" ht="23.25" customHeight="1" x14ac:dyDescent="0.25">
      <c r="A56" s="247"/>
      <c r="B56" s="249"/>
      <c r="C56" s="149"/>
      <c r="D56" s="192"/>
      <c r="E56" s="100"/>
      <c r="F56" s="183">
        <f t="shared" si="0"/>
        <v>2799162.4400000004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2799162.4400000004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2799162.4400000004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2799162.4400000004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2799162.4400000004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2799162.4400000004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2799162.4400000004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2799162.4400000004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2799162.4400000004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2799162.4400000004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2799162.4400000004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2799162.4400000004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2799162.4400000004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2799162.4400000004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2799162.4400000004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2799162.4400000004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2799162.4400000004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2799162.4400000004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2799162.4400000004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2799162.4400000004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2799162.4400000004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2799162.4400000004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2799162.4400000004</v>
      </c>
    </row>
    <row r="79" spans="1:6" ht="19.5" thickBot="1" x14ac:dyDescent="0.35">
      <c r="A79" s="201"/>
      <c r="B79" s="202"/>
      <c r="C79" s="203">
        <f>SUM(C3:C78)</f>
        <v>2799162.4400000004</v>
      </c>
      <c r="D79" s="175"/>
      <c r="E79" s="204">
        <f>SUM(E3:E78)</f>
        <v>0</v>
      </c>
      <c r="F79" s="205">
        <f>F78</f>
        <v>2799162.4400000004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29" sqref="C2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  E N E R O    2 0 2 3     </vt:lpstr>
      <vt:lpstr> COMPRAS   ENERO  2023   </vt:lpstr>
      <vt:lpstr>  F E B R E R O    2 0 2 3    </vt:lpstr>
      <vt:lpstr>COMPRAS FEBRERO 2023   </vt:lpstr>
      <vt:lpstr>  M A R Z O    2 0 2 3       </vt:lpstr>
      <vt:lpstr>  COMPRAS    MARZO  2023     </vt:lpstr>
      <vt:lpstr>inventario de  marzo 2023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2023-02-07T18:40:23Z</dcterms:created>
  <dcterms:modified xsi:type="dcterms:W3CDTF">2023-05-04T21:56:25Z</dcterms:modified>
</cp:coreProperties>
</file>