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38" l="1"/>
  <c r="Q14" i="38"/>
  <c r="Q20" i="38" l="1"/>
  <c r="Q134" i="38" l="1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 s="1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<sst xmlns="http://schemas.openxmlformats.org/spreadsheetml/2006/main" count="4447" uniqueCount="749">
  <si>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</si>
  <si>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</si>
  <si>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</si>
  <si>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</si>
  <si>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</si>
  <si>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</si>
  <si>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</si>
  <si>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</si>
  <si>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</si>
  <si>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</si>
  <si>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</si>
  <si>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</si>
  <si>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</si>
  <si>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</si>
  <si>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</si>
  <si>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</si>
  <si>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</si>
  <si>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</si>
  <si>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</si>
  <si>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</si>
  <si>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</si>
  <si>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</si>
  <si>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</si>
  <si>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</si>
  <si>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</si>
  <si>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</si>
  <si>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</si>
  <si>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</si>
  <si>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</si>
  <si>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</si>
  <si>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</si>
  <si>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</si>
  <si>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</si>
  <si>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</si>
  <si>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</si>
  <si>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</si>
  <si>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</si>
  <si>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</si>
  <si>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</si>
  <si>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</si>
  <si>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</si>
  <si>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</si>
  <si>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</si>
  <si>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</si>
  <si>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</si>
  <si>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</si>
  <si>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</si>
  <si>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</si>
  <si>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</si>
  <si>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</si>
  <si>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</si>
  <si>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</si>
  <si>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</si>
  <si>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</si>
  <si>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</si>
  <si>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</si>
  <si>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</si>
  <si>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</si>
  <si>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</si>
  <si>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</si>
  <si>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</si>
  <si>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</si>
  <si>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</si>
  <si>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</si>
  <si>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</si>
  <si>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</si>
  <si>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</si>
  <si>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</si>
  <si>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</si>
  <si>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</si>
  <si>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</si>
  <si>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</si>
  <si>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</si>
  <si>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</si>
  <si>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</si>
  <si>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</si>
  <si>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</si>
  <si>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</si>
  <si>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</si>
  <si>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</si>
  <si>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</si>
  <si>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</si>
  <si>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</si>
  <si>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</si>
  <si>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</si>
  <si>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</si>
  <si>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</si>
  <si>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</si>
  <si>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</si>
  <si>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</si>
  <si>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</si>
  <si>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</si>
  <si>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</si>
  <si>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</si>
  <si>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</si>
  <si>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</si>
  <si>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</si>
  <si>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</si>
  <si>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</si>
  <si>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</si>
  <si>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</si>
  <si>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</si>
  <si>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</si>
  <si>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</si>
  <si>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</si>
  <si>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</si>
  <si>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</si>
  <si>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</si>
  <si>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</si>
  <si>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</si>
  <si>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</si>
  <si>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</si>
  <si>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</si>
  <si>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</si>
  <si>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</si>
  <si>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</si>
  <si>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</si>
  <si>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</si>
  <si>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</si>
  <si>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</si>
  <si>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</si>
  <si>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</si>
  <si>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</si>
  <si>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</si>
  <si>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</si>
  <si>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</si>
  <si>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</si>
  <si>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</si>
  <si>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</si>
  <si>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</si>
  <si>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</si>
  <si>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</si>
  <si>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</si>
  <si>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</si>
  <si>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</si>
  <si>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</si>
  <si>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</si>
  <si>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</si>
  <si>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</si>
  <si>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</si>
  <si>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</si>
  <si>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</si>
  <si>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</si>
  <si>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</si>
  <si>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</si>
  <si>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</si>
  <si>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</si>
  <si>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</si>
  <si>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</si>
  <si>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</si>
  <si>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</si>
  <si>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</si>
  <si>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</si>
  <si>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</si>
  <si>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</si>
  <si>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</si>
  <si>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</si>
  <si>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</si>
  <si>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</si>
  <si>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</si>
  <si>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</si>
  <si>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</si>
  <si>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</si>
  <si>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</si>
  <si>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</si>
  <si>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</si>
  <si>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</si>
  <si>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</si>
  <si>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</si>
  <si>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</si>
  <si>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</si>
  <si>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</si>
  <si>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</si>
  <si>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</si>
  <si>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</si>
  <si>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</si>
  <si>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</si>
  <si>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</si>
  <si>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</si>
  <si>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</si>
  <si>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</si>
  <si>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</si>
  <si>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</si>
  <si>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</si>
  <si>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</si>
  <si>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</si>
  <si>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</si>
  <si>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</si>
  <si>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</si>
  <si>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</si>
  <si>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</si>
  <si>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</si>
  <si>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</si>
  <si>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</si>
  <si>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</si>
  <si>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</si>
  <si>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</si>
  <si>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</si>
  <si>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</si>
  <si>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</si>
  <si>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</si>
  <si>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</si>
  <si>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</si>
  <si>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</si>
  <si>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</si>
  <si>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</si>
  <si>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</si>
  <si>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</si>
  <si>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</si>
  <si>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</si>
  <si>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</si>
  <si>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</si>
  <si>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</si>
  <si>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</si>
  <si>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</si>
  <si>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</si>
  <si>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</si>
  <si>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</si>
  <si>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</si>
  <si>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</si>
  <si>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</si>
  <si>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</si>
  <si>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</si>
  <si>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</si>
  <si>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</si>
  <si>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</si>
  <si>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</si>
  <si>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</si>
  <si>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</si>
  <si>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</si>
  <si>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</si>
  <si>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</si>
  <si>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</si>
  <si>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</si>
  <si>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</si>
  <si>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</si>
  <si>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</si>
  <si>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</si>
  <si>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</si>
  <si>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</si>
  <si>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</si>
  <si>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</si>
  <si>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</si>
  <si>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</si>
  <si>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</si>
  <si>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</si>
  <si>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</si>
  <si>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</si>
  <si>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</si>
  <si>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</si>
  <si>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</si>
  <si>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</si>
  <si>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</si>
  <si>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</si>
  <si>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</si>
  <si>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</si>
  <si>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</si>
  <si>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</si>
  <si>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</si>
  <si>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</si>
  <si>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</si>
  <si>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</si>
  <si>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</si>
  <si>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</si>
  <si>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</si>
  <si>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</si>
  <si>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</si>
  <si>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</si>
  <si>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</si>
  <si>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</si>
  <si>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</si>
  <si>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</si>
  <si>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</si>
  <si>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</si>
  <si>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</si>
  <si>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</si>
  <si>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</si>
  <si>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</si>
  <si>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</si>
  <si>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</si>
  <si>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</si>
  <si>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</si>
  <si>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</si>
  <si>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</si>
  <si>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</si>
  <si>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</si>
  <si>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</si>
  <si>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</si>
  <si>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</si>
  <si>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</si>
  <si>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</si>
  <si>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</si>
  <si>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</si>
  <si>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</si>
  <si>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</si>
  <si>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</si>
  <si>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</si>
  <si>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</si>
  <si>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</si>
  <si>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</si>
  <si>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</si>
  <si>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</si>
  <si>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</si>
  <si>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</si>
  <si>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</si>
  <si>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</si>
  <si>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</si>
  <si>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</si>
  <si>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</si>
  <si>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</si>
  <si>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</si>
  <si>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</si>
  <si>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</si>
  <si>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</si>
  <si>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</si>
  <si>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</si>
  <si>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</si>
  <si>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</si>
  <si>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</si>
  <si>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</si>
  <si>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</si>
  <si>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</si>
  <si>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</si>
  <si>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</si>
  <si>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</si>
  <si>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</si>
  <si>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</si>
  <si>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</si>
  <si>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</si>
  <si>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</si>
  <si>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</si>
  <si>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</si>
  <si>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</si>
  <si>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</si>
  <si>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</si>
  <si>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</si>
  <si>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</si>
  <si>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</si>
  <si>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</si>
  <si>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</si>
  <si>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</si>
  <si>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</si>
  <si>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</si>
  <si>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</si>
  <si>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</si>
  <si>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</si>
  <si>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</si>
  <si>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</si>
  <si>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</si>
  <si>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</si>
  <si>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</si>
  <si>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</si>
  <si>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</si>
  <si>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</si>
  <si>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</si>
  <si>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</si>
  <si>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</si>
  <si>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</si>
  <si>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</si>
  <si>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</si>
  <si>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</si>
  <si>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</si>
  <si>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</si>
  <si>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</si>
  <si>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</si>
  <si>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</si>
  <si>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</si>
  <si>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</si>
  <si>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</si>
  <si>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</si>
  <si>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</si>
  <si>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</si>
  <si>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</si>
  <si>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</si>
  <si>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</si>
  <si>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</si>
  <si>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</si>
  <si>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</si>
  <si>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</si>
  <si>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</si>
  <si>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</si>
  <si>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</si>
  <si>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</si>
  <si>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</si>
  <si>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</si>
  <si>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</si>
  <si>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</si>
  <si>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</si>
  <si>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</si>
  <si>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</si>
  <si>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</si>
  <si>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</si>
  <si>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</si>
  <si>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</si>
  <si>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</si>
  <si>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</si>
  <si>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</si>
  <si>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</si>
  <si>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</si>
  <si>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</si>
  <si>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</si>
  <si>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</si>
  <si>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</si>
  <si>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</si>
  <si>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</si>
  <si>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</si>
  <si>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</si>
  <si>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</si>
  <si>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</si>
  <si>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</si>
  <si>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</si>
  <si>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</si>
  <si>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</si>
  <si>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</si>
  <si>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</si>
  <si>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</si>
  <si>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</si>
  <si>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</si>
  <si>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</si>
  <si>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</si>
  <si>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</si>
  <si>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</si>
  <si>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</si>
  <si>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</si>
  <si>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</si>
  <si>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</si>
  <si>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</si>
  <si>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</si>
  <si>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</si>
  <si>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</si>
  <si>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</si>
  <si>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</si>
  <si>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</si>
  <si>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</si>
  <si>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</si>
  <si>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</si>
  <si>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</si>
  <si>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</si>
  <si>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</si>
  <si>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</si>
  <si>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</si>
  <si>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</si>
  <si>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</si>
  <si>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</si>
  <si>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</si>
  <si>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</si>
  <si>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</si>
  <si>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</si>
  <si>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</si>
  <si>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</si>
  <si>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</si>
  <si>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</si>
  <si>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</si>
  <si>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</si>
  <si>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</si>
  <si>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</si>
  <si>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</si>
  <si>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</si>
  <si>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</si>
  <si>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</si>
  <si>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</si>
  <si>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</si>
  <si>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</si>
  <si>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</si>
  <si>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</si>
  <si>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</si>
  <si>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</si>
  <si>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</si>
  <si>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</si>
  <si>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</si>
  <si>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</si>
  <si>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</si>
  <si>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</si>
  <si>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</si>
  <si>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</si>
  <si>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</si>
  <si>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</si>
  <si>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</si>
  <si>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</si>
  <si>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</si>
  <si>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</si>
  <si>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</si>
  <si>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</si>
  <si>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</si>
  <si>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</si>
  <si>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</si>
  <si>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</si>
  <si>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</si>
  <si>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</si>
  <si>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</si>
  <si>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</si>
  <si>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</si>
  <si>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</si>
  <si>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</si>
  <si>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</si>
  <si>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</si>
  <si>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</si>
  <si>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</si>
  <si>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</si>
  <si>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</si>
  <si>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</si>
  <si>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</si>
  <si>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</si>
  <si>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</si>
  <si>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</si>
  <si>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</si>
  <si>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</si>
  <si>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</si>
  <si>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</si>
  <si>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</si>
  <si>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</si>
  <si>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</si>
  <si>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</si>
  <si>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</si>
  <si>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</si>
  <si>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</si>
  <si>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</si>
  <si>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</si>
  <si>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</si>
  <si>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</si>
  <si>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</si>
  <si>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</si>
  <si>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</si>
  <si>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</si>
  <si>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</si>
  <si>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</si>
  <si>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</si>
  <si>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</si>
  <si>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</si>
  <si>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</si>
  <si>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</si>
  <si>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</si>
  <si>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</si>
  <si>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</si>
  <si>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</si>
  <si>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</si>
  <si>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</si>
  <si>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</si>
  <si>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</si>
  <si>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</si>
  <si>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</si>
  <si>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</si>
  <si>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</si>
  <si>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</si>
  <si>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</si>
  <si>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</si>
  <si>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</si>
  <si>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</si>
  <si>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</si>
  <si>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</si>
  <si>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</si>
  <si>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</si>
  <si>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</si>
  <si>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</si>
  <si>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</si>
  <si>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</si>
  <si>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</si>
  <si>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</si>
  <si>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</si>
  <si>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</si>
  <si>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</si>
  <si>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</si>
  <si>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</si>
  <si>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</si>
  <si>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</si>
  <si>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</si>
  <si>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</si>
  <si>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</si>
  <si>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</si>
  <si>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</si>
  <si>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</si>
  <si>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</si>
  <si>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</si>
  <si>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</si>
  <si>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</si>
  <si>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</si>
  <si>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</si>
  <si>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</si>
  <si>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</si>
  <si>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</si>
  <si>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</si>
  <si>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</si>
  <si>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</si>
  <si>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</si>
  <si>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</si>
  <si>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</si>
  <si>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</si>
  <si>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</si>
  <si>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</si>
  <si>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</si>
  <si>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</si>
  <si>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</si>
  <si>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</si>
  <si>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</si>
  <si>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</si>
  <si>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</si>
  <si>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</si>
  <si>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</si>
  <si>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</si>
  <si>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</si>
  <si>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</si>
  <si>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</si>
  <si>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</si>
  <si>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</si>
  <si>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</si>
  <si>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</si>
  <si>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</si>
  <si>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</si>
  <si>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</si>
  <si>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</si>
  <si>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</si>
  <si>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</si>
  <si>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</si>
  <si>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</si>
  <si>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</si>
  <si>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</si>
  <si>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</si>
  <si>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</si>
  <si>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</si>
  <si>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</si>
  <si>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</si>
  <si>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</si>
  <si>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</si>
  <si>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</si>
  <si>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</si>
  <si>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</si>
  <si>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</si>
  <si>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</si>
  <si>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</si>
  <si>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</si>
  <si>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</si>
  <si>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</si>
  <si>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</si>
  <si>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</si>
  <si>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</si>
  <si>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</si>
  <si>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</si>
  <si>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</si>
  <si>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</si>
  <si>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</si>
  <si>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</si>
  <si>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</si>
  <si>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</si>
  <si>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</si>
  <si>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</si>
  <si>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</si>
  <si>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</si>
  <si>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</si>
  <si>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</si>
  <si>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</si>
  <si>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</si>
  <si>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</si>
  <si>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</si>
  <si>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</si>
  <si>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</si>
  <si>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</si>
  <si>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</si>
  <si>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</si>
  <si>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</si>
  <si>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</si>
  <si>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</si>
  <si>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</si>
  <si>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</si>
  <si>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</si>
  <si>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</si>
  <si>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</si>
  <si>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</si>
  <si>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</si>
  <si>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</si>
  <si>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</si>
  <si>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</si>
  <si>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</si>
  <si>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</si>
  <si>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</si>
  <si>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</si>
  <si>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</si>
  <si>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</si>
  <si>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</si>
  <si>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</si>
  <si>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</si>
  <si>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</si>
  <si>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</si>
  <si>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</si>
  <si>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</si>
  <si>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</si>
  <si>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</si>
  <si>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</si>
  <si>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</si>
  <si>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</si>
  <si>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</si>
  <si>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</si>
  <si>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</si>
  <si>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</si>
  <si>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</si>
  <si>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</si>
  <si>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</si>
  <si>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</si>
  <si>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</si>
  <si>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</si>
  <si>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</si>
  <si>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</si>
  <si>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</si>
  <si>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</si>
  <si>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</si>
  <si>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</si>
  <si>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</si>
  <si>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</si>
  <si>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</si>
  <si>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</si>
  <si>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</si>
  <si>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</si>
  <si>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</si>
  <si>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</si>
  <si>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</si>
  <si>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</si>
  <si>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</si>
  <si>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</si>
  <si>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</si>
  <si>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</si>
  <si>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</si>
  <si>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</si>
  <si>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</si>
  <si>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</si>
  <si>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</si>
  <si>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</si>
  <si>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</si>
  <si>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</si>
  <si>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</si>
  <si>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</si>
  <si>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</si>
  <si>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</si>
  <si>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</si>
  <si>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</si>
  <si>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</si>
  <si>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</si>
  <si>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</si>
  <si>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</si>
  <si>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</si>
  <si>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</si>
  <si>
    <t xml:space="preserve">CUSTODIA </t>
  </si>
  <si>
    <t xml:space="preserve">Transfer B 10-Jul-23   ZAVALETA </t>
  </si>
  <si>
    <t xml:space="preserve">Transfer B 18-Jul-23  ZAVALETA </t>
  </si>
  <si>
    <t xml:space="preserve">Transfer B   17-Jul-23   ZAVALETA </t>
  </si>
  <si>
    <t xml:space="preserve">Transfer B 3-Jul-23  Herradura </t>
  </si>
  <si>
    <t xml:space="preserve">Transfer B 10-Jul-23   Herradura </t>
  </si>
  <si>
    <t xml:space="preserve">Transfer B 12-Jul-23-  Herradura </t>
  </si>
  <si>
    <t xml:space="preserve">Transfer B 17-Jul-23   Herradura </t>
  </si>
  <si>
    <t xml:space="preserve">Transfer B 24-Jul-23   Herradura </t>
  </si>
  <si>
    <t xml:space="preserve">Transfer B 25-Jul-23  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</si>
</sst>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99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1" fontId="81" fillId="0" borderId="87" xfId="0" applyNumberFormat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center"/>
    </xf>
    <xf numFmtId="44" fontId="88" fillId="2" borderId="33" xfId="1" applyFont="1" applyFill="1" applyBorder="1" applyAlignment="1">
      <alignment horizontal="center"/>
    </xf>
    <xf numFmtId="0" fontId="106" fillId="0" borderId="33" xfId="0" applyFont="1" applyFill="1" applyBorder="1" applyAlignment="1">
      <alignment horizontal="center" vertical="center"/>
    </xf>
    <xf numFmtId="44" fontId="40" fillId="2" borderId="98" xfId="1" applyFont="1" applyFill="1" applyBorder="1" applyAlignment="1">
      <alignment vertical="center"/>
    </xf>
    <xf numFmtId="44" fontId="7" fillId="2" borderId="33" xfId="1" applyFont="1" applyFill="1" applyBorder="1" applyAlignment="1">
      <alignment horizontal="right"/>
    </xf>
    <xf numFmtId="44" fontId="7" fillId="2" borderId="33" xfId="1" applyFont="1" applyFill="1" applyBorder="1" applyAlignment="1">
      <alignment horizontal="center" wrapText="1"/>
    </xf>
    <xf numFmtId="44" fontId="28" fillId="2" borderId="33" xfId="1" applyFont="1" applyFill="1" applyBorder="1" applyAlignment="1"/>
    <xf numFmtId="44" fontId="85" fillId="33" borderId="98" xfId="1" applyFont="1" applyFill="1" applyBorder="1" applyAlignment="1"/>
    <xf numFmtId="44" fontId="85" fillId="33" borderId="107" xfId="1" applyFont="1" applyFill="1" applyBorder="1" applyAlignment="1">
      <alignment horizontal="center" vertical="center"/>
    </xf>
    <xf numFmtId="167" fontId="17" fillId="22" borderId="33" xfId="0" applyNumberFormat="1" applyFont="1" applyFill="1" applyBorder="1" applyAlignment="1">
      <alignment wrapText="1"/>
    </xf>
    <xf numFmtId="164" fontId="7" fillId="22" borderId="33" xfId="0" applyNumberFormat="1" applyFont="1" applyFill="1" applyBorder="1"/>
    <xf numFmtId="1" fontId="28" fillId="22" borderId="33" xfId="0" applyNumberFormat="1" applyFont="1" applyFill="1" applyBorder="1" applyAlignment="1">
      <alignment horizontal="center" vertical="center"/>
    </xf>
    <xf numFmtId="167" fontId="22" fillId="22" borderId="33" xfId="0" applyNumberFormat="1" applyFont="1" applyFill="1" applyBorder="1" applyAlignment="1">
      <alignment wrapText="1"/>
    </xf>
    <xf numFmtId="44" fontId="7" fillId="22" borderId="33" xfId="1" applyFont="1" applyFill="1" applyBorder="1" applyAlignment="1">
      <alignment horizontal="right"/>
    </xf>
    <xf numFmtId="0" fontId="22" fillId="22" borderId="33" xfId="0" applyFont="1" applyFill="1" applyBorder="1" applyAlignment="1">
      <alignment horizontal="left" wrapText="1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8" fillId="2" borderId="74" xfId="0" applyNumberFormat="1" applyFont="1" applyFill="1" applyBorder="1" applyAlignment="1">
      <alignment horizontal="center" vertical="center"/>
    </xf>
    <xf numFmtId="167" fontId="28" fillId="2" borderId="87" xfId="0" applyNumberFormat="1" applyFont="1" applyFill="1" applyBorder="1" applyAlignment="1">
      <alignment horizontal="center" vertical="center"/>
    </xf>
    <xf numFmtId="167" fontId="28" fillId="2" borderId="68" xfId="0" applyNumberFormat="1" applyFont="1" applyFill="1" applyBorder="1" applyAlignment="1">
      <alignment horizontal="center" vertical="center"/>
    </xf>
    <xf numFmtId="164" fontId="28" fillId="2" borderId="74" xfId="0" applyNumberFormat="1" applyFont="1" applyFill="1" applyBorder="1" applyAlignment="1">
      <alignment horizontal="center" vertical="center"/>
    </xf>
    <xf numFmtId="164" fontId="28" fillId="2" borderId="87" xfId="0" applyNumberFormat="1" applyFont="1" applyFill="1" applyBorder="1" applyAlignment="1">
      <alignment horizontal="center" vertical="center"/>
    </xf>
    <xf numFmtId="164" fontId="28" fillId="2" borderId="68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15" fillId="0" borderId="48" xfId="0" applyNumberFormat="1" applyFont="1" applyFill="1" applyBorder="1" applyAlignment="1">
      <alignment horizontal="center" vertical="center" wrapText="1"/>
    </xf>
    <xf numFmtId="168" fontId="15" fillId="0" borderId="51" xfId="0" applyNumberFormat="1" applyFont="1" applyFill="1" applyBorder="1" applyAlignment="1">
      <alignment horizontal="center" vertical="center" wrapText="1"/>
    </xf>
    <xf numFmtId="168" fontId="15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/>
    <xf numFmtId="166" fontId="17" fillId="2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 vertical="center"/>
    </xf>
    <xf numFmtId="0" fontId="22" fillId="2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00"/>
      <color rgb="FF3333FF"/>
      <color rgb="FF99FFCC"/>
      <color rgb="FF00FF00"/>
      <color rgb="FFFF33CC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0" formatCode="&quot;$&quot;#,##0.00">
                  <c:v>12274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6" formatCode="&quot;$&quot;#,##0.00">
                  <c:v>12434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0" formatCode="&quot;$&quot;#,##0.00">
                  <c:v>12434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0">
                  <c:v>2194705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6">
                  <c:v>2196214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0">
                  <c:v>2199240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4292</c:v>
                </c:pt>
                <c:pt idx="2">
                  <c:v>4930</c:v>
                </c:pt>
                <c:pt idx="3">
                  <c:v>4930</c:v>
                </c:pt>
                <c:pt idx="4">
                  <c:v>4408</c:v>
                </c:pt>
                <c:pt idx="5">
                  <c:v>4901</c:v>
                </c:pt>
                <c:pt idx="6">
                  <c:v>4901</c:v>
                </c:pt>
                <c:pt idx="7">
                  <c:v>4959</c:v>
                </c:pt>
                <c:pt idx="8">
                  <c:v>5104</c:v>
                </c:pt>
                <c:pt idx="9">
                  <c:v>4350</c:v>
                </c:pt>
                <c:pt idx="10">
                  <c:v>4640</c:v>
                </c:pt>
                <c:pt idx="11">
                  <c:v>4611</c:v>
                </c:pt>
                <c:pt idx="12">
                  <c:v>5104</c:v>
                </c:pt>
                <c:pt idx="13">
                  <c:v>5249</c:v>
                </c:pt>
                <c:pt idx="14">
                  <c:v>5046</c:v>
                </c:pt>
                <c:pt idx="15">
                  <c:v>5336</c:v>
                </c:pt>
                <c:pt idx="16">
                  <c:v>5423</c:v>
                </c:pt>
                <c:pt idx="17">
                  <c:v>5336</c:v>
                </c:pt>
                <c:pt idx="18">
                  <c:v>5423</c:v>
                </c:pt>
                <c:pt idx="19">
                  <c:v>5394</c:v>
                </c:pt>
                <c:pt idx="20">
                  <c:v>5394</c:v>
                </c:pt>
                <c:pt idx="21">
                  <c:v>5394</c:v>
                </c:pt>
                <c:pt idx="22">
                  <c:v>0</c:v>
                </c:pt>
                <c:pt idx="23">
                  <c:v>4756</c:v>
                </c:pt>
                <c:pt idx="24">
                  <c:v>5133</c:v>
                </c:pt>
                <c:pt idx="25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0">
                  <c:v>738238.40789999999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6">
                  <c:v>874801.73199999996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0">
                  <c:v>871897.68950000009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729120.28960000002</c:v>
                </c:pt>
                <c:pt idx="2">
                  <c:v>832173.69760000007</c:v>
                </c:pt>
                <c:pt idx="3">
                  <c:v>845699.86560000002</c:v>
                </c:pt>
                <c:pt idx="4">
                  <c:v>757237.81280000007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848153.85629999998</c:v>
                </c:pt>
                <c:pt idx="8">
                  <c:v>868718.26509999996</c:v>
                </c:pt>
                <c:pt idx="9">
                  <c:v>743001.49359999993</c:v>
                </c:pt>
                <c:pt idx="10">
                  <c:v>787632.40789999999</c:v>
                </c:pt>
                <c:pt idx="11">
                  <c:v>779287.8905000001</c:v>
                </c:pt>
                <c:pt idx="12">
                  <c:v>879528.60930000013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929778.73199999996</c:v>
                </c:pt>
                <c:pt idx="17">
                  <c:v>914699.28125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921451.68950000009</c:v>
                </c:pt>
                <c:pt idx="21">
                  <c:v>927635.18229999999</c:v>
                </c:pt>
                <c:pt idx="22">
                  <c:v>917586.72</c:v>
                </c:pt>
                <c:pt idx="23">
                  <c:v>814213.69140000001</c:v>
                </c:pt>
                <c:pt idx="24">
                  <c:v>879759.90891</c:v>
                </c:pt>
                <c:pt idx="25">
                  <c:v>855205.02289999998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39.13526994137645</c:v>
                </c:pt>
                <c:pt idx="2">
                  <c:v>43.996111236535889</c:v>
                </c:pt>
                <c:pt idx="3">
                  <c:v>44.078838234605847</c:v>
                </c:pt>
                <c:pt idx="4">
                  <c:v>44.337382156377075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44.724645187936694</c:v>
                </c:pt>
                <c:pt idx="8">
                  <c:v>45.585727567844927</c:v>
                </c:pt>
                <c:pt idx="9">
                  <c:v>39.829513333155091</c:v>
                </c:pt>
                <c:pt idx="10">
                  <c:v>45.647894329300733</c:v>
                </c:pt>
                <c:pt idx="11">
                  <c:v>45.176809954882003</c:v>
                </c:pt>
                <c:pt idx="12">
                  <c:v>46.533211695826175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48.934711990461835</c:v>
                </c:pt>
                <c:pt idx="17">
                  <c:v>48.263867921796177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48.866269078200745</c:v>
                </c:pt>
                <c:pt idx="21">
                  <c:v>48.915967325695824</c:v>
                </c:pt>
                <c:pt idx="22">
                  <c:v>48.000477082265299</c:v>
                </c:pt>
                <c:pt idx="23">
                  <c:v>47.939485502094634</c:v>
                </c:pt>
                <c:pt idx="24">
                  <c:v>46.092582137984039</c:v>
                </c:pt>
                <c:pt idx="25">
                  <c:v>45.667797040135341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L69" activePane="bottomRight" state="frozen"/>
      <selection pane="topRight" activeCell="B1" sqref="B1"/>
      <selection pane="bottomLeft" activeCell="A3" sqref="A3"/>
      <selection pane="bottomRight" activeCell="Q103" sqref="Q10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8" bestFit="1" customWidth="1"/>
    <col min="7" max="7" width="7.28515625" style="12" customWidth="1"/>
    <col min="8" max="8" width="14.7109375" style="878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29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1" t="s">
        <v>308</v>
      </c>
      <c r="C1" s="458"/>
      <c r="D1" s="459"/>
      <c r="E1" s="460"/>
      <c r="F1" s="858"/>
      <c r="G1" s="461"/>
      <c r="H1" s="858"/>
      <c r="I1" s="462"/>
      <c r="J1" s="463"/>
      <c r="K1" s="1590" t="s">
        <v>26</v>
      </c>
      <c r="L1" s="533"/>
      <c r="M1" s="1592" t="s">
        <v>27</v>
      </c>
      <c r="N1" s="678"/>
      <c r="P1" s="776" t="s">
        <v>38</v>
      </c>
      <c r="Q1" s="1588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59" t="s">
        <v>3</v>
      </c>
      <c r="G2" s="66" t="s">
        <v>8</v>
      </c>
      <c r="H2" s="879" t="s">
        <v>5</v>
      </c>
      <c r="I2" s="256" t="s">
        <v>6</v>
      </c>
      <c r="K2" s="1591"/>
      <c r="L2" s="534" t="s">
        <v>29</v>
      </c>
      <c r="M2" s="1593"/>
      <c r="N2" s="679" t="s">
        <v>29</v>
      </c>
      <c r="O2" s="1030" t="s">
        <v>30</v>
      </c>
      <c r="P2" s="777" t="s">
        <v>39</v>
      </c>
      <c r="Q2" s="1589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0">
        <f>PIERNA!F3</f>
        <v>0</v>
      </c>
      <c r="G3" s="97">
        <f>PIERNA!G3</f>
        <v>0</v>
      </c>
      <c r="H3" s="880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1"/>
      <c r="P3" s="373"/>
      <c r="Q3" s="230"/>
      <c r="R3" s="541"/>
      <c r="S3" s="903">
        <f t="shared" ref="S3:S31" si="0">Q3+M3+K3+P3</f>
        <v>0</v>
      </c>
      <c r="T3" s="903" t="e">
        <f>S3/H3</f>
        <v>#DIV/0!</v>
      </c>
    </row>
    <row r="4" spans="1:29" s="148" customFormat="1" ht="35.25" customHeight="1" x14ac:dyDescent="0.3">
      <c r="A4" s="97">
        <v>1</v>
      </c>
      <c r="B4" s="1132" t="str">
        <f>PIERNA!B4</f>
        <v>SAM FARMS LLC</v>
      </c>
      <c r="C4" s="772" t="str">
        <f>PIERNA!C4</f>
        <v>I B P</v>
      </c>
      <c r="D4" s="1383" t="str">
        <f>PIERNA!D4</f>
        <v>PED. 100014029</v>
      </c>
      <c r="E4" s="1384">
        <f>PIERNA!E4</f>
        <v>45107</v>
      </c>
      <c r="F4" s="861">
        <f>PIERNA!F4</f>
        <v>18900.48</v>
      </c>
      <c r="G4" s="355">
        <f>PIERNA!G4</f>
        <v>20</v>
      </c>
      <c r="H4" s="881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2"/>
      <c r="P4" s="470"/>
      <c r="Q4" s="470"/>
      <c r="R4" s="606"/>
      <c r="S4" s="903">
        <f>Q4</f>
        <v>0</v>
      </c>
      <c r="T4" s="903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1">
        <f>PIERNA!F5</f>
        <v>18730.89</v>
      </c>
      <c r="G5" s="355">
        <f>PIERNA!G5</f>
        <v>23</v>
      </c>
      <c r="H5" s="881">
        <f>PIERNA!H5</f>
        <v>18678.5</v>
      </c>
      <c r="I5" s="558">
        <f>PIERNA!I5</f>
        <v>52.389999999999418</v>
      </c>
      <c r="J5" s="1240" t="s">
        <v>356</v>
      </c>
      <c r="K5" s="360">
        <v>12274</v>
      </c>
      <c r="L5" s="614" t="s">
        <v>421</v>
      </c>
      <c r="M5" s="601">
        <v>37120</v>
      </c>
      <c r="N5" s="604" t="s">
        <v>408</v>
      </c>
      <c r="O5" s="1232">
        <v>203072</v>
      </c>
      <c r="P5" s="470">
        <v>4292</v>
      </c>
      <c r="Q5" s="470">
        <f>39533.76*17.085</f>
        <v>675434.28960000002</v>
      </c>
      <c r="R5" s="606" t="s">
        <v>407</v>
      </c>
      <c r="S5" s="903">
        <f>Q5+M5+K5+P5</f>
        <v>729120.28960000002</v>
      </c>
      <c r="T5" s="903">
        <f>S5/H5+0.1</f>
        <v>39.13526994137645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1">
        <f>PIERNA!F6</f>
        <v>18920.57</v>
      </c>
      <c r="G6" s="355">
        <f>PIERNA!G6</f>
        <v>21</v>
      </c>
      <c r="H6" s="881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421</v>
      </c>
      <c r="M6" s="601">
        <v>37120</v>
      </c>
      <c r="N6" s="604" t="s">
        <v>408</v>
      </c>
      <c r="O6" s="1232">
        <v>2191935</v>
      </c>
      <c r="P6" s="470">
        <v>4930</v>
      </c>
      <c r="Q6" s="1385">
        <f>45560.73*17.12</f>
        <v>779999.69760000007</v>
      </c>
      <c r="R6" s="1386" t="s">
        <v>386</v>
      </c>
      <c r="S6" s="903">
        <f t="shared" si="0"/>
        <v>832173.69760000007</v>
      </c>
      <c r="T6" s="903">
        <f t="shared" ref="T6:T31" si="1">S6/H6+0.1</f>
        <v>43.996111236535889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1">
        <f>PIERNA!F7</f>
        <v>19177.060000000001</v>
      </c>
      <c r="G7" s="355">
        <f>PIERNA!G7</f>
        <v>21</v>
      </c>
      <c r="H7" s="881">
        <f>PIERNA!H7</f>
        <v>19229.7</v>
      </c>
      <c r="I7" s="558">
        <f>PIERNA!I7</f>
        <v>-52.639999999999418</v>
      </c>
      <c r="J7" s="818" t="s">
        <v>358</v>
      </c>
      <c r="K7" s="601">
        <v>12434</v>
      </c>
      <c r="L7" s="614" t="s">
        <v>421</v>
      </c>
      <c r="M7" s="601">
        <v>37120</v>
      </c>
      <c r="N7" s="604" t="s">
        <v>408</v>
      </c>
      <c r="O7" s="1232">
        <v>2191936</v>
      </c>
      <c r="P7" s="470">
        <v>4930</v>
      </c>
      <c r="Q7" s="1387">
        <f>46215.88*17.12</f>
        <v>791215.86560000002</v>
      </c>
      <c r="R7" s="1388" t="s">
        <v>386</v>
      </c>
      <c r="S7" s="903">
        <f t="shared" si="0"/>
        <v>845699.86560000002</v>
      </c>
      <c r="T7" s="903">
        <f t="shared" si="1"/>
        <v>44.078838234605847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1">
        <f>PIERNA!F8</f>
        <v>17027.05</v>
      </c>
      <c r="G8" s="355">
        <f>PIERNA!G8</f>
        <v>19</v>
      </c>
      <c r="H8" s="881">
        <f>PIERNA!H8</f>
        <v>17117.599999999999</v>
      </c>
      <c r="I8" s="558">
        <f>PIERNA!I8</f>
        <v>-90.549999999999272</v>
      </c>
      <c r="J8" s="818" t="s">
        <v>359</v>
      </c>
      <c r="K8" s="601">
        <v>11424</v>
      </c>
      <c r="L8" s="1404" t="s">
        <v>421</v>
      </c>
      <c r="M8" s="601">
        <v>37120</v>
      </c>
      <c r="N8" s="604" t="s">
        <v>422</v>
      </c>
      <c r="O8" s="1233">
        <v>2192417</v>
      </c>
      <c r="P8" s="470">
        <v>4408</v>
      </c>
      <c r="Q8" s="1387">
        <f>41138.19*17.12</f>
        <v>704285.81280000007</v>
      </c>
      <c r="R8" s="1389" t="s">
        <v>386</v>
      </c>
      <c r="S8" s="903">
        <f t="shared" si="0"/>
        <v>757237.81280000007</v>
      </c>
      <c r="T8" s="903">
        <f t="shared" si="1"/>
        <v>44.337382156377075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1">
        <f>PIERNA!F9</f>
        <v>19069.2</v>
      </c>
      <c r="G9" s="355">
        <f>PIERNA!G9</f>
        <v>21</v>
      </c>
      <c r="H9" s="881">
        <f>PIERNA!H9</f>
        <v>19154.3</v>
      </c>
      <c r="I9" s="558">
        <f>PIERNA!I9</f>
        <v>-85.099999999998545</v>
      </c>
      <c r="J9" s="700" t="s">
        <v>363</v>
      </c>
      <c r="K9" s="1406">
        <v>12434</v>
      </c>
      <c r="L9" s="1408" t="s">
        <v>423</v>
      </c>
      <c r="M9" s="1407">
        <v>37120</v>
      </c>
      <c r="N9" s="608" t="s">
        <v>409</v>
      </c>
      <c r="O9" s="1232">
        <v>2192416</v>
      </c>
      <c r="P9" s="470">
        <v>4901</v>
      </c>
      <c r="Q9" s="1387">
        <f>46001.14*17.095</f>
        <v>786389.48829999997</v>
      </c>
      <c r="R9" s="1390" t="s">
        <v>387</v>
      </c>
      <c r="S9" s="903">
        <f>Q9+M9+K9</f>
        <v>835943.48829999997</v>
      </c>
      <c r="T9" s="903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1">
        <f>PIERNA!F10</f>
        <v>19010.97</v>
      </c>
      <c r="G10" s="355">
        <f>PIERNA!G10</f>
        <v>21</v>
      </c>
      <c r="H10" s="881">
        <f>PIERNA!H10</f>
        <v>19103.5</v>
      </c>
      <c r="I10" s="558">
        <f>PIERNA!I10</f>
        <v>-92.529999999998836</v>
      </c>
      <c r="J10" s="700" t="s">
        <v>364</v>
      </c>
      <c r="K10" s="1406">
        <v>11424</v>
      </c>
      <c r="L10" s="1408" t="s">
        <v>423</v>
      </c>
      <c r="M10" s="1407">
        <v>37120</v>
      </c>
      <c r="N10" s="608" t="s">
        <v>409</v>
      </c>
      <c r="O10" s="1232">
        <v>2192418</v>
      </c>
      <c r="P10" s="470">
        <v>4901</v>
      </c>
      <c r="Q10" s="1391">
        <f>45879.14*17.13</f>
        <v>785909.66819999996</v>
      </c>
      <c r="R10" s="1390" t="s">
        <v>388</v>
      </c>
      <c r="S10" s="903">
        <f>Q10+M10+K10</f>
        <v>834453.66819999996</v>
      </c>
      <c r="T10" s="903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1">
        <f>PIERNA!F11</f>
        <v>18866.11</v>
      </c>
      <c r="G11" s="355">
        <f>PIERNA!G11</f>
        <v>21</v>
      </c>
      <c r="H11" s="881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5" t="s">
        <v>424</v>
      </c>
      <c r="M11" s="601">
        <v>37120</v>
      </c>
      <c r="N11" s="608" t="s">
        <v>426</v>
      </c>
      <c r="O11" s="1233">
        <v>2193460</v>
      </c>
      <c r="P11" s="470">
        <v>4959</v>
      </c>
      <c r="Q11" s="1391">
        <f>46574.07*17.09</f>
        <v>795950.85629999998</v>
      </c>
      <c r="R11" s="1390" t="s">
        <v>389</v>
      </c>
      <c r="S11" s="903">
        <f t="shared" si="0"/>
        <v>848153.85629999998</v>
      </c>
      <c r="T11" s="903">
        <f t="shared" si="1"/>
        <v>44.724645187936694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1">
        <f>PIERNA!F12</f>
        <v>19063.169999999998</v>
      </c>
      <c r="G12" s="355">
        <f>PIERNA!G12</f>
        <v>21</v>
      </c>
      <c r="H12" s="881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427</v>
      </c>
      <c r="M12" s="601">
        <v>37120</v>
      </c>
      <c r="N12" s="608" t="s">
        <v>413</v>
      </c>
      <c r="O12" s="1233">
        <v>2193946</v>
      </c>
      <c r="P12" s="470">
        <v>5104</v>
      </c>
      <c r="Q12" s="1391">
        <f>47722.94*17.165</f>
        <v>819164.26509999996</v>
      </c>
      <c r="R12" s="1390" t="s">
        <v>389</v>
      </c>
      <c r="S12" s="903">
        <f>Q12+M12+K12</f>
        <v>868718.26509999996</v>
      </c>
      <c r="T12" s="903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1">
        <f>PIERNA!F13</f>
        <v>18658.54</v>
      </c>
      <c r="G13" s="355">
        <f>PIERNA!G13</f>
        <v>24</v>
      </c>
      <c r="H13" s="881">
        <f>PIERNA!H13</f>
        <v>18701.5</v>
      </c>
      <c r="I13" s="558">
        <f>PIERNA!I13</f>
        <v>-42.959999999999127</v>
      </c>
      <c r="J13" s="1399" t="s">
        <v>367</v>
      </c>
      <c r="K13" s="601">
        <v>11424</v>
      </c>
      <c r="L13" s="614" t="s">
        <v>427</v>
      </c>
      <c r="M13" s="601">
        <v>37120</v>
      </c>
      <c r="N13" s="608" t="s">
        <v>413</v>
      </c>
      <c r="O13" s="1233">
        <v>203077</v>
      </c>
      <c r="P13" s="470">
        <v>4350</v>
      </c>
      <c r="Q13" s="360">
        <f>40404.42*17.08</f>
        <v>690107.49359999993</v>
      </c>
      <c r="R13" s="610" t="s">
        <v>412</v>
      </c>
      <c r="S13" s="903">
        <f t="shared" si="0"/>
        <v>743001.49359999993</v>
      </c>
      <c r="T13" s="903">
        <f t="shared" si="1"/>
        <v>39.829513333155091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2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1">
        <f>PIERNA!F14</f>
        <v>17358.96</v>
      </c>
      <c r="G14" s="355">
        <f>PIERNA!G14</f>
        <v>19</v>
      </c>
      <c r="H14" s="881">
        <f>PIERNA!H14</f>
        <v>17292.400000000001</v>
      </c>
      <c r="I14" s="558">
        <f>PIERNA!I14</f>
        <v>66.559999999997672</v>
      </c>
      <c r="J14" s="1363" t="s">
        <v>368</v>
      </c>
      <c r="K14" s="1781">
        <v>12274</v>
      </c>
      <c r="L14" s="1782" t="s">
        <v>744</v>
      </c>
      <c r="M14" s="1781">
        <v>37120</v>
      </c>
      <c r="N14" s="1783" t="s">
        <v>745</v>
      </c>
      <c r="O14" s="1784">
        <v>2194705</v>
      </c>
      <c r="P14" s="1569">
        <v>4640</v>
      </c>
      <c r="Q14" s="1785">
        <f>43209.74*17.085</f>
        <v>738238.40789999999</v>
      </c>
      <c r="R14" s="1786" t="s">
        <v>743</v>
      </c>
      <c r="S14" s="903">
        <f>Q14+M14+K14</f>
        <v>787632.40789999999</v>
      </c>
      <c r="T14" s="903">
        <f t="shared" si="1"/>
        <v>45.647894329300733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1">
        <f>PIERNA!F15</f>
        <v>17348.32</v>
      </c>
      <c r="G15" s="355">
        <f>PIERNA!G15</f>
        <v>19</v>
      </c>
      <c r="H15" s="881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428</v>
      </c>
      <c r="M15" s="601">
        <v>37120</v>
      </c>
      <c r="N15" s="612" t="s">
        <v>414</v>
      </c>
      <c r="O15" s="1233">
        <v>2194763</v>
      </c>
      <c r="P15" s="470">
        <v>4611</v>
      </c>
      <c r="Q15" s="360">
        <f>43198.41*17.05</f>
        <v>736532.8905000001</v>
      </c>
      <c r="R15" s="613" t="s">
        <v>410</v>
      </c>
      <c r="S15" s="903">
        <f t="shared" si="0"/>
        <v>779287.8905000001</v>
      </c>
      <c r="T15" s="903">
        <f t="shared" si="1"/>
        <v>45.176809954882003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1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1">
        <f>PIERNA!F16</f>
        <v>18755.29</v>
      </c>
      <c r="G16" s="355">
        <f>PIERNA!G16</f>
        <v>21</v>
      </c>
      <c r="H16" s="881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429</v>
      </c>
      <c r="M16" s="601">
        <v>37120</v>
      </c>
      <c r="N16" s="612" t="s">
        <v>430</v>
      </c>
      <c r="O16" s="1233">
        <v>2194764</v>
      </c>
      <c r="P16" s="470">
        <v>5104</v>
      </c>
      <c r="Q16" s="470">
        <f>47777.62*17.265</f>
        <v>824880.60930000013</v>
      </c>
      <c r="R16" s="610" t="s">
        <v>409</v>
      </c>
      <c r="S16" s="903">
        <f t="shared" si="0"/>
        <v>879528.60930000013</v>
      </c>
      <c r="T16" s="903">
        <f t="shared" si="1"/>
        <v>46.533211695826175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68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1">
        <f>PIERNA!F17</f>
        <v>19031.169999999998</v>
      </c>
      <c r="G17" s="355">
        <f>PIERNA!G17</f>
        <v>21</v>
      </c>
      <c r="H17" s="881">
        <f>PIERNA!H17</f>
        <v>19010.900000000001</v>
      </c>
      <c r="I17" s="558">
        <f>PIERNA!I17</f>
        <v>20.269999999996799</v>
      </c>
      <c r="J17" s="1374" t="s">
        <v>381</v>
      </c>
      <c r="K17" s="601">
        <v>14389</v>
      </c>
      <c r="L17" s="609" t="s">
        <v>430</v>
      </c>
      <c r="M17" s="601">
        <v>37120</v>
      </c>
      <c r="N17" s="608" t="s">
        <v>413</v>
      </c>
      <c r="O17" s="1233">
        <v>2195872</v>
      </c>
      <c r="P17" s="1234">
        <v>5249</v>
      </c>
      <c r="Q17" s="470">
        <f>49154.39*17.16</f>
        <v>843489.33239999996</v>
      </c>
      <c r="R17" s="610" t="s">
        <v>411</v>
      </c>
      <c r="S17" s="903">
        <f>Q17+M17+K17</f>
        <v>894998.33239999996</v>
      </c>
      <c r="T17" s="903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1">
        <f>PIERNA!F18</f>
        <v>18216.79</v>
      </c>
      <c r="G18" s="355">
        <f>PIERNA!G18</f>
        <v>20</v>
      </c>
      <c r="H18" s="881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430</v>
      </c>
      <c r="M18" s="601">
        <v>37120</v>
      </c>
      <c r="N18" s="612" t="s">
        <v>416</v>
      </c>
      <c r="O18" s="1232">
        <v>2195871</v>
      </c>
      <c r="P18" s="778">
        <v>5046</v>
      </c>
      <c r="Q18" s="470">
        <f>47111.38*17.16</f>
        <v>808431.28079999995</v>
      </c>
      <c r="R18" s="611" t="s">
        <v>411</v>
      </c>
      <c r="S18" s="903">
        <f>Q18+M18+K18</f>
        <v>857985.28079999995</v>
      </c>
      <c r="T18" s="903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1">
        <f>PIERNA!F19</f>
        <v>18498.009999999998</v>
      </c>
      <c r="G19" s="355">
        <f>PIERNA!G19</f>
        <v>21</v>
      </c>
      <c r="H19" s="881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431</v>
      </c>
      <c r="M19" s="601">
        <v>37120</v>
      </c>
      <c r="N19" s="612" t="s">
        <v>432</v>
      </c>
      <c r="O19" s="1232">
        <v>2196274</v>
      </c>
      <c r="P19" s="1570">
        <v>5336</v>
      </c>
      <c r="Q19" s="470">
        <f>50473.57*17.09</f>
        <v>862593.31129999994</v>
      </c>
      <c r="R19" s="604" t="s">
        <v>413</v>
      </c>
      <c r="S19" s="903">
        <f>Q19+M19+K19</f>
        <v>911987.31129999994</v>
      </c>
      <c r="T19" s="903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398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1">
        <f>PIERNA!F20</f>
        <v>19016.04</v>
      </c>
      <c r="G20" s="355">
        <f>PIERNA!G20</f>
        <v>21</v>
      </c>
      <c r="H20" s="881">
        <f>PIERNA!H20</f>
        <v>19039.3</v>
      </c>
      <c r="I20" s="558">
        <f>PIERNA!I20</f>
        <v>-23.259999999998399</v>
      </c>
      <c r="J20" s="1394" t="s">
        <v>394</v>
      </c>
      <c r="K20" s="1579">
        <v>12434</v>
      </c>
      <c r="L20" s="1578" t="s">
        <v>742</v>
      </c>
      <c r="M20" s="1579">
        <v>37120</v>
      </c>
      <c r="N20" s="1581" t="s">
        <v>741</v>
      </c>
      <c r="O20" s="1580">
        <v>2196214</v>
      </c>
      <c r="P20" s="1582">
        <v>5423</v>
      </c>
      <c r="Q20" s="1582">
        <f>51217.9*17.08</f>
        <v>874801.73199999996</v>
      </c>
      <c r="R20" s="1583" t="s">
        <v>740</v>
      </c>
      <c r="S20" s="903">
        <f t="shared" si="0"/>
        <v>929778.73199999996</v>
      </c>
      <c r="T20" s="903">
        <f t="shared" si="1"/>
        <v>48.934711990461835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1">
        <f>PIERNA!F21</f>
        <v>18928.48</v>
      </c>
      <c r="G21" s="355">
        <f>PIERNA!G21</f>
        <v>21</v>
      </c>
      <c r="H21" s="881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433</v>
      </c>
      <c r="M21" s="601">
        <v>37120</v>
      </c>
      <c r="N21" s="612" t="s">
        <v>433</v>
      </c>
      <c r="O21" s="1233">
        <v>2196662</v>
      </c>
      <c r="P21" s="1573">
        <v>5336</v>
      </c>
      <c r="Q21" s="470">
        <f>51088.55*16.875</f>
        <v>862119.28125</v>
      </c>
      <c r="R21" s="604" t="s">
        <v>414</v>
      </c>
      <c r="S21" s="903">
        <f t="shared" si="0"/>
        <v>914699.28125</v>
      </c>
      <c r="T21" s="903">
        <f t="shared" si="1"/>
        <v>48.263867921796177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1">
        <f>PIERNA!F22</f>
        <v>19001.03</v>
      </c>
      <c r="G22" s="355">
        <f>PIERNA!G22</f>
        <v>21</v>
      </c>
      <c r="H22" s="881">
        <f>PIERNA!H22</f>
        <v>19038.900000000001</v>
      </c>
      <c r="I22" s="558">
        <f>PIERNA!I22</f>
        <v>-37.870000000002619</v>
      </c>
      <c r="J22" s="818" t="s">
        <v>405</v>
      </c>
      <c r="K22" s="601">
        <v>13906</v>
      </c>
      <c r="L22" s="609" t="s">
        <v>433</v>
      </c>
      <c r="M22" s="601">
        <v>37120</v>
      </c>
      <c r="N22" s="1181" t="s">
        <v>473</v>
      </c>
      <c r="O22" s="1233">
        <v>2197532</v>
      </c>
      <c r="P22" s="1569">
        <v>5423</v>
      </c>
      <c r="Q22" s="470">
        <f>51829.5*16.86</f>
        <v>873845.37</v>
      </c>
      <c r="R22" s="604" t="s">
        <v>415</v>
      </c>
      <c r="S22" s="903">
        <f>Q22+M22+K22</f>
        <v>924871.37</v>
      </c>
      <c r="T22" s="903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1">
        <f>PIERNA!F23</f>
        <v>18625.509999999998</v>
      </c>
      <c r="G23" s="355">
        <f>PIERNA!G23</f>
        <v>21</v>
      </c>
      <c r="H23" s="881">
        <f>PIERNA!H23</f>
        <v>18765.900000000001</v>
      </c>
      <c r="I23" s="558">
        <f>PIERNA!I23</f>
        <v>-140.39000000000306</v>
      </c>
      <c r="J23" s="818" t="s">
        <v>406</v>
      </c>
      <c r="K23" s="601">
        <v>12274</v>
      </c>
      <c r="L23" s="609" t="s">
        <v>483</v>
      </c>
      <c r="M23" s="601">
        <v>37120</v>
      </c>
      <c r="N23" s="854" t="s">
        <v>420</v>
      </c>
      <c r="O23" s="1233">
        <v>2198358</v>
      </c>
      <c r="P23" s="1574">
        <v>5394</v>
      </c>
      <c r="Q23" s="470">
        <f>51516.41*16.903</f>
        <v>870781.87823000003</v>
      </c>
      <c r="R23" s="604" t="s">
        <v>416</v>
      </c>
      <c r="S23" s="903">
        <f>Q23+M23+K23</f>
        <v>920175.87823000003</v>
      </c>
      <c r="T23" s="903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68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1">
        <f>PIERNA!F24</f>
        <v>18753.2</v>
      </c>
      <c r="G24" s="355">
        <f>PIERNA!G24</f>
        <v>21</v>
      </c>
      <c r="H24" s="881">
        <f>PIERNA!H24</f>
        <v>18856.599999999999</v>
      </c>
      <c r="I24" s="558">
        <f>PIERNA!I24</f>
        <v>-103.39999999999782</v>
      </c>
      <c r="J24" s="1445" t="s">
        <v>454</v>
      </c>
      <c r="K24" s="1781">
        <v>12434</v>
      </c>
      <c r="L24" s="1782" t="s">
        <v>747</v>
      </c>
      <c r="M24" s="1781">
        <v>37120</v>
      </c>
      <c r="N24" s="1783" t="s">
        <v>748</v>
      </c>
      <c r="O24" s="1784">
        <v>2199240</v>
      </c>
      <c r="P24" s="1787">
        <v>5394</v>
      </c>
      <c r="Q24" s="1573">
        <f>51744.67*16.85</f>
        <v>871897.68950000009</v>
      </c>
      <c r="R24" s="1788" t="s">
        <v>746</v>
      </c>
      <c r="S24" s="903">
        <f>Q24+M24+K24</f>
        <v>921451.68950000009</v>
      </c>
      <c r="T24" s="903">
        <f>S24/H24</f>
        <v>48.866269078200745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1">
        <f>PIERNA!HQ5</f>
        <v>19024.82</v>
      </c>
      <c r="G25" s="355">
        <f>PIERNA!HR5</f>
        <v>21</v>
      </c>
      <c r="H25" s="881">
        <f>PIERNA!HS5</f>
        <v>19002.7</v>
      </c>
      <c r="I25" s="558">
        <f>PIERNA!I25</f>
        <v>22.119999999998981</v>
      </c>
      <c r="J25" s="700" t="s">
        <v>455</v>
      </c>
      <c r="K25" s="601">
        <v>11424</v>
      </c>
      <c r="L25" s="609" t="s">
        <v>484</v>
      </c>
      <c r="M25" s="601">
        <v>37120</v>
      </c>
      <c r="N25" s="1181" t="s">
        <v>479</v>
      </c>
      <c r="O25" s="1232">
        <v>2199348</v>
      </c>
      <c r="P25" s="1573">
        <v>5394</v>
      </c>
      <c r="Q25" s="470">
        <f>52145.46*16.755</f>
        <v>873697.18229999999</v>
      </c>
      <c r="R25" s="604" t="s">
        <v>472</v>
      </c>
      <c r="S25" s="903">
        <f t="shared" si="0"/>
        <v>927635.18229999999</v>
      </c>
      <c r="T25" s="903">
        <f t="shared" si="1"/>
        <v>48.915967325695824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48" t="str">
        <f>PIERNA!HW5</f>
        <v>ALFONSO ESPINDOLA SALDAÑA</v>
      </c>
      <c r="C26" s="1449" t="str">
        <f>PIERNA!HX5</f>
        <v>PRESTAGE</v>
      </c>
      <c r="D26" s="514">
        <f>PIERNA!HY5</f>
        <v>0</v>
      </c>
      <c r="E26" s="510">
        <f>PIERNA!HZ5</f>
        <v>45133</v>
      </c>
      <c r="F26" s="861">
        <f>PIERNA!IA5</f>
        <v>19010.48</v>
      </c>
      <c r="G26" s="515">
        <f>PIERNA!IB5</f>
        <v>22</v>
      </c>
      <c r="H26" s="881">
        <f>PIERNA!IC5</f>
        <v>19116.2</v>
      </c>
      <c r="I26" s="558">
        <f>PIERNA!I26</f>
        <v>-105.72000000000116</v>
      </c>
      <c r="J26" s="1450"/>
      <c r="K26" s="601"/>
      <c r="L26" s="609"/>
      <c r="M26" s="601"/>
      <c r="N26" s="604"/>
      <c r="O26" s="1232">
        <v>3464</v>
      </c>
      <c r="P26" s="1458" t="s">
        <v>469</v>
      </c>
      <c r="Q26" s="470">
        <v>917586.72</v>
      </c>
      <c r="R26" s="606" t="s">
        <v>468</v>
      </c>
      <c r="S26" s="903">
        <f>Q26+M26+K26</f>
        <v>917586.72</v>
      </c>
      <c r="T26" s="903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1">
        <f>PIERNA!IK5</f>
        <v>16855.38</v>
      </c>
      <c r="G27" s="515">
        <f>PIERNA!IL5</f>
        <v>19</v>
      </c>
      <c r="H27" s="881">
        <f>PIERNA!IM5</f>
        <v>17019.7</v>
      </c>
      <c r="I27" s="558">
        <f>PIERNA!I27</f>
        <v>-164.31999999999971</v>
      </c>
      <c r="J27" s="818" t="s">
        <v>463</v>
      </c>
      <c r="K27" s="360">
        <v>12274</v>
      </c>
      <c r="L27" s="609" t="s">
        <v>486</v>
      </c>
      <c r="M27" s="601">
        <v>37120</v>
      </c>
      <c r="N27" s="608" t="s">
        <v>487</v>
      </c>
      <c r="O27" s="1232">
        <v>2200035</v>
      </c>
      <c r="P27" s="1569">
        <v>4756</v>
      </c>
      <c r="Q27" s="1172">
        <f>45322.82*16.77</f>
        <v>760063.69140000001</v>
      </c>
      <c r="R27" s="1173" t="s">
        <v>419</v>
      </c>
      <c r="S27" s="903">
        <f>Q27+M27+K27+P27</f>
        <v>814213.69140000001</v>
      </c>
      <c r="T27" s="903">
        <f t="shared" si="1"/>
        <v>47.939485502094634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0" t="str">
        <f>PIERNA!IS5</f>
        <v>PED. 101220112</v>
      </c>
      <c r="E28" s="615">
        <f>PIERNA!IT5</f>
        <v>45135</v>
      </c>
      <c r="F28" s="862">
        <f>PIERNA!IU5</f>
        <v>18995.7</v>
      </c>
      <c r="G28" s="515">
        <f>PIERNA!IV5</f>
        <v>21</v>
      </c>
      <c r="H28" s="881">
        <f>PIERNA!IW5</f>
        <v>19128.3</v>
      </c>
      <c r="I28" s="558">
        <f>PIERNA!I28</f>
        <v>-132.59999999999854</v>
      </c>
      <c r="J28" s="997" t="s">
        <v>465</v>
      </c>
      <c r="K28" s="1179">
        <v>11424</v>
      </c>
      <c r="L28" s="1175" t="s">
        <v>487</v>
      </c>
      <c r="M28" s="1176">
        <v>37120</v>
      </c>
      <c r="N28" s="1177" t="s">
        <v>479</v>
      </c>
      <c r="O28" s="1169">
        <v>2200216</v>
      </c>
      <c r="P28" s="1573">
        <v>5133</v>
      </c>
      <c r="Q28" s="470">
        <f>48871.97*16.903</f>
        <v>826082.90891</v>
      </c>
      <c r="R28" s="606" t="s">
        <v>416</v>
      </c>
      <c r="S28" s="903">
        <f t="shared" si="0"/>
        <v>879759.90891</v>
      </c>
      <c r="T28" s="903">
        <f t="shared" si="1"/>
        <v>46.092582137984039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0" t="str">
        <f>PIERNA!JC5</f>
        <v>PED. 101226747</v>
      </c>
      <c r="E29" s="615">
        <f>PIERNA!JD5</f>
        <v>45135</v>
      </c>
      <c r="F29" s="862">
        <f>PIERNA!JE5</f>
        <v>18725.68</v>
      </c>
      <c r="G29" s="515">
        <f>PIERNA!JF5</f>
        <v>20</v>
      </c>
      <c r="H29" s="881">
        <f>PIERNA!JG5</f>
        <v>18767.75</v>
      </c>
      <c r="I29" s="558">
        <f>PIERNA!I29</f>
        <v>-42.069999999999709</v>
      </c>
      <c r="J29" s="1170" t="s">
        <v>466</v>
      </c>
      <c r="K29" s="1178">
        <v>12434</v>
      </c>
      <c r="L29" s="609" t="s">
        <v>487</v>
      </c>
      <c r="M29" s="601">
        <v>37120</v>
      </c>
      <c r="N29" s="606" t="s">
        <v>479</v>
      </c>
      <c r="O29" s="605">
        <v>11898</v>
      </c>
      <c r="P29" s="1573">
        <v>4988</v>
      </c>
      <c r="Q29" s="1172">
        <f>47743.77*16.77</f>
        <v>800663.02289999998</v>
      </c>
      <c r="R29" s="1173" t="s">
        <v>386</v>
      </c>
      <c r="S29" s="903">
        <f t="shared" si="0"/>
        <v>855205.02289999998</v>
      </c>
      <c r="T29" s="903">
        <f t="shared" si="1"/>
        <v>45.667797040135341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0">
        <f>PIERNA!JM5</f>
        <v>0</v>
      </c>
      <c r="E30" s="811">
        <f>PIERNA!JN5</f>
        <v>0</v>
      </c>
      <c r="F30" s="863">
        <f>PIERNA!JO5</f>
        <v>0</v>
      </c>
      <c r="G30" s="361">
        <f>PIERNA!JP5</f>
        <v>0</v>
      </c>
      <c r="H30" s="882">
        <f>PIERNA!JQ5</f>
        <v>0</v>
      </c>
      <c r="I30" s="558">
        <f>PIERNA!I30</f>
        <v>0</v>
      </c>
      <c r="J30" s="818"/>
      <c r="K30" s="360"/>
      <c r="L30" s="609"/>
      <c r="M30" s="601"/>
      <c r="N30" s="606"/>
      <c r="O30" s="605"/>
      <c r="P30" s="470"/>
      <c r="Q30" s="470"/>
      <c r="R30" s="606"/>
      <c r="S30" s="903">
        <f>Q30+M30+K30</f>
        <v>0</v>
      </c>
      <c r="T30" s="90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6">
        <f>PIERNA!JV5</f>
        <v>0</v>
      </c>
      <c r="D31" s="810">
        <f>PIERNA!JW5</f>
        <v>0</v>
      </c>
      <c r="E31" s="811">
        <f>PIERNA!JX5</f>
        <v>0</v>
      </c>
      <c r="F31" s="863">
        <f>PIERNA!JY5</f>
        <v>0</v>
      </c>
      <c r="G31" s="361">
        <f>PIERNA!JZ5</f>
        <v>0</v>
      </c>
      <c r="H31" s="882">
        <f>PIERNA!KA5</f>
        <v>0</v>
      </c>
      <c r="I31" s="558">
        <f>PIERNA!I31</f>
        <v>0</v>
      </c>
      <c r="J31" s="1174"/>
      <c r="K31" s="360"/>
      <c r="L31" s="612"/>
      <c r="M31" s="601"/>
      <c r="N31" s="604"/>
      <c r="O31" s="605"/>
      <c r="P31" s="470"/>
      <c r="Q31" s="1172"/>
      <c r="R31" s="606"/>
      <c r="S31" s="903">
        <f t="shared" si="0"/>
        <v>0</v>
      </c>
      <c r="T31" s="90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0">
        <f>PIERNA!KG5</f>
        <v>0</v>
      </c>
      <c r="E32" s="811">
        <f>PIERNA!KH5</f>
        <v>0</v>
      </c>
      <c r="F32" s="863">
        <f>PIERNA!KI5</f>
        <v>0</v>
      </c>
      <c r="G32" s="361">
        <f>PIERNA!KJ5</f>
        <v>0</v>
      </c>
      <c r="H32" s="882">
        <f>PIERNA!H32</f>
        <v>0</v>
      </c>
      <c r="I32" s="558">
        <f>PIERNA!I32</f>
        <v>0</v>
      </c>
      <c r="J32" s="997"/>
      <c r="K32" s="976"/>
      <c r="L32" s="603"/>
      <c r="M32" s="601"/>
      <c r="N32" s="604"/>
      <c r="O32" s="605"/>
      <c r="P32" s="470"/>
      <c r="Q32" s="470"/>
      <c r="R32" s="606"/>
      <c r="S32" s="903">
        <f>Q32+M32+K32+P32</f>
        <v>0</v>
      </c>
      <c r="T32" s="90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0">
        <f>PIERNA!KQ5</f>
        <v>0</v>
      </c>
      <c r="E33" s="811">
        <f>PIERNA!KR5</f>
        <v>0</v>
      </c>
      <c r="F33" s="864">
        <f>PIERNA!KS5</f>
        <v>0</v>
      </c>
      <c r="G33" s="517">
        <f>PIERNA!KT5</f>
        <v>0</v>
      </c>
      <c r="H33" s="882">
        <f>PIERNA!KU5</f>
        <v>0</v>
      </c>
      <c r="I33" s="559">
        <f>PIERNA!I33</f>
        <v>0</v>
      </c>
      <c r="J33" s="961"/>
      <c r="K33" s="960"/>
      <c r="L33" s="1046"/>
      <c r="M33" s="1046"/>
      <c r="N33" s="1046"/>
      <c r="O33" s="1046"/>
      <c r="P33" s="470"/>
      <c r="Q33" s="1172"/>
      <c r="R33" s="606"/>
      <c r="S33" s="903">
        <f>Q33+M33+K33+P33</f>
        <v>0</v>
      </c>
      <c r="T33" s="90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0">
        <f>PIERNA!D34</f>
        <v>0</v>
      </c>
      <c r="E34" s="811">
        <f>PIERNA!E34</f>
        <v>0</v>
      </c>
      <c r="F34" s="864">
        <f>PIERNA!F34</f>
        <v>0</v>
      </c>
      <c r="G34" s="517">
        <f>PIERNA!G34</f>
        <v>0</v>
      </c>
      <c r="H34" s="882">
        <f>PIERNA!H34</f>
        <v>0</v>
      </c>
      <c r="I34" s="558">
        <f>PIERNA!I34</f>
        <v>0</v>
      </c>
      <c r="J34" s="1166"/>
      <c r="K34" s="1165"/>
      <c r="L34" s="603"/>
      <c r="M34" s="601"/>
      <c r="N34" s="604"/>
      <c r="O34" s="1032"/>
      <c r="P34" s="470"/>
      <c r="Q34" s="471"/>
      <c r="R34" s="607"/>
      <c r="S34" s="903">
        <f>Q34+M34+K34+P34</f>
        <v>0</v>
      </c>
      <c r="T34" s="90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5">
        <f>PIERNA!F35</f>
        <v>0</v>
      </c>
      <c r="G35" s="518">
        <f>PIERNA!G35</f>
        <v>0</v>
      </c>
      <c r="H35" s="882">
        <f>PIERNA!H35</f>
        <v>0</v>
      </c>
      <c r="I35" s="558">
        <f>PIERNA!I35</f>
        <v>0</v>
      </c>
      <c r="J35" s="818"/>
      <c r="K35" s="360"/>
      <c r="L35" s="603"/>
      <c r="M35" s="601"/>
      <c r="N35" s="604"/>
      <c r="O35" s="1032"/>
      <c r="P35" s="470"/>
      <c r="Q35" s="360"/>
      <c r="R35" s="606"/>
      <c r="S35" s="903">
        <f>Q35+M35+K35</f>
        <v>0</v>
      </c>
      <c r="T35" s="90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5">
        <f>PIERNA!F36</f>
        <v>0</v>
      </c>
      <c r="G36" s="518">
        <f>PIERNA!G36</f>
        <v>0</v>
      </c>
      <c r="H36" s="882">
        <f>PIERNA!H36</f>
        <v>0</v>
      </c>
      <c r="I36" s="558">
        <f>PIERNA!I36</f>
        <v>0</v>
      </c>
      <c r="J36" s="818"/>
      <c r="K36" s="360"/>
      <c r="L36" s="603"/>
      <c r="M36" s="601"/>
      <c r="N36" s="608"/>
      <c r="O36" s="1032"/>
      <c r="P36" s="470"/>
      <c r="Q36" s="360"/>
      <c r="R36" s="604"/>
      <c r="S36" s="903">
        <f t="shared" ref="S36:S39" si="9">Q36+M36+K36</f>
        <v>0</v>
      </c>
      <c r="T36" s="90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1">
        <f>PIERNA!F37</f>
        <v>0</v>
      </c>
      <c r="G37" s="355">
        <f>PIERNA!G37</f>
        <v>0</v>
      </c>
      <c r="H37" s="881">
        <f>PIERNA!H37</f>
        <v>0</v>
      </c>
      <c r="I37" s="558">
        <f>PIERNA!I37</f>
        <v>0</v>
      </c>
      <c r="J37" s="818"/>
      <c r="K37" s="360"/>
      <c r="L37" s="603"/>
      <c r="M37" s="601"/>
      <c r="N37" s="604"/>
      <c r="O37" s="1032"/>
      <c r="P37" s="470"/>
      <c r="Q37" s="470"/>
      <c r="R37" s="604"/>
      <c r="S37" s="903">
        <f>Q37+M37+K37</f>
        <v>0</v>
      </c>
      <c r="T37" s="90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6">
        <f>PIERNA!F38</f>
        <v>0</v>
      </c>
      <c r="G38" s="355">
        <f>PIERNA!G38</f>
        <v>0</v>
      </c>
      <c r="H38" s="883">
        <f>PIERNA!H38</f>
        <v>0</v>
      </c>
      <c r="I38" s="558">
        <f>PIERNA!I38</f>
        <v>0</v>
      </c>
      <c r="J38" s="818"/>
      <c r="K38" s="360"/>
      <c r="L38" s="614"/>
      <c r="M38" s="601"/>
      <c r="N38" s="604"/>
      <c r="O38" s="1032"/>
      <c r="P38" s="470"/>
      <c r="Q38" s="470"/>
      <c r="R38" s="606"/>
      <c r="S38" s="903">
        <f t="shared" si="9"/>
        <v>0</v>
      </c>
      <c r="T38" s="90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7">
        <f>PIERNA!F39</f>
        <v>0</v>
      </c>
      <c r="G39" s="97">
        <f>PIERNA!G39</f>
        <v>0</v>
      </c>
      <c r="H39" s="876">
        <f>PIERNA!H39</f>
        <v>0</v>
      </c>
      <c r="I39" s="102">
        <f>PIERNA!I39</f>
        <v>0</v>
      </c>
      <c r="J39" s="1594"/>
      <c r="K39" s="1595"/>
      <c r="L39" s="614"/>
      <c r="M39" s="601"/>
      <c r="N39" s="604"/>
      <c r="O39" s="1032"/>
      <c r="P39" s="470"/>
      <c r="Q39" s="470"/>
      <c r="R39" s="606"/>
      <c r="S39" s="903">
        <f t="shared" si="9"/>
        <v>0</v>
      </c>
      <c r="T39" s="90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7">
        <f>PIERNA!F40</f>
        <v>0</v>
      </c>
      <c r="G40" s="97">
        <f>PIERNA!G40</f>
        <v>0</v>
      </c>
      <c r="H40" s="876">
        <f>PIERNA!H40</f>
        <v>0</v>
      </c>
      <c r="I40" s="102">
        <f>PIERNA!I40</f>
        <v>0</v>
      </c>
      <c r="J40" s="1596"/>
      <c r="K40" s="1597"/>
      <c r="L40" s="603"/>
      <c r="M40" s="601"/>
      <c r="N40" s="604"/>
      <c r="O40" s="1032"/>
      <c r="P40" s="470"/>
      <c r="Q40" s="470"/>
      <c r="R40" s="606"/>
      <c r="S40" s="903">
        <f>Q40+M40+K40+P40</f>
        <v>0</v>
      </c>
      <c r="T40" s="90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7">
        <f>PIERNA!F41</f>
        <v>0</v>
      </c>
      <c r="G41" s="97">
        <f>PIERNA!G41</f>
        <v>0</v>
      </c>
      <c r="H41" s="876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2"/>
      <c r="P41" s="470"/>
      <c r="Q41" s="470"/>
      <c r="R41" s="606"/>
      <c r="S41" s="903">
        <f>Q41+M41+K41+P41</f>
        <v>0</v>
      </c>
      <c r="T41" s="90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0">
        <f>PIERNA!F42</f>
        <v>0</v>
      </c>
      <c r="G42" s="97">
        <f>PIERNA!G42</f>
        <v>0</v>
      </c>
      <c r="H42" s="880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2"/>
      <c r="P42" s="470"/>
      <c r="Q42" s="470"/>
      <c r="R42" s="606"/>
      <c r="S42" s="903">
        <f t="shared" ref="S42:S59" si="10">Q42+M42+K42</f>
        <v>0</v>
      </c>
      <c r="T42" s="90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0">
        <f>PIERNA!F43</f>
        <v>0</v>
      </c>
      <c r="G43" s="97">
        <f>PIERNA!G43</f>
        <v>0</v>
      </c>
      <c r="H43" s="880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2"/>
      <c r="P43" s="470"/>
      <c r="Q43" s="470"/>
      <c r="R43" s="606"/>
      <c r="S43" s="903">
        <f t="shared" si="10"/>
        <v>0</v>
      </c>
      <c r="T43" s="90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0">
        <f>PIERNA!F44</f>
        <v>0</v>
      </c>
      <c r="G44" s="97">
        <f>PIERNA!G44</f>
        <v>0</v>
      </c>
      <c r="H44" s="880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2"/>
      <c r="P44" s="470"/>
      <c r="Q44" s="360"/>
      <c r="R44" s="606"/>
      <c r="S44" s="903">
        <f>Q44+M44+K44</f>
        <v>0</v>
      </c>
      <c r="T44" s="90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0">
        <f>PIERNA!F45</f>
        <v>0</v>
      </c>
      <c r="G45" s="97">
        <f>PIERNA!G45</f>
        <v>0</v>
      </c>
      <c r="H45" s="880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2"/>
      <c r="P45" s="470"/>
      <c r="Q45" s="360"/>
      <c r="R45" s="606"/>
      <c r="S45" s="903">
        <f>Q45+M45+K45</f>
        <v>0</v>
      </c>
      <c r="T45" s="90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0">
        <f>PIERNA!F46</f>
        <v>0</v>
      </c>
      <c r="G46" s="97">
        <f>PIERNA!G46</f>
        <v>0</v>
      </c>
      <c r="H46" s="880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2"/>
      <c r="P46" s="470"/>
      <c r="Q46" s="360"/>
      <c r="R46" s="606"/>
      <c r="S46" s="903">
        <f>Q46+M46+K46</f>
        <v>0</v>
      </c>
      <c r="T46" s="90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0">
        <f>PIERNA!F47</f>
        <v>0</v>
      </c>
      <c r="G47" s="97">
        <f>PIERNA!G47</f>
        <v>0</v>
      </c>
      <c r="H47" s="880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3"/>
      <c r="P47" s="470"/>
      <c r="Q47" s="360"/>
      <c r="R47" s="606"/>
      <c r="S47" s="903">
        <f>Q47+M47+K47</f>
        <v>0</v>
      </c>
      <c r="T47" s="90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0">
        <f>PIERNA!F48</f>
        <v>0</v>
      </c>
      <c r="G48" s="97">
        <f>PIERNA!G48</f>
        <v>0</v>
      </c>
      <c r="H48" s="880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2"/>
      <c r="P48" s="470"/>
      <c r="Q48" s="360"/>
      <c r="R48" s="606"/>
      <c r="S48" s="903">
        <f>Q48+M48+K48</f>
        <v>0</v>
      </c>
      <c r="T48" s="90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0">
        <f>PIERNA!F49</f>
        <v>0</v>
      </c>
      <c r="G49" s="97">
        <f>PIERNA!G49</f>
        <v>0</v>
      </c>
      <c r="H49" s="880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2"/>
      <c r="P49" s="470"/>
      <c r="Q49" s="360"/>
      <c r="R49" s="606"/>
      <c r="S49" s="903">
        <f t="shared" ref="S49:S53" si="13">Q49+M49+K49</f>
        <v>0</v>
      </c>
      <c r="T49" s="90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0">
        <f>PIERNA!F50</f>
        <v>0</v>
      </c>
      <c r="G50" s="97">
        <f>PIERNA!G50</f>
        <v>0</v>
      </c>
      <c r="H50" s="880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2"/>
      <c r="P50" s="470"/>
      <c r="Q50" s="360"/>
      <c r="R50" s="606"/>
      <c r="S50" s="903">
        <f t="shared" si="13"/>
        <v>0</v>
      </c>
      <c r="T50" s="90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0">
        <f>PIERNA!F51</f>
        <v>0</v>
      </c>
      <c r="G51" s="97">
        <f>PIERNA!G51</f>
        <v>0</v>
      </c>
      <c r="H51" s="880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2"/>
      <c r="P51" s="779"/>
      <c r="Q51" s="360"/>
      <c r="R51" s="606"/>
      <c r="S51" s="903">
        <f t="shared" si="13"/>
        <v>0</v>
      </c>
      <c r="T51" s="90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0">
        <f>PIERNA!F52</f>
        <v>0</v>
      </c>
      <c r="G52" s="97">
        <f>PIERNA!G52</f>
        <v>0</v>
      </c>
      <c r="H52" s="880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2"/>
      <c r="P52" s="470"/>
      <c r="Q52" s="360"/>
      <c r="R52" s="740"/>
      <c r="S52" s="903">
        <f t="shared" si="13"/>
        <v>0</v>
      </c>
      <c r="T52" s="90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0">
        <f>PIERNA!SL5</f>
        <v>0</v>
      </c>
      <c r="G53" s="97">
        <f>PIERNA!SM5</f>
        <v>0</v>
      </c>
      <c r="H53" s="880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2"/>
      <c r="P53" s="470"/>
      <c r="Q53" s="360"/>
      <c r="R53" s="740"/>
      <c r="S53" s="903">
        <f t="shared" si="13"/>
        <v>0</v>
      </c>
      <c r="T53" s="90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0">
        <f>PIERNA!F53</f>
        <v>0</v>
      </c>
      <c r="G54" s="97">
        <f>PIERNA!G53</f>
        <v>0</v>
      </c>
      <c r="H54" s="880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2"/>
      <c r="P54" s="470"/>
      <c r="Q54" s="360"/>
      <c r="R54" s="740"/>
      <c r="S54" s="903">
        <f t="shared" si="10"/>
        <v>0</v>
      </c>
      <c r="T54" s="90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8">
        <f>PIERNA!TF5</f>
        <v>0</v>
      </c>
      <c r="G55" s="97">
        <f>PIERNA!TG5</f>
        <v>0</v>
      </c>
      <c r="H55" s="880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2"/>
      <c r="P55" s="470"/>
      <c r="Q55" s="360"/>
      <c r="R55" s="740"/>
      <c r="S55" s="903">
        <f t="shared" si="10"/>
        <v>0</v>
      </c>
      <c r="T55" s="90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0">
        <f>PIERNA!TP5</f>
        <v>0</v>
      </c>
      <c r="G56" s="97">
        <f>PIERNA!TQ5</f>
        <v>0</v>
      </c>
      <c r="H56" s="880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2"/>
      <c r="P56" s="470"/>
      <c r="Q56" s="360"/>
      <c r="R56" s="740"/>
      <c r="S56" s="903">
        <f t="shared" si="10"/>
        <v>0</v>
      </c>
      <c r="T56" s="90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0">
        <f>PIERNA!F57</f>
        <v>0</v>
      </c>
      <c r="G57" s="158">
        <f>PIERNA!G57</f>
        <v>0</v>
      </c>
      <c r="H57" s="880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2"/>
      <c r="P57" s="470"/>
      <c r="Q57" s="360"/>
      <c r="R57" s="740"/>
      <c r="S57" s="903">
        <f t="shared" si="10"/>
        <v>0</v>
      </c>
      <c r="T57" s="90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0">
        <f>PIERNA!F58</f>
        <v>0</v>
      </c>
      <c r="G58" s="97">
        <f>PIERNA!G58</f>
        <v>0</v>
      </c>
      <c r="H58" s="880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2"/>
      <c r="P58" s="470"/>
      <c r="Q58" s="360"/>
      <c r="R58" s="740"/>
      <c r="S58" s="903">
        <f t="shared" si="10"/>
        <v>0</v>
      </c>
      <c r="T58" s="90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0">
        <f>PIERNA!F59</f>
        <v>0</v>
      </c>
      <c r="G59" s="97">
        <f>PIERNA!G59</f>
        <v>0</v>
      </c>
      <c r="H59" s="880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2"/>
      <c r="P59" s="470"/>
      <c r="Q59" s="360"/>
      <c r="R59" s="740"/>
      <c r="S59" s="903">
        <f t="shared" si="10"/>
        <v>0</v>
      </c>
      <c r="T59" s="90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0">
        <f>PIERNA!F60</f>
        <v>0</v>
      </c>
      <c r="G60" s="97">
        <f>PIERNA!G60</f>
        <v>0</v>
      </c>
      <c r="H60" s="880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2"/>
      <c r="P60" s="470"/>
      <c r="Q60" s="360"/>
      <c r="R60" s="740"/>
      <c r="S60" s="903">
        <f>Q60+M60+L60</f>
        <v>0</v>
      </c>
      <c r="T60" s="90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0">
        <f>PIERNA!F61</f>
        <v>0</v>
      </c>
      <c r="G61" s="97">
        <f>PIERNA!G61</f>
        <v>0</v>
      </c>
      <c r="H61" s="880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2"/>
      <c r="P61" s="470"/>
      <c r="Q61" s="360"/>
      <c r="R61" s="740"/>
      <c r="S61" s="903">
        <f t="shared" ref="S61:S71" si="14">Q61+M61+K61</f>
        <v>0</v>
      </c>
      <c r="T61" s="90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0">
        <f>PIERNA!F62</f>
        <v>0</v>
      </c>
      <c r="G62" s="156">
        <f>PIERNA!G62</f>
        <v>0</v>
      </c>
      <c r="H62" s="880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2"/>
      <c r="P62" s="470"/>
      <c r="Q62" s="360"/>
      <c r="R62" s="740"/>
      <c r="S62" s="903">
        <f t="shared" si="14"/>
        <v>0</v>
      </c>
      <c r="T62" s="90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0">
        <f>PIERNA!F63</f>
        <v>0</v>
      </c>
      <c r="G63" s="156">
        <f>PIERNA!G63</f>
        <v>0</v>
      </c>
      <c r="H63" s="880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2"/>
      <c r="P63" s="470"/>
      <c r="Q63" s="360"/>
      <c r="R63" s="740"/>
      <c r="S63" s="903">
        <f t="shared" si="14"/>
        <v>0</v>
      </c>
      <c r="T63" s="90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0">
        <f>PIERNA!F64</f>
        <v>0</v>
      </c>
      <c r="G64" s="156">
        <f>PIERNA!G64</f>
        <v>0</v>
      </c>
      <c r="H64" s="880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2"/>
      <c r="P64" s="470"/>
      <c r="Q64" s="360"/>
      <c r="R64" s="740"/>
      <c r="S64" s="903">
        <f t="shared" si="14"/>
        <v>0</v>
      </c>
      <c r="T64" s="90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0">
        <f>PIERNA!F65</f>
        <v>0</v>
      </c>
      <c r="G65" s="156">
        <f>PIERNA!G65</f>
        <v>0</v>
      </c>
      <c r="H65" s="880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2"/>
      <c r="P65" s="470"/>
      <c r="Q65" s="360"/>
      <c r="R65" s="740"/>
      <c r="S65" s="903">
        <f t="shared" si="14"/>
        <v>0</v>
      </c>
      <c r="T65" s="90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0">
        <f>PIERNA!F61</f>
        <v>0</v>
      </c>
      <c r="G66" s="156">
        <f>PIERNA!G61</f>
        <v>0</v>
      </c>
      <c r="H66" s="880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2"/>
      <c r="P66" s="470"/>
      <c r="Q66" s="360"/>
      <c r="R66" s="740"/>
      <c r="S66" s="903">
        <f t="shared" si="14"/>
        <v>0</v>
      </c>
      <c r="T66" s="90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0">
        <f>PIERNA!F62</f>
        <v>0</v>
      </c>
      <c r="G67" s="156">
        <f>PIERNA!G62</f>
        <v>0</v>
      </c>
      <c r="H67" s="880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2"/>
      <c r="P67" s="470"/>
      <c r="Q67" s="360"/>
      <c r="R67" s="740"/>
      <c r="S67" s="903">
        <f t="shared" si="14"/>
        <v>0</v>
      </c>
      <c r="T67" s="90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0">
        <f>PIERNA!F63</f>
        <v>0</v>
      </c>
      <c r="G68" s="156">
        <f>PIERNA!G63</f>
        <v>0</v>
      </c>
      <c r="H68" s="880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2"/>
      <c r="P68" s="470"/>
      <c r="Q68" s="360"/>
      <c r="R68" s="740"/>
      <c r="S68" s="903">
        <f t="shared" si="14"/>
        <v>0</v>
      </c>
      <c r="T68" s="90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0">
        <f>PIERNA!F64</f>
        <v>0</v>
      </c>
      <c r="G69" s="156">
        <f>PIERNA!G64</f>
        <v>0</v>
      </c>
      <c r="H69" s="880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2"/>
      <c r="P69" s="470"/>
      <c r="Q69" s="360"/>
      <c r="R69" s="740"/>
      <c r="S69" s="903">
        <f t="shared" si="14"/>
        <v>0</v>
      </c>
      <c r="T69" s="90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0">
        <f>PIERNA!F65</f>
        <v>0</v>
      </c>
      <c r="G70" s="156">
        <f>PIERNA!G65</f>
        <v>0</v>
      </c>
      <c r="H70" s="880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2"/>
      <c r="P70" s="470"/>
      <c r="Q70" s="360"/>
      <c r="R70" s="740"/>
      <c r="S70" s="903">
        <f t="shared" si="14"/>
        <v>0</v>
      </c>
      <c r="T70" s="90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0">
        <f>PIERNA!F66</f>
        <v>0</v>
      </c>
      <c r="G71" s="156">
        <f>PIERNA!G66</f>
        <v>0</v>
      </c>
      <c r="H71" s="880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2"/>
      <c r="P71" s="470"/>
      <c r="Q71" s="360"/>
      <c r="R71" s="740"/>
      <c r="S71" s="903">
        <f t="shared" si="14"/>
        <v>0</v>
      </c>
      <c r="T71" s="90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0">
        <f>PIERNA!F67</f>
        <v>0</v>
      </c>
      <c r="G72" s="156">
        <f>PIERNA!G67</f>
        <v>0</v>
      </c>
      <c r="H72" s="880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2"/>
      <c r="P72" s="470"/>
      <c r="Q72" s="360"/>
      <c r="R72" s="740"/>
      <c r="S72" s="903">
        <f t="shared" ref="S72:S153" si="15">Q72+M72+K72</f>
        <v>0</v>
      </c>
      <c r="T72" s="90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0">
        <f>PIERNA!F68</f>
        <v>0</v>
      </c>
      <c r="G73" s="156">
        <f>PIERNA!G68</f>
        <v>0</v>
      </c>
      <c r="H73" s="880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2"/>
      <c r="P73" s="470"/>
      <c r="Q73" s="360"/>
      <c r="R73" s="740"/>
      <c r="S73" s="903">
        <f t="shared" si="15"/>
        <v>0</v>
      </c>
      <c r="T73" s="90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0">
        <f>PIERNA!F69</f>
        <v>0</v>
      </c>
      <c r="G74" s="156">
        <f>PIERNA!G69</f>
        <v>0</v>
      </c>
      <c r="H74" s="880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2"/>
      <c r="P74" s="470"/>
      <c r="Q74" s="360"/>
      <c r="R74" s="740"/>
      <c r="S74" s="903">
        <f t="shared" si="15"/>
        <v>0</v>
      </c>
      <c r="T74" s="90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0">
        <f>PIERNA!F70</f>
        <v>0</v>
      </c>
      <c r="G75" s="156">
        <f>PIERNA!G70</f>
        <v>0</v>
      </c>
      <c r="H75" s="880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2"/>
      <c r="P75" s="470"/>
      <c r="Q75" s="360"/>
      <c r="R75" s="740"/>
      <c r="S75" s="903">
        <f t="shared" si="15"/>
        <v>0</v>
      </c>
      <c r="T75" s="90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0">
        <f>PIERNA!F71</f>
        <v>0</v>
      </c>
      <c r="G76" s="156">
        <f>PIERNA!G71</f>
        <v>0</v>
      </c>
      <c r="H76" s="880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2"/>
      <c r="P76" s="470"/>
      <c r="Q76" s="360"/>
      <c r="R76" s="740"/>
      <c r="S76" s="903">
        <f t="shared" si="15"/>
        <v>0</v>
      </c>
      <c r="T76" s="90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0">
        <f>PIERNA!F72</f>
        <v>0</v>
      </c>
      <c r="G77" s="156">
        <f>PIERNA!G72</f>
        <v>0</v>
      </c>
      <c r="H77" s="880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2"/>
      <c r="P77" s="470"/>
      <c r="Q77" s="360"/>
      <c r="R77" s="740"/>
      <c r="S77" s="903">
        <f t="shared" si="15"/>
        <v>0</v>
      </c>
      <c r="T77" s="90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0">
        <f>PIERNA!F73</f>
        <v>0</v>
      </c>
      <c r="G78" s="156">
        <f>PIERNA!G73</f>
        <v>0</v>
      </c>
      <c r="H78" s="880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2"/>
      <c r="P78" s="470"/>
      <c r="Q78" s="360"/>
      <c r="R78" s="740"/>
      <c r="S78" s="903">
        <f t="shared" si="15"/>
        <v>0</v>
      </c>
      <c r="T78" s="90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0">
        <f>PIERNA!F74</f>
        <v>0</v>
      </c>
      <c r="G79" s="156">
        <f>PIERNA!G74</f>
        <v>0</v>
      </c>
      <c r="H79" s="880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2"/>
      <c r="P79" s="470"/>
      <c r="Q79" s="360"/>
      <c r="R79" s="740"/>
      <c r="S79" s="903">
        <f t="shared" si="15"/>
        <v>0</v>
      </c>
      <c r="T79" s="90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0">
        <f>PIERNA!F75</f>
        <v>0</v>
      </c>
      <c r="G80" s="156">
        <f>PIERNA!G75</f>
        <v>0</v>
      </c>
      <c r="H80" s="880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2"/>
      <c r="P80" s="470"/>
      <c r="Q80" s="360"/>
      <c r="R80" s="740"/>
      <c r="S80" s="903">
        <f t="shared" si="15"/>
        <v>0</v>
      </c>
      <c r="T80" s="90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0">
        <f>PIERNA!F76</f>
        <v>0</v>
      </c>
      <c r="G81" s="156">
        <f>PIERNA!G76</f>
        <v>0</v>
      </c>
      <c r="H81" s="880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2"/>
      <c r="P81" s="470"/>
      <c r="Q81" s="360"/>
      <c r="R81" s="740"/>
      <c r="S81" s="903">
        <f t="shared" si="15"/>
        <v>0</v>
      </c>
      <c r="T81" s="90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0">
        <f>PIERNA!F77</f>
        <v>0</v>
      </c>
      <c r="G82" s="156">
        <f>PIERNA!G77</f>
        <v>0</v>
      </c>
      <c r="H82" s="880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2"/>
      <c r="P82" s="470"/>
      <c r="Q82" s="360"/>
      <c r="R82" s="740"/>
      <c r="S82" s="903">
        <f t="shared" si="15"/>
        <v>0</v>
      </c>
      <c r="T82" s="90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0">
        <f>PIERNA!F78</f>
        <v>0</v>
      </c>
      <c r="G83" s="156">
        <f>PIERNA!G78</f>
        <v>0</v>
      </c>
      <c r="H83" s="880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2"/>
      <c r="P83" s="470"/>
      <c r="Q83" s="360"/>
      <c r="R83" s="740"/>
      <c r="S83" s="903">
        <f t="shared" si="15"/>
        <v>0</v>
      </c>
      <c r="T83" s="90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0">
        <f>PIERNA!F79</f>
        <v>0</v>
      </c>
      <c r="G84" s="156">
        <f>PIERNA!G79</f>
        <v>0</v>
      </c>
      <c r="H84" s="880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2"/>
      <c r="P84" s="470"/>
      <c r="Q84" s="360"/>
      <c r="R84" s="740"/>
      <c r="S84" s="903">
        <f t="shared" si="15"/>
        <v>0</v>
      </c>
      <c r="T84" s="90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0">
        <f>PIERNA!F80</f>
        <v>0</v>
      </c>
      <c r="G85" s="156">
        <f>PIERNA!G80</f>
        <v>0</v>
      </c>
      <c r="H85" s="880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2"/>
      <c r="P85" s="470"/>
      <c r="Q85" s="360"/>
      <c r="R85" s="740"/>
      <c r="S85" s="903">
        <f t="shared" si="15"/>
        <v>0</v>
      </c>
      <c r="T85" s="90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0">
        <f>PIERNA!F81</f>
        <v>0</v>
      </c>
      <c r="G86" s="156">
        <f>PIERNA!G81</f>
        <v>0</v>
      </c>
      <c r="H86" s="880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2"/>
      <c r="P86" s="470"/>
      <c r="Q86" s="360"/>
      <c r="R86" s="740"/>
      <c r="S86" s="903">
        <f t="shared" si="15"/>
        <v>0</v>
      </c>
      <c r="T86" s="90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0">
        <f>PIERNA!F82</f>
        <v>0</v>
      </c>
      <c r="G87" s="156">
        <f>PIERNA!G82</f>
        <v>0</v>
      </c>
      <c r="H87" s="880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2"/>
      <c r="P87" s="470"/>
      <c r="Q87" s="360"/>
      <c r="R87" s="740"/>
      <c r="S87" s="903">
        <f t="shared" si="15"/>
        <v>0</v>
      </c>
      <c r="T87" s="90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0">
        <f>PIERNA!F83</f>
        <v>0</v>
      </c>
      <c r="G88" s="156">
        <f>PIERNA!G83</f>
        <v>0</v>
      </c>
      <c r="H88" s="880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2"/>
      <c r="P88" s="470"/>
      <c r="Q88" s="360"/>
      <c r="R88" s="740"/>
      <c r="S88" s="903">
        <f t="shared" si="15"/>
        <v>0</v>
      </c>
      <c r="T88" s="90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0">
        <f>PIERNA!F84</f>
        <v>0</v>
      </c>
      <c r="G89" s="156">
        <f>PIERNA!G84</f>
        <v>0</v>
      </c>
      <c r="H89" s="880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2"/>
      <c r="P89" s="470"/>
      <c r="Q89" s="360"/>
      <c r="R89" s="740"/>
      <c r="S89" s="903">
        <f t="shared" si="15"/>
        <v>0</v>
      </c>
      <c r="T89" s="90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0">
        <f>PIERNA!F85</f>
        <v>0</v>
      </c>
      <c r="G90" s="156">
        <f>PIERNA!G85</f>
        <v>0</v>
      </c>
      <c r="H90" s="880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2"/>
      <c r="P90" s="470"/>
      <c r="Q90" s="360"/>
      <c r="R90" s="740"/>
      <c r="S90" s="903">
        <f t="shared" si="15"/>
        <v>0</v>
      </c>
      <c r="T90" s="90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0">
        <f>PIERNA!F86</f>
        <v>0</v>
      </c>
      <c r="G91" s="156">
        <f>PIERNA!G86</f>
        <v>0</v>
      </c>
      <c r="H91" s="880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2"/>
      <c r="P91" s="470"/>
      <c r="Q91" s="360"/>
      <c r="R91" s="740"/>
      <c r="S91" s="903">
        <f t="shared" si="15"/>
        <v>0</v>
      </c>
      <c r="T91" s="90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0">
        <f>PIERNA!F87</f>
        <v>0</v>
      </c>
      <c r="G92" s="156">
        <f>PIERNA!G87</f>
        <v>0</v>
      </c>
      <c r="H92" s="880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2"/>
      <c r="P92" s="470"/>
      <c r="Q92" s="360"/>
      <c r="R92" s="740"/>
      <c r="S92" s="903">
        <f t="shared" si="15"/>
        <v>0</v>
      </c>
      <c r="T92" s="90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0">
        <f>PIERNA!F88</f>
        <v>0</v>
      </c>
      <c r="G93" s="156">
        <f>PIERNA!G88</f>
        <v>0</v>
      </c>
      <c r="H93" s="880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2"/>
      <c r="P93" s="470"/>
      <c r="Q93" s="360"/>
      <c r="R93" s="740"/>
      <c r="S93" s="903">
        <f t="shared" si="15"/>
        <v>0</v>
      </c>
      <c r="T93" s="90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0"/>
      <c r="G94" s="156"/>
      <c r="H94" s="880"/>
      <c r="I94" s="102">
        <f>PIERNA!I94</f>
        <v>0</v>
      </c>
      <c r="J94" s="591"/>
      <c r="K94" s="768"/>
      <c r="L94" s="603"/>
      <c r="M94" s="739"/>
      <c r="N94" s="608"/>
      <c r="O94" s="1032"/>
      <c r="P94" s="470"/>
      <c r="Q94" s="360"/>
      <c r="R94" s="740"/>
      <c r="S94" s="903">
        <f t="shared" si="15"/>
        <v>0</v>
      </c>
      <c r="T94" s="90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0"/>
      <c r="G95" s="156"/>
      <c r="H95" s="880"/>
      <c r="I95" s="102">
        <f>PIERNA!I95</f>
        <v>0</v>
      </c>
      <c r="J95" s="698"/>
      <c r="K95" s="601"/>
      <c r="L95" s="603"/>
      <c r="M95" s="601"/>
      <c r="N95" s="608"/>
      <c r="O95" s="1032"/>
      <c r="P95" s="470"/>
      <c r="Q95" s="360"/>
      <c r="R95" s="740"/>
      <c r="S95" s="903">
        <f t="shared" si="15"/>
        <v>0</v>
      </c>
      <c r="T95" s="90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0"/>
      <c r="G96" s="156"/>
      <c r="H96" s="880"/>
      <c r="I96" s="102"/>
      <c r="J96" s="698"/>
      <c r="K96" s="601"/>
      <c r="L96" s="603"/>
      <c r="M96" s="601"/>
      <c r="N96" s="608"/>
      <c r="O96" s="1032"/>
      <c r="P96" s="470"/>
      <c r="Q96" s="360"/>
      <c r="R96" s="740"/>
      <c r="S96" s="903">
        <f t="shared" si="15"/>
        <v>0</v>
      </c>
      <c r="T96" s="90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0"/>
      <c r="G97" s="156"/>
      <c r="H97" s="880"/>
      <c r="I97" s="102"/>
      <c r="J97" s="698"/>
      <c r="K97" s="601"/>
      <c r="L97" s="603"/>
      <c r="M97" s="601"/>
      <c r="N97" s="608"/>
      <c r="O97" s="1034"/>
      <c r="P97" s="469"/>
      <c r="Q97" s="469"/>
      <c r="R97" s="602"/>
      <c r="S97" s="903">
        <f t="shared" si="15"/>
        <v>0</v>
      </c>
      <c r="T97" s="90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0"/>
      <c r="G98" s="156"/>
      <c r="H98" s="880"/>
      <c r="I98" s="102"/>
      <c r="J98" s="1120"/>
      <c r="K98" s="1121"/>
      <c r="L98" s="1122"/>
      <c r="M98" s="1121"/>
      <c r="N98" s="1123"/>
      <c r="O98" s="1035"/>
      <c r="P98" s="1124"/>
      <c r="Q98" s="1124"/>
      <c r="R98" s="1018"/>
      <c r="S98" s="903"/>
      <c r="T98" s="904"/>
    </row>
    <row r="99" spans="1:24" s="148" customFormat="1" ht="38.25" customHeight="1" x14ac:dyDescent="0.3">
      <c r="A99" s="1009">
        <v>61</v>
      </c>
      <c r="B99" s="1359" t="s">
        <v>92</v>
      </c>
      <c r="C99" s="773" t="s">
        <v>354</v>
      </c>
      <c r="D99" s="1106"/>
      <c r="E99" s="844">
        <v>45110</v>
      </c>
      <c r="F99" s="863">
        <v>2002.14</v>
      </c>
      <c r="G99" s="605">
        <v>441</v>
      </c>
      <c r="H99" s="946">
        <v>2002.14</v>
      </c>
      <c r="I99" s="761">
        <f t="shared" ref="I99:I108" si="18">H99-F99</f>
        <v>0</v>
      </c>
      <c r="J99" s="1108"/>
      <c r="K99" s="1109"/>
      <c r="L99" s="1110"/>
      <c r="M99" s="1109"/>
      <c r="N99" s="1112"/>
      <c r="O99" s="1035" t="s">
        <v>355</v>
      </c>
      <c r="P99" s="1112"/>
      <c r="Q99" s="1111">
        <v>86092.02</v>
      </c>
      <c r="R99" s="1235" t="s">
        <v>422</v>
      </c>
      <c r="S99" s="903">
        <f t="shared" ref="S99:S100" si="19">Q99+M99+K99</f>
        <v>86092.02</v>
      </c>
      <c r="T99" s="904">
        <f t="shared" ref="T99:T100" si="20">S99/H99</f>
        <v>43</v>
      </c>
    </row>
    <row r="100" spans="1:24" s="148" customFormat="1" ht="57" customHeight="1" thickBot="1" x14ac:dyDescent="0.35">
      <c r="A100" s="1009">
        <v>62</v>
      </c>
      <c r="B100" s="1414" t="s">
        <v>376</v>
      </c>
      <c r="C100" s="1180" t="s">
        <v>377</v>
      </c>
      <c r="D100" s="1415"/>
      <c r="E100" s="1416" t="s">
        <v>435</v>
      </c>
      <c r="F100" s="870">
        <v>4145.3999999999996</v>
      </c>
      <c r="G100" s="700">
        <v>10</v>
      </c>
      <c r="H100" s="870">
        <v>4166.5</v>
      </c>
      <c r="I100" s="677">
        <f t="shared" si="18"/>
        <v>21.100000000000364</v>
      </c>
      <c r="J100" s="1236"/>
      <c r="K100" s="1109"/>
      <c r="L100" s="1113"/>
      <c r="M100" s="1109"/>
      <c r="N100" s="947"/>
      <c r="O100" s="1417" t="s">
        <v>436</v>
      </c>
      <c r="P100" s="1427">
        <v>4176</v>
      </c>
      <c r="Q100" s="1418">
        <f>300000+99984</f>
        <v>399984</v>
      </c>
      <c r="R100" s="1419" t="s">
        <v>437</v>
      </c>
      <c r="S100" s="903">
        <f t="shared" si="19"/>
        <v>399984</v>
      </c>
      <c r="T100" s="904">
        <f t="shared" si="20"/>
        <v>96</v>
      </c>
      <c r="X100" s="906">
        <f>SUM(X59:X99)</f>
        <v>0</v>
      </c>
    </row>
    <row r="101" spans="1:24" s="148" customFormat="1" ht="31.5" customHeight="1" x14ac:dyDescent="0.3">
      <c r="A101" s="1009">
        <v>63</v>
      </c>
      <c r="B101" s="1607" t="s">
        <v>98</v>
      </c>
      <c r="C101" s="1364" t="s">
        <v>360</v>
      </c>
      <c r="D101" s="1106"/>
      <c r="E101" s="844">
        <v>45112</v>
      </c>
      <c r="F101" s="863">
        <v>927.83</v>
      </c>
      <c r="G101" s="605">
        <v>35</v>
      </c>
      <c r="H101" s="946">
        <v>927.83</v>
      </c>
      <c r="I101" s="761">
        <f t="shared" si="18"/>
        <v>0</v>
      </c>
      <c r="J101" s="1108"/>
      <c r="K101" s="1109"/>
      <c r="L101" s="1110"/>
      <c r="M101" s="1109"/>
      <c r="N101" s="1139"/>
      <c r="O101" s="1609" t="s">
        <v>362</v>
      </c>
      <c r="P101" s="1140"/>
      <c r="Q101" s="1159">
        <v>60308.95</v>
      </c>
      <c r="R101" s="1599" t="s">
        <v>423</v>
      </c>
      <c r="S101" s="903">
        <f t="shared" ref="S101" si="21">Q101+M101+K101</f>
        <v>60308.95</v>
      </c>
      <c r="T101" s="904">
        <f t="shared" ref="T101" si="22">S101/H101</f>
        <v>65</v>
      </c>
    </row>
    <row r="102" spans="1:24" s="148" customFormat="1" ht="31.5" customHeight="1" thickBot="1" x14ac:dyDescent="0.35">
      <c r="A102" s="1009">
        <v>64</v>
      </c>
      <c r="B102" s="1608"/>
      <c r="C102" s="1364" t="s">
        <v>361</v>
      </c>
      <c r="D102" s="1106"/>
      <c r="E102" s="844">
        <v>45112</v>
      </c>
      <c r="F102" s="863">
        <v>1178.1600000000001</v>
      </c>
      <c r="G102" s="605">
        <v>35</v>
      </c>
      <c r="H102" s="946">
        <v>1178.1600000000001</v>
      </c>
      <c r="I102" s="761">
        <f t="shared" si="18"/>
        <v>0</v>
      </c>
      <c r="J102" s="1108"/>
      <c r="K102" s="1109"/>
      <c r="L102" s="1110"/>
      <c r="M102" s="1109"/>
      <c r="N102" s="1139"/>
      <c r="O102" s="1610"/>
      <c r="P102" s="1140"/>
      <c r="Q102" s="1159">
        <v>74224.08</v>
      </c>
      <c r="R102" s="1600"/>
      <c r="S102" s="903">
        <f t="shared" ref="S102:S104" si="23">Q102+M102+K102</f>
        <v>74224.08</v>
      </c>
      <c r="T102" s="904">
        <f t="shared" ref="T102:T104" si="24">S102/H102</f>
        <v>63</v>
      </c>
    </row>
    <row r="103" spans="1:24" s="148" customFormat="1" ht="31.5" customHeight="1" x14ac:dyDescent="0.3">
      <c r="A103" s="1009">
        <v>65</v>
      </c>
      <c r="B103" s="1611" t="s">
        <v>369</v>
      </c>
      <c r="C103" s="1364" t="s">
        <v>370</v>
      </c>
      <c r="D103" s="1106"/>
      <c r="E103" s="1613">
        <v>45117</v>
      </c>
      <c r="F103" s="863">
        <v>1031.74</v>
      </c>
      <c r="G103" s="605">
        <v>84</v>
      </c>
      <c r="H103" s="946">
        <v>1031.74</v>
      </c>
      <c r="I103" s="761">
        <f t="shared" si="18"/>
        <v>0</v>
      </c>
      <c r="J103" s="1108"/>
      <c r="K103" s="1109"/>
      <c r="L103" s="1110"/>
      <c r="M103" s="1109"/>
      <c r="N103" s="1139"/>
      <c r="O103" s="1615" t="s">
        <v>434</v>
      </c>
      <c r="P103" s="1140"/>
      <c r="Q103" s="1410">
        <f>90793.12-90793.12</f>
        <v>0</v>
      </c>
      <c r="R103" s="1411"/>
      <c r="S103" s="903">
        <f t="shared" si="23"/>
        <v>0</v>
      </c>
      <c r="T103" s="904">
        <f t="shared" si="24"/>
        <v>0</v>
      </c>
    </row>
    <row r="104" spans="1:24" s="148" customFormat="1" ht="28.5" customHeight="1" thickBot="1" x14ac:dyDescent="0.35">
      <c r="A104" s="1009">
        <v>66</v>
      </c>
      <c r="B104" s="1612"/>
      <c r="C104" s="1365" t="s">
        <v>371</v>
      </c>
      <c r="D104" s="1237"/>
      <c r="E104" s="1614"/>
      <c r="F104" s="863">
        <v>499.4</v>
      </c>
      <c r="G104" s="605">
        <v>43</v>
      </c>
      <c r="H104" s="946">
        <v>499.4</v>
      </c>
      <c r="I104" s="761">
        <f t="shared" si="18"/>
        <v>0</v>
      </c>
      <c r="J104" s="771"/>
      <c r="K104" s="1109"/>
      <c r="L104" s="1110"/>
      <c r="M104" s="1109"/>
      <c r="N104" s="1139"/>
      <c r="O104" s="1616"/>
      <c r="P104" s="1360"/>
      <c r="Q104" s="1410">
        <f>43947.2-43947.2</f>
        <v>0</v>
      </c>
      <c r="R104" s="1412"/>
      <c r="S104" s="903">
        <f t="shared" si="23"/>
        <v>0</v>
      </c>
      <c r="T104" s="904">
        <f t="shared" si="24"/>
        <v>0</v>
      </c>
    </row>
    <row r="105" spans="1:24" s="148" customFormat="1" ht="41.25" customHeight="1" thickBot="1" x14ac:dyDescent="0.35">
      <c r="A105" s="1009">
        <v>67</v>
      </c>
      <c r="B105" s="1367" t="s">
        <v>373</v>
      </c>
      <c r="C105" s="773" t="s">
        <v>354</v>
      </c>
      <c r="D105" s="1238"/>
      <c r="E105" s="1370">
        <v>45119</v>
      </c>
      <c r="F105" s="863">
        <v>2020.3</v>
      </c>
      <c r="G105" s="605">
        <v>445</v>
      </c>
      <c r="H105" s="946">
        <v>2020.3</v>
      </c>
      <c r="I105" s="761">
        <f t="shared" si="18"/>
        <v>0</v>
      </c>
      <c r="J105" s="771"/>
      <c r="K105" s="1109"/>
      <c r="L105" s="1110"/>
      <c r="M105" s="1109"/>
      <c r="N105" s="1139"/>
      <c r="O105" s="1372" t="s">
        <v>374</v>
      </c>
      <c r="P105" s="1361"/>
      <c r="Q105" s="1111">
        <v>84852.6</v>
      </c>
      <c r="R105" s="1404" t="s">
        <v>429</v>
      </c>
      <c r="S105" s="903">
        <f t="shared" ref="S105:S108" si="25">Q105+M105+K105</f>
        <v>84852.6</v>
      </c>
      <c r="T105" s="904">
        <f t="shared" ref="T105:T110" si="26">S105/H105</f>
        <v>42.000000000000007</v>
      </c>
    </row>
    <row r="106" spans="1:24" s="148" customFormat="1" ht="44.25" customHeight="1" x14ac:dyDescent="0.3">
      <c r="A106" s="1009">
        <v>68</v>
      </c>
      <c r="B106" s="1617" t="s">
        <v>107</v>
      </c>
      <c r="C106" s="1366" t="s">
        <v>370</v>
      </c>
      <c r="D106" s="1368"/>
      <c r="E106" s="1620">
        <v>45119</v>
      </c>
      <c r="F106" s="1369">
        <v>1039.08</v>
      </c>
      <c r="G106" s="605">
        <v>84</v>
      </c>
      <c r="H106" s="946">
        <v>1039.08</v>
      </c>
      <c r="I106" s="761">
        <f t="shared" si="18"/>
        <v>0</v>
      </c>
      <c r="J106" s="771"/>
      <c r="K106" s="1109"/>
      <c r="L106" s="1110"/>
      <c r="M106" s="1109"/>
      <c r="N106" s="1139"/>
      <c r="O106" s="1609" t="s">
        <v>375</v>
      </c>
      <c r="P106" s="1157"/>
      <c r="Q106" s="1159">
        <v>88321.8</v>
      </c>
      <c r="R106" s="1586" t="s">
        <v>419</v>
      </c>
      <c r="S106" s="903">
        <f t="shared" si="25"/>
        <v>88321.8</v>
      </c>
      <c r="T106" s="904">
        <f t="shared" si="26"/>
        <v>85.000000000000014</v>
      </c>
    </row>
    <row r="107" spans="1:24" s="148" customFormat="1" ht="44.25" customHeight="1" x14ac:dyDescent="0.3">
      <c r="A107" s="1009">
        <v>69</v>
      </c>
      <c r="B107" s="1618"/>
      <c r="C107" s="1366" t="s">
        <v>371</v>
      </c>
      <c r="D107" s="1368"/>
      <c r="E107" s="1621"/>
      <c r="F107" s="1369">
        <v>993.12</v>
      </c>
      <c r="G107" s="605">
        <v>84</v>
      </c>
      <c r="H107" s="946">
        <v>993.12</v>
      </c>
      <c r="I107" s="761">
        <f t="shared" si="18"/>
        <v>0</v>
      </c>
      <c r="J107" s="771"/>
      <c r="K107" s="1109"/>
      <c r="L107" s="1110"/>
      <c r="M107" s="1109"/>
      <c r="N107" s="1139"/>
      <c r="O107" s="1623"/>
      <c r="P107" s="1157"/>
      <c r="Q107" s="1159">
        <v>84415.2</v>
      </c>
      <c r="R107" s="1598"/>
      <c r="S107" s="903">
        <f t="shared" si="25"/>
        <v>84415.2</v>
      </c>
      <c r="T107" s="904">
        <f t="shared" si="26"/>
        <v>85</v>
      </c>
    </row>
    <row r="108" spans="1:24" s="148" customFormat="1" ht="44.25" customHeight="1" thickBot="1" x14ac:dyDescent="0.35">
      <c r="A108" s="1009">
        <v>70</v>
      </c>
      <c r="B108" s="1619"/>
      <c r="C108" s="1366" t="s">
        <v>72</v>
      </c>
      <c r="D108" s="1368"/>
      <c r="E108" s="1622"/>
      <c r="F108" s="1369">
        <v>496.2</v>
      </c>
      <c r="G108" s="605">
        <v>39</v>
      </c>
      <c r="H108" s="946">
        <v>496.2</v>
      </c>
      <c r="I108" s="761">
        <f t="shared" si="18"/>
        <v>0</v>
      </c>
      <c r="J108" s="771"/>
      <c r="K108" s="1109"/>
      <c r="L108" s="1110"/>
      <c r="M108" s="1109"/>
      <c r="N108" s="1139"/>
      <c r="O108" s="1610"/>
      <c r="P108" s="1157"/>
      <c r="Q108" s="1159">
        <v>20607.189999999999</v>
      </c>
      <c r="R108" s="1587"/>
      <c r="S108" s="903">
        <f t="shared" si="25"/>
        <v>20607.189999999999</v>
      </c>
      <c r="T108" s="904">
        <f t="shared" si="26"/>
        <v>41.530008061265619</v>
      </c>
    </row>
    <row r="109" spans="1:24" s="148" customFormat="1" ht="44.25" customHeight="1" x14ac:dyDescent="0.3">
      <c r="A109" s="1009">
        <v>71</v>
      </c>
      <c r="B109" s="1400" t="s">
        <v>376</v>
      </c>
      <c r="C109" s="1401" t="s">
        <v>377</v>
      </c>
      <c r="D109" s="1239"/>
      <c r="E109" s="1371">
        <v>45119</v>
      </c>
      <c r="F109" s="869">
        <v>4237.3999999999996</v>
      </c>
      <c r="G109" s="845"/>
      <c r="H109" s="884">
        <v>4280.01</v>
      </c>
      <c r="I109" s="761">
        <f t="shared" ref="I109:I117" si="27">H109-F109</f>
        <v>42.610000000000582</v>
      </c>
      <c r="J109" s="698"/>
      <c r="K109" s="1109"/>
      <c r="L109" s="1110"/>
      <c r="M109" s="1109"/>
      <c r="N109" s="1139"/>
      <c r="O109" s="1373" t="s">
        <v>378</v>
      </c>
      <c r="P109" s="1413">
        <v>4176</v>
      </c>
      <c r="Q109" s="1159">
        <f>200000+210880</f>
        <v>410880</v>
      </c>
      <c r="R109" s="1405" t="s">
        <v>425</v>
      </c>
      <c r="S109" s="903">
        <f>Q109+M109+K109</f>
        <v>410880</v>
      </c>
      <c r="T109" s="904">
        <f t="shared" si="26"/>
        <v>95.999775701458631</v>
      </c>
    </row>
    <row r="110" spans="1:24" s="148" customFormat="1" ht="40.5" customHeight="1" thickBot="1" x14ac:dyDescent="0.35">
      <c r="A110" s="1009">
        <v>72</v>
      </c>
      <c r="B110" s="1377" t="s">
        <v>80</v>
      </c>
      <c r="C110" s="1242" t="s">
        <v>380</v>
      </c>
      <c r="D110" s="1242"/>
      <c r="E110" s="1379">
        <v>45120</v>
      </c>
      <c r="F110" s="863">
        <v>5003.5600000000004</v>
      </c>
      <c r="G110" s="605">
        <v>176</v>
      </c>
      <c r="H110" s="946">
        <v>5003.5600000000004</v>
      </c>
      <c r="I110" s="956">
        <f t="shared" si="27"/>
        <v>0</v>
      </c>
      <c r="J110" s="698"/>
      <c r="K110" s="1109"/>
      <c r="L110" s="1110"/>
      <c r="M110" s="1109"/>
      <c r="N110" s="1139"/>
      <c r="O110" s="1461" t="s">
        <v>474</v>
      </c>
      <c r="P110" s="1149"/>
      <c r="Q110" s="1159">
        <v>595423.64</v>
      </c>
      <c r="R110" s="1468" t="s">
        <v>475</v>
      </c>
      <c r="S110" s="903">
        <f>Q110+M110+K110</f>
        <v>595423.64</v>
      </c>
      <c r="T110" s="904">
        <f t="shared" si="26"/>
        <v>119</v>
      </c>
    </row>
    <row r="111" spans="1:24" s="148" customFormat="1" ht="28.5" customHeight="1" x14ac:dyDescent="0.3">
      <c r="A111" s="1009">
        <v>73</v>
      </c>
      <c r="B111" s="1647" t="s">
        <v>383</v>
      </c>
      <c r="C111" s="1375" t="s">
        <v>103</v>
      </c>
      <c r="D111" s="1378"/>
      <c r="E111" s="1650">
        <v>45122</v>
      </c>
      <c r="F111" s="1369">
        <v>3885.25</v>
      </c>
      <c r="G111" s="605">
        <v>137</v>
      </c>
      <c r="H111" s="946">
        <v>3885.25</v>
      </c>
      <c r="I111" s="956">
        <f t="shared" si="27"/>
        <v>0</v>
      </c>
      <c r="J111" s="698"/>
      <c r="K111" s="1109"/>
      <c r="L111" s="1110"/>
      <c r="M111" s="1109"/>
      <c r="N111" s="1139"/>
      <c r="O111" s="1653">
        <v>20554</v>
      </c>
      <c r="P111" s="1149"/>
      <c r="Q111" s="1159">
        <v>256426.5</v>
      </c>
      <c r="R111" s="1644" t="s">
        <v>486</v>
      </c>
      <c r="S111" s="903">
        <f t="shared" ref="S111:S149" si="28">Q111+M111+K111</f>
        <v>256426.5</v>
      </c>
      <c r="T111" s="904">
        <f t="shared" ref="T111:T149" si="29">S111/H111</f>
        <v>66</v>
      </c>
    </row>
    <row r="112" spans="1:24" s="148" customFormat="1" ht="41.25" customHeight="1" x14ac:dyDescent="0.3">
      <c r="A112" s="1009">
        <v>74</v>
      </c>
      <c r="B112" s="1648"/>
      <c r="C112" s="1376" t="s">
        <v>384</v>
      </c>
      <c r="D112" s="1368"/>
      <c r="E112" s="1651"/>
      <c r="F112" s="1369">
        <v>310.56</v>
      </c>
      <c r="G112" s="605">
        <v>13</v>
      </c>
      <c r="H112" s="946">
        <v>310.56</v>
      </c>
      <c r="I112" s="956">
        <f t="shared" si="27"/>
        <v>0</v>
      </c>
      <c r="J112" s="698"/>
      <c r="K112" s="1109"/>
      <c r="L112" s="1110"/>
      <c r="M112" s="1109"/>
      <c r="N112" s="1139"/>
      <c r="O112" s="1654"/>
      <c r="P112" s="1150"/>
      <c r="Q112" s="1159">
        <v>20496.96</v>
      </c>
      <c r="R112" s="1645"/>
      <c r="S112" s="903">
        <f t="shared" si="28"/>
        <v>20496.96</v>
      </c>
      <c r="T112" s="904">
        <f t="shared" si="29"/>
        <v>66</v>
      </c>
    </row>
    <row r="113" spans="1:24" s="148" customFormat="1" ht="41.25" customHeight="1" thickBot="1" x14ac:dyDescent="0.35">
      <c r="A113" s="1009">
        <v>75</v>
      </c>
      <c r="B113" s="1649"/>
      <c r="C113" s="1376" t="s">
        <v>385</v>
      </c>
      <c r="D113" s="1368"/>
      <c r="E113" s="1652"/>
      <c r="F113" s="1369">
        <v>1224.22</v>
      </c>
      <c r="G113" s="605">
        <v>40</v>
      </c>
      <c r="H113" s="946">
        <v>1224.22</v>
      </c>
      <c r="I113" s="956">
        <f t="shared" si="27"/>
        <v>0</v>
      </c>
      <c r="J113" s="698"/>
      <c r="K113" s="1109"/>
      <c r="L113" s="1110"/>
      <c r="M113" s="1109"/>
      <c r="N113" s="1139"/>
      <c r="O113" s="1655"/>
      <c r="P113" s="1150"/>
      <c r="Q113" s="1159">
        <v>80798.52</v>
      </c>
      <c r="R113" s="1646"/>
      <c r="S113" s="903">
        <f t="shared" si="28"/>
        <v>80798.52</v>
      </c>
      <c r="T113" s="904">
        <f t="shared" si="29"/>
        <v>66</v>
      </c>
    </row>
    <row r="114" spans="1:24" s="148" customFormat="1" ht="41.25" customHeight="1" x14ac:dyDescent="0.3">
      <c r="A114" s="1009">
        <v>76</v>
      </c>
      <c r="B114" s="1617" t="s">
        <v>376</v>
      </c>
      <c r="C114" s="1471" t="s">
        <v>377</v>
      </c>
      <c r="D114" s="1368"/>
      <c r="E114" s="1630">
        <v>45126</v>
      </c>
      <c r="F114" s="1369">
        <f>2083.334+2139.166</f>
        <v>4222.5</v>
      </c>
      <c r="G114" s="605"/>
      <c r="H114" s="946">
        <f>2083.334+2139.166</f>
        <v>4222.5</v>
      </c>
      <c r="I114" s="956">
        <f t="shared" si="27"/>
        <v>0</v>
      </c>
      <c r="J114" s="1571"/>
      <c r="K114" s="1109"/>
      <c r="L114" s="1110"/>
      <c r="M114" s="1109"/>
      <c r="N114" s="1139"/>
      <c r="O114" s="1624" t="s">
        <v>418</v>
      </c>
      <c r="P114" s="1150"/>
      <c r="Q114" s="1159">
        <f>200000+205360</f>
        <v>405360</v>
      </c>
      <c r="R114" s="1586" t="s">
        <v>488</v>
      </c>
      <c r="S114" s="903">
        <f>Q114+M114+K114</f>
        <v>405360</v>
      </c>
      <c r="T114" s="904">
        <f t="shared" ref="T114" si="30">S114/H114</f>
        <v>96</v>
      </c>
    </row>
    <row r="115" spans="1:24" s="148" customFormat="1" ht="41.25" customHeight="1" thickBot="1" x14ac:dyDescent="0.35">
      <c r="A115" s="1009"/>
      <c r="B115" s="1619"/>
      <c r="C115" s="1472" t="s">
        <v>489</v>
      </c>
      <c r="D115" s="1473"/>
      <c r="E115" s="1631"/>
      <c r="F115" s="1474">
        <v>50.8</v>
      </c>
      <c r="G115" s="605"/>
      <c r="H115" s="946">
        <v>50.8</v>
      </c>
      <c r="I115" s="956">
        <f t="shared" si="27"/>
        <v>0</v>
      </c>
      <c r="J115" s="1571"/>
      <c r="K115" s="1109"/>
      <c r="L115" s="1110"/>
      <c r="M115" s="1109"/>
      <c r="N115" s="1139"/>
      <c r="O115" s="1625"/>
      <c r="P115" s="1150"/>
      <c r="Q115" s="1159">
        <v>1016</v>
      </c>
      <c r="R115" s="1587"/>
      <c r="S115" s="903">
        <f t="shared" ref="S115:S116" si="31">Q115+M115+K115</f>
        <v>1016</v>
      </c>
      <c r="T115" s="904">
        <f t="shared" ref="T115:T116" si="32">S115/H115</f>
        <v>20</v>
      </c>
    </row>
    <row r="116" spans="1:24" s="148" customFormat="1" ht="41.25" customHeight="1" thickBot="1" x14ac:dyDescent="0.35">
      <c r="A116" s="1009">
        <v>77</v>
      </c>
      <c r="B116" s="1395" t="s">
        <v>328</v>
      </c>
      <c r="C116" s="1421" t="s">
        <v>399</v>
      </c>
      <c r="D116" s="1382"/>
      <c r="E116" s="1397">
        <v>45125</v>
      </c>
      <c r="F116" s="1402">
        <v>18814.919999999998</v>
      </c>
      <c r="G116" s="605">
        <v>23</v>
      </c>
      <c r="H116" s="946">
        <v>18906</v>
      </c>
      <c r="I116" s="956">
        <f t="shared" si="27"/>
        <v>91.080000000001746</v>
      </c>
      <c r="J116" s="1463" t="s">
        <v>457</v>
      </c>
      <c r="K116" s="1109">
        <v>11424</v>
      </c>
      <c r="L116" s="1110" t="s">
        <v>431</v>
      </c>
      <c r="M116" s="1109">
        <v>37120</v>
      </c>
      <c r="N116" s="1175" t="s">
        <v>472</v>
      </c>
      <c r="O116" s="1469">
        <v>203082</v>
      </c>
      <c r="P116" s="1572">
        <v>4582</v>
      </c>
      <c r="Q116" s="1159">
        <f>43347.2*16.84</f>
        <v>729966.848</v>
      </c>
      <c r="R116" s="1470" t="s">
        <v>417</v>
      </c>
      <c r="S116" s="903">
        <f t="shared" si="31"/>
        <v>778510.848</v>
      </c>
      <c r="T116" s="904">
        <f t="shared" si="32"/>
        <v>41.177977784830212</v>
      </c>
    </row>
    <row r="117" spans="1:24" s="148" customFormat="1" ht="41.25" customHeight="1" x14ac:dyDescent="0.3">
      <c r="A117" s="1009">
        <v>78</v>
      </c>
      <c r="B117" s="1617" t="s">
        <v>373</v>
      </c>
      <c r="C117" s="1376" t="s">
        <v>401</v>
      </c>
      <c r="D117" s="1368"/>
      <c r="E117" s="1650">
        <v>45126</v>
      </c>
      <c r="F117" s="1369">
        <v>150</v>
      </c>
      <c r="G117" s="605">
        <v>15</v>
      </c>
      <c r="H117" s="946">
        <v>150</v>
      </c>
      <c r="I117" s="956">
        <f t="shared" si="27"/>
        <v>0</v>
      </c>
      <c r="J117" s="698"/>
      <c r="K117" s="1109"/>
      <c r="L117" s="1110"/>
      <c r="M117" s="1109"/>
      <c r="N117" s="1139"/>
      <c r="O117" s="1609" t="s">
        <v>403</v>
      </c>
      <c r="P117" s="1150"/>
      <c r="Q117" s="1159">
        <v>14700</v>
      </c>
      <c r="R117" s="1641" t="s">
        <v>433</v>
      </c>
      <c r="S117" s="903">
        <f t="shared" si="28"/>
        <v>14700</v>
      </c>
      <c r="T117" s="904">
        <f t="shared" si="29"/>
        <v>98</v>
      </c>
    </row>
    <row r="118" spans="1:24" s="148" customFormat="1" ht="30.75" customHeight="1" thickBot="1" x14ac:dyDescent="0.35">
      <c r="A118" s="1009">
        <v>79</v>
      </c>
      <c r="B118" s="1619"/>
      <c r="C118" s="1420" t="s">
        <v>402</v>
      </c>
      <c r="D118" s="1396"/>
      <c r="E118" s="1652"/>
      <c r="F118" s="1369">
        <v>150</v>
      </c>
      <c r="G118" s="605">
        <v>15</v>
      </c>
      <c r="H118" s="946">
        <v>150</v>
      </c>
      <c r="I118" s="956">
        <f t="shared" ref="I118:I122" si="33">H118-F118</f>
        <v>0</v>
      </c>
      <c r="J118" s="698"/>
      <c r="K118" s="1109"/>
      <c r="L118" s="1110"/>
      <c r="M118" s="1109"/>
      <c r="N118" s="1139"/>
      <c r="O118" s="1610"/>
      <c r="P118" s="1149"/>
      <c r="Q118" s="1159">
        <v>12750</v>
      </c>
      <c r="R118" s="1643"/>
      <c r="S118" s="903">
        <f t="shared" si="28"/>
        <v>12750</v>
      </c>
      <c r="T118" s="904">
        <f t="shared" si="29"/>
        <v>85</v>
      </c>
    </row>
    <row r="119" spans="1:24" s="148" customFormat="1" ht="39.75" customHeight="1" thickBot="1" x14ac:dyDescent="0.35">
      <c r="A119" s="1009">
        <v>80</v>
      </c>
      <c r="B119" s="1444" t="s">
        <v>383</v>
      </c>
      <c r="C119" s="1376" t="s">
        <v>103</v>
      </c>
      <c r="D119" s="1396"/>
      <c r="E119" s="1441">
        <v>45127</v>
      </c>
      <c r="F119" s="1369">
        <v>5070.68</v>
      </c>
      <c r="G119" s="605">
        <v>175</v>
      </c>
      <c r="H119" s="946">
        <v>5070.68</v>
      </c>
      <c r="I119" s="956">
        <f t="shared" si="33"/>
        <v>0</v>
      </c>
      <c r="J119" s="698"/>
      <c r="K119" s="1109"/>
      <c r="L119" s="1110"/>
      <c r="M119" s="1109"/>
      <c r="N119" s="1139"/>
      <c r="O119" s="1442">
        <v>20579</v>
      </c>
      <c r="P119" s="1149"/>
      <c r="Q119" s="1159">
        <v>344806.24</v>
      </c>
      <c r="R119" s="1443" t="s">
        <v>480</v>
      </c>
      <c r="S119" s="903">
        <f t="shared" ref="S119:S123" si="34">Q119+M119+K119</f>
        <v>344806.24</v>
      </c>
      <c r="T119" s="904">
        <f t="shared" ref="T119:T123" si="35">S119/H119</f>
        <v>68</v>
      </c>
    </row>
    <row r="120" spans="1:24" s="148" customFormat="1" ht="57" x14ac:dyDescent="0.3">
      <c r="A120" s="1009">
        <v>81</v>
      </c>
      <c r="B120" s="1626" t="s">
        <v>376</v>
      </c>
      <c r="C120" s="1403" t="s">
        <v>377</v>
      </c>
      <c r="D120" s="1368"/>
      <c r="E120" s="1628" t="s">
        <v>471</v>
      </c>
      <c r="F120" s="1369">
        <f>2083.334+1959.667</f>
        <v>4043.0009999999997</v>
      </c>
      <c r="G120" s="605"/>
      <c r="H120" s="946">
        <f>2083.334+1959.667</f>
        <v>4043.0009999999997</v>
      </c>
      <c r="I120" s="956">
        <f t="shared" si="33"/>
        <v>0</v>
      </c>
      <c r="J120" s="745"/>
      <c r="K120" s="1109">
        <v>4176</v>
      </c>
      <c r="L120" s="1601" t="s">
        <v>739</v>
      </c>
      <c r="M120" s="1109"/>
      <c r="N120" s="1139"/>
      <c r="O120" s="1624" t="s">
        <v>470</v>
      </c>
      <c r="P120" s="1140"/>
      <c r="Q120" s="1159">
        <f>200000+188128.03</f>
        <v>388128.03</v>
      </c>
      <c r="R120" s="1409" t="s">
        <v>477</v>
      </c>
      <c r="S120" s="903">
        <f t="shared" si="34"/>
        <v>392304.03</v>
      </c>
      <c r="T120" s="904">
        <f t="shared" si="35"/>
        <v>97.032879784100984</v>
      </c>
    </row>
    <row r="121" spans="1:24" s="148" customFormat="1" ht="31.5" customHeight="1" thickBot="1" x14ac:dyDescent="0.35">
      <c r="A121" s="1009"/>
      <c r="B121" s="1627"/>
      <c r="C121" s="1459" t="s">
        <v>71</v>
      </c>
      <c r="D121" s="1368"/>
      <c r="E121" s="1629"/>
      <c r="F121" s="1369">
        <v>195.65</v>
      </c>
      <c r="G121" s="605"/>
      <c r="H121" s="946">
        <v>195.65</v>
      </c>
      <c r="I121" s="956">
        <f t="shared" si="33"/>
        <v>0</v>
      </c>
      <c r="J121" s="745"/>
      <c r="K121" s="1109">
        <v>0</v>
      </c>
      <c r="L121" s="1602"/>
      <c r="M121" s="1109"/>
      <c r="N121" s="1139"/>
      <c r="O121" s="1625"/>
      <c r="P121" s="1140"/>
      <c r="Q121" s="1159">
        <v>27391</v>
      </c>
      <c r="R121" s="1409" t="s">
        <v>478</v>
      </c>
      <c r="S121" s="903">
        <f t="shared" si="34"/>
        <v>27391</v>
      </c>
      <c r="T121" s="904">
        <f t="shared" si="35"/>
        <v>140</v>
      </c>
    </row>
    <row r="122" spans="1:24" s="148" customFormat="1" ht="39" customHeight="1" x14ac:dyDescent="0.3">
      <c r="A122" s="1009">
        <v>82</v>
      </c>
      <c r="B122" s="961" t="s">
        <v>449</v>
      </c>
      <c r="C122" s="1243" t="s">
        <v>450</v>
      </c>
      <c r="D122" s="947"/>
      <c r="E122" s="1380">
        <v>45128</v>
      </c>
      <c r="F122" s="863">
        <v>1896.46</v>
      </c>
      <c r="G122" s="605">
        <v>2</v>
      </c>
      <c r="H122" s="946">
        <v>1896.46</v>
      </c>
      <c r="I122" s="956">
        <f t="shared" si="33"/>
        <v>0</v>
      </c>
      <c r="J122" s="698"/>
      <c r="K122" s="1109">
        <v>0</v>
      </c>
      <c r="L122" s="1603"/>
      <c r="M122" s="1109"/>
      <c r="N122" s="1139"/>
      <c r="O122" s="1460" t="s">
        <v>451</v>
      </c>
      <c r="P122" s="1151"/>
      <c r="Q122" s="1159">
        <v>47411.5</v>
      </c>
      <c r="R122" s="954" t="s">
        <v>481</v>
      </c>
      <c r="S122" s="903">
        <f t="shared" si="34"/>
        <v>47411.5</v>
      </c>
      <c r="T122" s="904">
        <f t="shared" si="35"/>
        <v>25</v>
      </c>
    </row>
    <row r="123" spans="1:24" s="148" customFormat="1" ht="45.75" customHeight="1" x14ac:dyDescent="0.25">
      <c r="A123" s="1009">
        <v>83</v>
      </c>
      <c r="B123" s="961" t="s">
        <v>383</v>
      </c>
      <c r="C123" s="1243" t="s">
        <v>66</v>
      </c>
      <c r="D123" s="947"/>
      <c r="E123" s="844">
        <v>45129</v>
      </c>
      <c r="F123" s="863">
        <v>950.03</v>
      </c>
      <c r="G123" s="605">
        <v>34</v>
      </c>
      <c r="H123" s="946">
        <v>950.03</v>
      </c>
      <c r="I123" s="426">
        <f t="shared" ref="I123:I124" si="36">H123-F123</f>
        <v>0</v>
      </c>
      <c r="J123" s="698"/>
      <c r="K123" s="1109"/>
      <c r="L123" s="1110"/>
      <c r="M123" s="1109"/>
      <c r="N123" s="1139"/>
      <c r="O123" s="1462">
        <v>20593</v>
      </c>
      <c r="P123" s="1151"/>
      <c r="Q123" s="1158">
        <v>33251.050000000003</v>
      </c>
      <c r="R123" s="1134" t="s">
        <v>468</v>
      </c>
      <c r="S123" s="903">
        <f t="shared" si="34"/>
        <v>33251.050000000003</v>
      </c>
      <c r="T123" s="904">
        <f t="shared" si="35"/>
        <v>35.000000000000007</v>
      </c>
    </row>
    <row r="124" spans="1:24" s="148" customFormat="1" ht="43.5" customHeight="1" thickBot="1" x14ac:dyDescent="0.3">
      <c r="A124" s="1009">
        <v>84</v>
      </c>
      <c r="B124" s="961" t="s">
        <v>80</v>
      </c>
      <c r="C124" s="591" t="s">
        <v>380</v>
      </c>
      <c r="D124" s="947"/>
      <c r="E124" s="844">
        <v>45129</v>
      </c>
      <c r="F124" s="870">
        <v>5014.46</v>
      </c>
      <c r="G124" s="700">
        <v>179</v>
      </c>
      <c r="H124" s="870">
        <v>5014.46</v>
      </c>
      <c r="I124" s="426">
        <f t="shared" si="36"/>
        <v>0</v>
      </c>
      <c r="J124" s="700"/>
      <c r="K124" s="1109"/>
      <c r="L124" s="1113"/>
      <c r="M124" s="1109"/>
      <c r="N124" s="1139"/>
      <c r="O124" s="1464" t="s">
        <v>482</v>
      </c>
      <c r="P124" s="1152"/>
      <c r="Q124" s="1158">
        <v>596720.74</v>
      </c>
      <c r="R124" s="1134" t="s">
        <v>468</v>
      </c>
      <c r="S124" s="903">
        <f t="shared" si="28"/>
        <v>596720.74</v>
      </c>
      <c r="T124" s="904">
        <f t="shared" si="29"/>
        <v>119</v>
      </c>
    </row>
    <row r="125" spans="1:24" s="148" customFormat="1" ht="45" customHeight="1" thickTop="1" x14ac:dyDescent="0.25">
      <c r="A125" s="1009">
        <v>86</v>
      </c>
      <c r="B125" s="961" t="s">
        <v>80</v>
      </c>
      <c r="C125" s="745" t="s">
        <v>452</v>
      </c>
      <c r="D125" s="947"/>
      <c r="E125" s="844">
        <v>45131</v>
      </c>
      <c r="F125" s="869">
        <v>18234.72</v>
      </c>
      <c r="G125" s="845">
        <v>670</v>
      </c>
      <c r="H125" s="1010">
        <v>18234.72</v>
      </c>
      <c r="I125" s="426">
        <f t="shared" ref="I125:I159" si="37">H125-F125</f>
        <v>0</v>
      </c>
      <c r="J125" s="1244"/>
      <c r="K125" s="1114"/>
      <c r="L125" s="1114"/>
      <c r="M125" s="1109"/>
      <c r="N125" s="1381"/>
      <c r="O125" s="1167" t="s">
        <v>737</v>
      </c>
      <c r="P125" s="1555"/>
      <c r="Q125" s="1553">
        <v>1349369.28</v>
      </c>
      <c r="R125" s="1554" t="s">
        <v>738</v>
      </c>
      <c r="S125" s="903">
        <f t="shared" ref="S125:S127" si="38">Q125+M125+K125</f>
        <v>1349369.28</v>
      </c>
      <c r="T125" s="904">
        <f t="shared" ref="T125:T127" si="39">S125/H125</f>
        <v>74</v>
      </c>
    </row>
    <row r="126" spans="1:24" s="148" customFormat="1" ht="31.5" customHeight="1" x14ac:dyDescent="0.3">
      <c r="A126" s="1009">
        <v>87</v>
      </c>
      <c r="B126" s="1241" t="s">
        <v>97</v>
      </c>
      <c r="C126" s="1107" t="s">
        <v>453</v>
      </c>
      <c r="D126" s="742"/>
      <c r="E126" s="844">
        <v>45131</v>
      </c>
      <c r="F126" s="998">
        <v>14400</v>
      </c>
      <c r="G126" s="1068">
        <v>1440</v>
      </c>
      <c r="H126" s="1011">
        <v>14400</v>
      </c>
      <c r="I126" s="901">
        <f t="shared" si="37"/>
        <v>0</v>
      </c>
      <c r="J126" s="699"/>
      <c r="K126" s="1114"/>
      <c r="L126" s="1114"/>
      <c r="M126" s="1109"/>
      <c r="N126" s="1112"/>
      <c r="O126" s="1034" t="s">
        <v>490</v>
      </c>
      <c r="P126" s="1112"/>
      <c r="Q126" s="1159">
        <v>504000</v>
      </c>
      <c r="R126" s="1134" t="s">
        <v>483</v>
      </c>
      <c r="S126" s="903">
        <f t="shared" si="38"/>
        <v>504000</v>
      </c>
      <c r="T126" s="904">
        <f t="shared" si="39"/>
        <v>35</v>
      </c>
      <c r="X126" s="846">
        <v>68507.399999999994</v>
      </c>
    </row>
    <row r="127" spans="1:24" s="148" customFormat="1" ht="31.5" customHeight="1" x14ac:dyDescent="0.3">
      <c r="A127" s="1009">
        <v>88</v>
      </c>
      <c r="B127" s="1241" t="s">
        <v>328</v>
      </c>
      <c r="C127" s="1446" t="s">
        <v>399</v>
      </c>
      <c r="D127" s="742"/>
      <c r="E127" s="844">
        <v>45132</v>
      </c>
      <c r="F127" s="998">
        <v>18287.650000000001</v>
      </c>
      <c r="G127" s="1068">
        <v>23</v>
      </c>
      <c r="H127" s="1011">
        <v>18388</v>
      </c>
      <c r="I127" s="901">
        <f t="shared" si="37"/>
        <v>100.34999999999854</v>
      </c>
      <c r="J127" s="1447" t="s">
        <v>456</v>
      </c>
      <c r="K127" s="1109">
        <v>12424</v>
      </c>
      <c r="L127" s="1465" t="s">
        <v>484</v>
      </c>
      <c r="M127" s="1109">
        <v>37120</v>
      </c>
      <c r="N127" s="612" t="s">
        <v>479</v>
      </c>
      <c r="O127" s="1462">
        <v>203089</v>
      </c>
      <c r="P127" s="1575">
        <v>4582</v>
      </c>
      <c r="Q127" s="1159">
        <f>43376.73*16.86</f>
        <v>731331.66780000005</v>
      </c>
      <c r="R127" s="213" t="s">
        <v>476</v>
      </c>
      <c r="S127" s="903">
        <f t="shared" si="38"/>
        <v>780875.66780000005</v>
      </c>
      <c r="T127" s="904">
        <f t="shared" si="39"/>
        <v>42.466590591690235</v>
      </c>
      <c r="X127" s="846"/>
    </row>
    <row r="128" spans="1:24" s="148" customFormat="1" ht="38.25" customHeight="1" thickBot="1" x14ac:dyDescent="0.35">
      <c r="A128" s="1009">
        <v>89</v>
      </c>
      <c r="B128" s="1452" t="s">
        <v>373</v>
      </c>
      <c r="C128" s="1107" t="s">
        <v>354</v>
      </c>
      <c r="D128" s="742"/>
      <c r="E128" s="1455">
        <v>45132</v>
      </c>
      <c r="F128" s="998">
        <v>2043</v>
      </c>
      <c r="G128" s="1068">
        <v>450</v>
      </c>
      <c r="H128" s="900">
        <v>2043</v>
      </c>
      <c r="I128" s="901">
        <f t="shared" si="37"/>
        <v>0</v>
      </c>
      <c r="J128" s="699"/>
      <c r="K128" s="1114"/>
      <c r="L128" s="1114"/>
      <c r="M128" s="1109"/>
      <c r="N128" s="1112"/>
      <c r="O128" s="1456" t="s">
        <v>458</v>
      </c>
      <c r="P128" s="1112"/>
      <c r="Q128" s="1159">
        <v>85806</v>
      </c>
      <c r="R128" s="1466" t="s">
        <v>485</v>
      </c>
      <c r="S128" s="903">
        <f t="shared" si="28"/>
        <v>85806</v>
      </c>
      <c r="T128" s="904">
        <f t="shared" si="29"/>
        <v>42</v>
      </c>
      <c r="X128" s="846"/>
    </row>
    <row r="129" spans="1:24" s="148" customFormat="1" ht="31.5" customHeight="1" x14ac:dyDescent="0.3">
      <c r="A129" s="1009">
        <v>90</v>
      </c>
      <c r="B129" s="1617" t="s">
        <v>98</v>
      </c>
      <c r="C129" s="1451" t="s">
        <v>459</v>
      </c>
      <c r="D129" s="1453"/>
      <c r="E129" s="1620">
        <v>45133</v>
      </c>
      <c r="F129" s="1454">
        <v>453.13</v>
      </c>
      <c r="G129" s="818">
        <v>14</v>
      </c>
      <c r="H129" s="902">
        <v>453.13</v>
      </c>
      <c r="I129" s="901">
        <f t="shared" si="37"/>
        <v>0</v>
      </c>
      <c r="J129" s="700"/>
      <c r="K129" s="1109"/>
      <c r="L129" s="1113"/>
      <c r="M129" s="1109"/>
      <c r="N129" s="1139"/>
      <c r="O129" s="1609" t="s">
        <v>462</v>
      </c>
      <c r="P129" s="1140"/>
      <c r="Q129" s="1159">
        <v>103313.64</v>
      </c>
      <c r="R129" s="1641" t="s">
        <v>486</v>
      </c>
      <c r="S129" s="903">
        <f t="shared" si="28"/>
        <v>103313.64</v>
      </c>
      <c r="T129" s="904">
        <f t="shared" si="29"/>
        <v>228</v>
      </c>
      <c r="X129" s="846">
        <v>2299.8000000000002</v>
      </c>
    </row>
    <row r="130" spans="1:24" s="148" customFormat="1" ht="37.5" customHeight="1" x14ac:dyDescent="0.3">
      <c r="A130" s="1009">
        <v>91</v>
      </c>
      <c r="B130" s="1618"/>
      <c r="C130" s="1451" t="s">
        <v>360</v>
      </c>
      <c r="D130" s="1453"/>
      <c r="E130" s="1621"/>
      <c r="F130" s="1454">
        <v>797.09</v>
      </c>
      <c r="G130" s="818">
        <v>30</v>
      </c>
      <c r="H130" s="902">
        <v>797.09</v>
      </c>
      <c r="I130" s="901">
        <f t="shared" si="37"/>
        <v>0</v>
      </c>
      <c r="J130" s="700"/>
      <c r="K130" s="1109"/>
      <c r="L130" s="1113"/>
      <c r="M130" s="1109"/>
      <c r="N130" s="1139"/>
      <c r="O130" s="1623"/>
      <c r="P130" s="1140"/>
      <c r="Q130" s="1159">
        <v>52607.94</v>
      </c>
      <c r="R130" s="1642"/>
      <c r="S130" s="903">
        <f t="shared" ref="S130:S134" si="40">Q130+M130+K130</f>
        <v>52607.94</v>
      </c>
      <c r="T130" s="904">
        <f t="shared" ref="T130:T133" si="41">S130/H130</f>
        <v>66</v>
      </c>
      <c r="X130" s="846"/>
    </row>
    <row r="131" spans="1:24" s="148" customFormat="1" ht="31.5" customHeight="1" x14ac:dyDescent="0.3">
      <c r="A131" s="1009">
        <v>92</v>
      </c>
      <c r="B131" s="1618"/>
      <c r="C131" s="1451" t="s">
        <v>361</v>
      </c>
      <c r="D131" s="1453"/>
      <c r="E131" s="1621"/>
      <c r="F131" s="1454">
        <v>666.16</v>
      </c>
      <c r="G131" s="818">
        <v>20</v>
      </c>
      <c r="H131" s="902">
        <v>666.16</v>
      </c>
      <c r="I131" s="901">
        <f t="shared" si="37"/>
        <v>0</v>
      </c>
      <c r="J131" s="700"/>
      <c r="K131" s="1109"/>
      <c r="L131" s="1113"/>
      <c r="M131" s="1109"/>
      <c r="N131" s="1139"/>
      <c r="O131" s="1623"/>
      <c r="P131" s="1140"/>
      <c r="Q131" s="1159">
        <v>41968.08</v>
      </c>
      <c r="R131" s="1642"/>
      <c r="S131" s="903">
        <f t="shared" si="40"/>
        <v>41968.08</v>
      </c>
      <c r="T131" s="904">
        <f t="shared" si="41"/>
        <v>63.000000000000007</v>
      </c>
      <c r="X131" s="846"/>
    </row>
    <row r="132" spans="1:24" s="148" customFormat="1" ht="31.5" customHeight="1" thickBot="1" x14ac:dyDescent="0.35">
      <c r="A132" s="1009">
        <v>93</v>
      </c>
      <c r="B132" s="1619"/>
      <c r="C132" s="1451" t="s">
        <v>460</v>
      </c>
      <c r="D132" s="1453"/>
      <c r="E132" s="1622"/>
      <c r="F132" s="1454">
        <v>239.84</v>
      </c>
      <c r="G132" s="818">
        <v>10</v>
      </c>
      <c r="H132" s="902">
        <v>239.84</v>
      </c>
      <c r="I132" s="901">
        <f t="shared" si="37"/>
        <v>0</v>
      </c>
      <c r="J132" s="700"/>
      <c r="K132" s="1109"/>
      <c r="L132" s="1113"/>
      <c r="M132" s="1109"/>
      <c r="N132" s="1139"/>
      <c r="O132" s="1610"/>
      <c r="P132" s="1140"/>
      <c r="Q132" s="1159">
        <v>26142.560000000001</v>
      </c>
      <c r="R132" s="1643"/>
      <c r="S132" s="903">
        <f t="shared" si="40"/>
        <v>26142.560000000001</v>
      </c>
      <c r="T132" s="904">
        <f t="shared" si="41"/>
        <v>109</v>
      </c>
      <c r="X132" s="846"/>
    </row>
    <row r="133" spans="1:24" s="148" customFormat="1" ht="42.75" customHeight="1" thickBot="1" x14ac:dyDescent="0.35">
      <c r="A133" s="1009">
        <v>94</v>
      </c>
      <c r="B133" s="1559" t="s">
        <v>449</v>
      </c>
      <c r="C133" s="1107" t="s">
        <v>450</v>
      </c>
      <c r="D133" s="741"/>
      <c r="E133" s="1565">
        <v>45134</v>
      </c>
      <c r="F133" s="902">
        <v>1886.02</v>
      </c>
      <c r="G133" s="818">
        <v>2</v>
      </c>
      <c r="H133" s="902">
        <v>1886.02</v>
      </c>
      <c r="I133" s="901">
        <f t="shared" si="37"/>
        <v>0</v>
      </c>
      <c r="J133" s="700"/>
      <c r="K133" s="1109"/>
      <c r="L133" s="1113"/>
      <c r="M133" s="1109"/>
      <c r="N133" s="1112"/>
      <c r="O133" s="1562" t="s">
        <v>464</v>
      </c>
      <c r="P133" s="1112"/>
      <c r="Q133" s="1159">
        <v>47150.5</v>
      </c>
      <c r="R133" s="1467" t="s">
        <v>468</v>
      </c>
      <c r="S133" s="903">
        <f t="shared" si="40"/>
        <v>47150.5</v>
      </c>
      <c r="T133" s="904">
        <f t="shared" si="41"/>
        <v>25</v>
      </c>
      <c r="X133" s="846"/>
    </row>
    <row r="134" spans="1:24" s="148" customFormat="1" ht="41.25" customHeight="1" x14ac:dyDescent="0.3">
      <c r="A134" s="1009">
        <v>95</v>
      </c>
      <c r="B134" s="1632" t="s">
        <v>376</v>
      </c>
      <c r="C134" s="1556" t="s">
        <v>377</v>
      </c>
      <c r="D134" s="1563"/>
      <c r="E134" s="1635" t="s">
        <v>732</v>
      </c>
      <c r="F134" s="1454">
        <f>2083.334+2010.26</f>
        <v>4093.5940000000001</v>
      </c>
      <c r="G134" s="818"/>
      <c r="H134" s="902">
        <f>2083.334+1977.266</f>
        <v>4060.6</v>
      </c>
      <c r="I134" s="901">
        <f t="shared" si="37"/>
        <v>-32.994000000000142</v>
      </c>
      <c r="J134" s="845"/>
      <c r="K134" s="1568">
        <v>4176</v>
      </c>
      <c r="L134" s="1604" t="s">
        <v>739</v>
      </c>
      <c r="M134" s="1109"/>
      <c r="N134" s="1139"/>
      <c r="O134" s="1638" t="s">
        <v>733</v>
      </c>
      <c r="P134" s="1576">
        <v>2969.6</v>
      </c>
      <c r="Q134" s="1566">
        <f>200000+192976.13</f>
        <v>392976.13</v>
      </c>
      <c r="R134" s="1567" t="s">
        <v>735</v>
      </c>
      <c r="S134" s="903">
        <f t="shared" si="40"/>
        <v>397152.13</v>
      </c>
      <c r="T134" s="904">
        <f>S134/H134</f>
        <v>97.806267546667982</v>
      </c>
      <c r="X134" s="846">
        <v>3611.88</v>
      </c>
    </row>
    <row r="135" spans="1:24" s="148" customFormat="1" ht="31.5" customHeight="1" x14ac:dyDescent="0.3">
      <c r="A135" s="1009">
        <v>96</v>
      </c>
      <c r="B135" s="1633"/>
      <c r="C135" s="1557" t="s">
        <v>71</v>
      </c>
      <c r="D135" s="1563"/>
      <c r="E135" s="1636"/>
      <c r="F135" s="1454">
        <v>101.999</v>
      </c>
      <c r="G135" s="818"/>
      <c r="H135" s="902">
        <v>101.999</v>
      </c>
      <c r="I135" s="901">
        <f t="shared" si="37"/>
        <v>0</v>
      </c>
      <c r="J135" s="700"/>
      <c r="K135" s="1109">
        <v>0</v>
      </c>
      <c r="L135" s="1605"/>
      <c r="M135" s="1109"/>
      <c r="N135" s="1473"/>
      <c r="O135" s="1639"/>
      <c r="P135" s="1577">
        <v>0</v>
      </c>
      <c r="Q135" s="1566">
        <v>14279.86</v>
      </c>
      <c r="R135" s="1584" t="s">
        <v>736</v>
      </c>
      <c r="S135" s="903">
        <f t="shared" si="28"/>
        <v>14279.86</v>
      </c>
      <c r="T135" s="904">
        <f t="shared" si="29"/>
        <v>140</v>
      </c>
      <c r="X135" s="846">
        <v>79503.45</v>
      </c>
    </row>
    <row r="136" spans="1:24" s="148" customFormat="1" ht="49.5" customHeight="1" thickBot="1" x14ac:dyDescent="0.35">
      <c r="A136" s="1009">
        <v>97</v>
      </c>
      <c r="B136" s="1634"/>
      <c r="C136" s="1558" t="s">
        <v>734</v>
      </c>
      <c r="D136" s="1564"/>
      <c r="E136" s="1637"/>
      <c r="F136" s="1454">
        <v>102.6</v>
      </c>
      <c r="G136" s="818"/>
      <c r="H136" s="902">
        <v>102.6</v>
      </c>
      <c r="I136" s="901">
        <f t="shared" si="37"/>
        <v>0</v>
      </c>
      <c r="J136" s="700"/>
      <c r="K136" s="1109">
        <v>0</v>
      </c>
      <c r="L136" s="1606"/>
      <c r="M136" s="1109"/>
      <c r="N136" s="1561"/>
      <c r="O136" s="1640"/>
      <c r="P136" s="1577">
        <v>0</v>
      </c>
      <c r="Q136" s="1566">
        <v>2052.02</v>
      </c>
      <c r="R136" s="1585"/>
      <c r="S136" s="903">
        <f t="shared" si="28"/>
        <v>2052.02</v>
      </c>
      <c r="T136" s="904">
        <f t="shared" si="29"/>
        <v>20.00019493177388</v>
      </c>
      <c r="X136" s="846">
        <v>51480</v>
      </c>
    </row>
    <row r="137" spans="1:24" s="148" customFormat="1" ht="42.75" customHeight="1" x14ac:dyDescent="0.3">
      <c r="A137" s="1009">
        <v>98</v>
      </c>
      <c r="B137" s="1560"/>
      <c r="C137" s="818"/>
      <c r="D137" s="1239"/>
      <c r="E137" s="1371"/>
      <c r="F137" s="902"/>
      <c r="G137" s="818"/>
      <c r="H137" s="902"/>
      <c r="I137" s="901">
        <f t="shared" ref="I137:I138" si="42">H137-F137</f>
        <v>0</v>
      </c>
      <c r="J137" s="700"/>
      <c r="K137" s="1109"/>
      <c r="L137" s="1113"/>
      <c r="M137" s="1109"/>
      <c r="N137" s="947"/>
      <c r="O137" s="1457"/>
      <c r="P137" s="1112"/>
      <c r="Q137" s="1111"/>
      <c r="R137" s="1112"/>
      <c r="S137" s="903">
        <f t="shared" si="28"/>
        <v>0</v>
      </c>
      <c r="T137" s="904" t="e">
        <f t="shared" si="29"/>
        <v>#DIV/0!</v>
      </c>
      <c r="X137" s="846">
        <v>3952.64</v>
      </c>
    </row>
    <row r="138" spans="1:24" s="148" customFormat="1" ht="36.75" customHeight="1" x14ac:dyDescent="0.3">
      <c r="A138" s="1009">
        <v>99</v>
      </c>
      <c r="B138" s="1240"/>
      <c r="C138" s="1180"/>
      <c r="D138" s="1239"/>
      <c r="E138" s="950"/>
      <c r="F138" s="870"/>
      <c r="G138" s="700"/>
      <c r="H138" s="870"/>
      <c r="I138" s="677">
        <f t="shared" si="42"/>
        <v>0</v>
      </c>
      <c r="J138" s="1236"/>
      <c r="K138" s="1109"/>
      <c r="L138" s="1113"/>
      <c r="M138" s="1109"/>
      <c r="N138" s="947"/>
      <c r="O138" s="1116"/>
      <c r="P138" s="1112"/>
      <c r="Q138" s="1111"/>
      <c r="R138" s="612"/>
      <c r="S138" s="903">
        <f t="shared" si="28"/>
        <v>0</v>
      </c>
      <c r="T138" s="904" t="e">
        <f t="shared" si="29"/>
        <v>#DIV/0!</v>
      </c>
      <c r="X138" s="906">
        <f>SUM(X92:X137)</f>
        <v>209355.17</v>
      </c>
    </row>
    <row r="139" spans="1:24" s="148" customFormat="1" ht="31.5" customHeight="1" x14ac:dyDescent="0.3">
      <c r="A139" s="1009">
        <v>100</v>
      </c>
      <c r="B139" s="957"/>
      <c r="C139" s="818"/>
      <c r="D139" s="591"/>
      <c r="E139" s="844"/>
      <c r="F139" s="902"/>
      <c r="G139" s="818"/>
      <c r="H139" s="902"/>
      <c r="I139" s="901">
        <f t="shared" si="37"/>
        <v>0</v>
      </c>
      <c r="J139" s="700"/>
      <c r="K139" s="1109"/>
      <c r="L139" s="1113"/>
      <c r="M139" s="1109"/>
      <c r="N139" s="1112"/>
      <c r="O139" s="1034"/>
      <c r="P139" s="1126"/>
      <c r="Q139" s="1111"/>
      <c r="R139" s="1112"/>
      <c r="S139" s="903">
        <f t="shared" si="28"/>
        <v>0</v>
      </c>
      <c r="T139" s="904" t="e">
        <f t="shared" si="29"/>
        <v>#DIV/0!</v>
      </c>
      <c r="X139" s="846">
        <v>3222.35</v>
      </c>
    </row>
    <row r="140" spans="1:24" s="148" customFormat="1" ht="31.5" customHeight="1" x14ac:dyDescent="0.3">
      <c r="A140" s="1009">
        <v>101</v>
      </c>
      <c r="B140" s="957"/>
      <c r="C140" s="1211"/>
      <c r="D140" s="591"/>
      <c r="E140" s="844"/>
      <c r="F140" s="902"/>
      <c r="G140" s="818"/>
      <c r="H140" s="902"/>
      <c r="I140" s="901">
        <f t="shared" si="37"/>
        <v>0</v>
      </c>
      <c r="J140" s="700"/>
      <c r="K140" s="1109"/>
      <c r="L140" s="1113"/>
      <c r="M140" s="1109"/>
      <c r="N140" s="947"/>
      <c r="O140" s="1034"/>
      <c r="P140" s="1112"/>
      <c r="Q140" s="1111"/>
      <c r="R140" s="1112"/>
      <c r="S140" s="903">
        <f t="shared" si="28"/>
        <v>0</v>
      </c>
      <c r="T140" s="904" t="e">
        <f t="shared" si="29"/>
        <v>#DIV/0!</v>
      </c>
      <c r="X140" s="846">
        <v>3250.8</v>
      </c>
    </row>
    <row r="141" spans="1:24" s="148" customFormat="1" ht="31.5" customHeight="1" x14ac:dyDescent="0.3">
      <c r="A141" s="1009">
        <v>102</v>
      </c>
      <c r="B141" s="957"/>
      <c r="C141" s="818"/>
      <c r="D141" s="591"/>
      <c r="E141" s="844"/>
      <c r="F141" s="902"/>
      <c r="G141" s="818"/>
      <c r="H141" s="902"/>
      <c r="I141" s="901">
        <f t="shared" si="37"/>
        <v>0</v>
      </c>
      <c r="J141" s="700"/>
      <c r="K141" s="1109"/>
      <c r="L141" s="1113"/>
      <c r="M141" s="1109"/>
      <c r="N141" s="1112"/>
      <c r="O141" s="1127"/>
      <c r="P141" s="1125"/>
      <c r="Q141" s="1111"/>
      <c r="R141" s="1117"/>
      <c r="S141" s="903">
        <f t="shared" si="28"/>
        <v>0</v>
      </c>
      <c r="T141" s="904" t="e">
        <f t="shared" si="29"/>
        <v>#DIV/0!</v>
      </c>
      <c r="X141" s="846">
        <v>4054.26</v>
      </c>
    </row>
    <row r="142" spans="1:24" s="148" customFormat="1" ht="31.5" customHeight="1" x14ac:dyDescent="0.3">
      <c r="A142" s="1009">
        <v>103</v>
      </c>
      <c r="B142" s="957"/>
      <c r="C142" s="818"/>
      <c r="D142" s="591"/>
      <c r="E142" s="844"/>
      <c r="F142" s="902"/>
      <c r="G142" s="818"/>
      <c r="H142" s="902"/>
      <c r="I142" s="901">
        <f t="shared" si="37"/>
        <v>0</v>
      </c>
      <c r="J142" s="700"/>
      <c r="K142" s="1109"/>
      <c r="L142" s="1113"/>
      <c r="M142" s="1109"/>
      <c r="N142" s="1112"/>
      <c r="O142" s="1127"/>
      <c r="P142" s="1125"/>
      <c r="Q142" s="1111"/>
      <c r="R142" s="1117"/>
      <c r="S142" s="903">
        <f t="shared" si="28"/>
        <v>0</v>
      </c>
      <c r="T142" s="904" t="e">
        <f t="shared" si="29"/>
        <v>#DIV/0!</v>
      </c>
      <c r="X142" s="846">
        <v>3632.62</v>
      </c>
    </row>
    <row r="143" spans="1:24" s="148" customFormat="1" ht="31.5" customHeight="1" x14ac:dyDescent="0.3">
      <c r="A143" s="1009">
        <v>104</v>
      </c>
      <c r="B143" s="957"/>
      <c r="C143" s="818"/>
      <c r="D143" s="591"/>
      <c r="E143" s="844"/>
      <c r="F143" s="902"/>
      <c r="G143" s="818"/>
      <c r="H143" s="902"/>
      <c r="I143" s="901">
        <f t="shared" si="37"/>
        <v>0</v>
      </c>
      <c r="J143" s="700"/>
      <c r="K143" s="1109"/>
      <c r="L143" s="1113"/>
      <c r="M143" s="1109"/>
      <c r="N143" s="1112"/>
      <c r="O143" s="1127"/>
      <c r="P143" s="1112"/>
      <c r="Q143" s="1118"/>
      <c r="R143" s="1119"/>
      <c r="S143" s="903">
        <f t="shared" si="28"/>
        <v>0</v>
      </c>
      <c r="T143" s="904" t="e">
        <f t="shared" si="29"/>
        <v>#DIV/0!</v>
      </c>
      <c r="X143" s="846">
        <v>5994.6</v>
      </c>
    </row>
    <row r="144" spans="1:24" s="148" customFormat="1" ht="31.5" customHeight="1" x14ac:dyDescent="0.3">
      <c r="A144" s="1009">
        <v>105</v>
      </c>
      <c r="B144" s="960"/>
      <c r="C144" s="974"/>
      <c r="D144" s="591"/>
      <c r="E144" s="844"/>
      <c r="F144" s="902"/>
      <c r="G144" s="818"/>
      <c r="H144" s="902"/>
      <c r="I144" s="901">
        <f t="shared" si="37"/>
        <v>0</v>
      </c>
      <c r="J144" s="700"/>
      <c r="K144" s="1109"/>
      <c r="L144" s="1113"/>
      <c r="M144" s="1109"/>
      <c r="N144" s="947"/>
      <c r="O144" s="1127"/>
      <c r="P144" s="1112"/>
      <c r="Q144" s="1118"/>
      <c r="R144" s="1119"/>
      <c r="S144" s="903">
        <f t="shared" si="28"/>
        <v>0</v>
      </c>
      <c r="T144" s="904" t="e">
        <f t="shared" si="29"/>
        <v>#DIV/0!</v>
      </c>
      <c r="X144" s="846">
        <v>4834.3</v>
      </c>
    </row>
    <row r="145" spans="1:24" s="148" customFormat="1" ht="47.25" customHeight="1" x14ac:dyDescent="0.3">
      <c r="A145" s="1009">
        <v>106</v>
      </c>
      <c r="B145" s="960"/>
      <c r="C145" s="818"/>
      <c r="D145" s="591"/>
      <c r="E145" s="844"/>
      <c r="F145" s="902"/>
      <c r="G145" s="818"/>
      <c r="H145" s="902"/>
      <c r="I145" s="901">
        <f t="shared" si="37"/>
        <v>0</v>
      </c>
      <c r="J145" s="700"/>
      <c r="K145" s="1109"/>
      <c r="L145" s="1113"/>
      <c r="M145" s="1109"/>
      <c r="N145" s="947"/>
      <c r="O145" s="1115"/>
      <c r="P145" s="1112"/>
      <c r="Q145" s="1111"/>
      <c r="R145" s="1112"/>
      <c r="S145" s="903">
        <f t="shared" si="28"/>
        <v>0</v>
      </c>
      <c r="T145" s="904" t="e">
        <f t="shared" si="29"/>
        <v>#DIV/0!</v>
      </c>
      <c r="X145" s="846">
        <v>4657.6000000000004</v>
      </c>
    </row>
    <row r="146" spans="1:24" s="148" customFormat="1" ht="31.5" customHeight="1" x14ac:dyDescent="0.3">
      <c r="A146" s="1009">
        <v>107</v>
      </c>
      <c r="B146" s="957"/>
      <c r="C146" s="818"/>
      <c r="D146" s="591"/>
      <c r="E146" s="844"/>
      <c r="F146" s="902"/>
      <c r="G146" s="818"/>
      <c r="H146" s="902"/>
      <c r="I146" s="901">
        <f t="shared" si="37"/>
        <v>0</v>
      </c>
      <c r="J146" s="949"/>
      <c r="K146" s="949"/>
      <c r="L146" s="1113"/>
      <c r="M146" s="1109"/>
      <c r="N146" s="947"/>
      <c r="O146" s="1128"/>
      <c r="P146" s="1112"/>
      <c r="Q146" s="1111"/>
      <c r="R146" s="1112"/>
      <c r="S146" s="903">
        <f t="shared" si="28"/>
        <v>0</v>
      </c>
      <c r="T146" s="904" t="e">
        <f t="shared" si="29"/>
        <v>#DIV/0!</v>
      </c>
      <c r="X146" s="846">
        <v>2942.5</v>
      </c>
    </row>
    <row r="147" spans="1:24" s="148" customFormat="1" ht="31.5" customHeight="1" x14ac:dyDescent="0.3">
      <c r="A147" s="1009">
        <v>108</v>
      </c>
      <c r="B147" s="960"/>
      <c r="C147" s="818"/>
      <c r="D147" s="591"/>
      <c r="E147" s="844"/>
      <c r="F147" s="902"/>
      <c r="G147" s="818"/>
      <c r="H147" s="902"/>
      <c r="I147" s="901">
        <f t="shared" si="37"/>
        <v>0</v>
      </c>
      <c r="J147" s="700"/>
      <c r="K147" s="601"/>
      <c r="L147" s="975"/>
      <c r="M147" s="601"/>
      <c r="N147" s="955"/>
      <c r="O147" s="1036"/>
      <c r="P147" s="612"/>
      <c r="Q147" s="846"/>
      <c r="R147" s="954"/>
      <c r="S147" s="903">
        <f t="shared" si="28"/>
        <v>0</v>
      </c>
      <c r="T147" s="904" t="e">
        <f t="shared" si="29"/>
        <v>#DIV/0!</v>
      </c>
      <c r="X147" s="846">
        <v>3619.54</v>
      </c>
    </row>
    <row r="148" spans="1:24" s="148" customFormat="1" ht="31.5" customHeight="1" x14ac:dyDescent="0.3">
      <c r="A148" s="1009">
        <v>109</v>
      </c>
      <c r="B148" s="960"/>
      <c r="C148" s="974"/>
      <c r="D148" s="591"/>
      <c r="E148" s="844"/>
      <c r="F148" s="902"/>
      <c r="G148" s="818"/>
      <c r="H148" s="902"/>
      <c r="I148" s="901">
        <f t="shared" si="37"/>
        <v>0</v>
      </c>
      <c r="J148" s="700"/>
      <c r="K148" s="601"/>
      <c r="L148" s="975"/>
      <c r="M148" s="601"/>
      <c r="N148" s="955"/>
      <c r="O148" s="1036"/>
      <c r="P148" s="612"/>
      <c r="Q148" s="846"/>
      <c r="R148" s="954"/>
      <c r="S148" s="903">
        <f t="shared" si="28"/>
        <v>0</v>
      </c>
      <c r="T148" s="904" t="e">
        <f t="shared" si="29"/>
        <v>#DIV/0!</v>
      </c>
      <c r="X148" s="846">
        <v>3090.78</v>
      </c>
    </row>
    <row r="149" spans="1:24" s="148" customFormat="1" ht="31.5" customHeight="1" x14ac:dyDescent="0.3">
      <c r="A149" s="1009">
        <v>110</v>
      </c>
      <c r="B149" s="960"/>
      <c r="C149" s="818"/>
      <c r="D149" s="591"/>
      <c r="E149" s="844"/>
      <c r="F149" s="902"/>
      <c r="G149" s="818"/>
      <c r="H149" s="902"/>
      <c r="I149" s="901">
        <f t="shared" si="37"/>
        <v>0</v>
      </c>
      <c r="J149" s="700"/>
      <c r="K149" s="601"/>
      <c r="L149" s="701"/>
      <c r="M149" s="601"/>
      <c r="N149" s="955"/>
      <c r="O149" s="1036"/>
      <c r="P149" s="612"/>
      <c r="Q149" s="846"/>
      <c r="R149" s="954"/>
      <c r="S149" s="903">
        <f t="shared" si="28"/>
        <v>0</v>
      </c>
      <c r="T149" s="904" t="e">
        <f t="shared" si="29"/>
        <v>#DIV/0!</v>
      </c>
      <c r="X149" s="846">
        <v>4342</v>
      </c>
    </row>
    <row r="150" spans="1:24" s="148" customFormat="1" ht="53.25" customHeight="1" x14ac:dyDescent="0.25">
      <c r="A150" s="1009"/>
      <c r="B150" s="951"/>
      <c r="C150" s="952"/>
      <c r="D150" s="742"/>
      <c r="E150" s="844"/>
      <c r="F150" s="902"/>
      <c r="G150" s="818"/>
      <c r="H150" s="902"/>
      <c r="I150" s="426">
        <f t="shared" si="37"/>
        <v>0</v>
      </c>
      <c r="J150" s="698"/>
      <c r="K150" s="601"/>
      <c r="L150" s="702"/>
      <c r="M150" s="601"/>
      <c r="N150" s="612"/>
      <c r="O150" s="1037"/>
      <c r="P150" s="612"/>
      <c r="Q150" s="852"/>
      <c r="R150" s="953"/>
      <c r="S150" s="903">
        <f t="shared" si="15"/>
        <v>0</v>
      </c>
      <c r="T150" s="904" t="e">
        <f t="shared" ref="T150:T153" si="43">S150/H150</f>
        <v>#DIV/0!</v>
      </c>
      <c r="X150" s="853">
        <v>127420.53</v>
      </c>
    </row>
    <row r="151" spans="1:24" s="148" customFormat="1" ht="53.25" customHeight="1" x14ac:dyDescent="0.25">
      <c r="A151" s="1009"/>
      <c r="B151" s="951"/>
      <c r="C151" s="952"/>
      <c r="D151" s="742"/>
      <c r="E151" s="844"/>
      <c r="F151" s="902"/>
      <c r="G151" s="818"/>
      <c r="H151" s="902"/>
      <c r="I151" s="426">
        <f t="shared" si="37"/>
        <v>0</v>
      </c>
      <c r="J151" s="698"/>
      <c r="K151" s="601"/>
      <c r="L151" s="702"/>
      <c r="M151" s="601"/>
      <c r="N151" s="612"/>
      <c r="O151" s="1037"/>
      <c r="P151" s="612"/>
      <c r="Q151" s="852"/>
      <c r="R151" s="953"/>
      <c r="S151" s="903">
        <f t="shared" si="15"/>
        <v>0</v>
      </c>
      <c r="T151" s="904" t="e">
        <f t="shared" si="43"/>
        <v>#DIV/0!</v>
      </c>
      <c r="X151" s="853">
        <v>1664.15</v>
      </c>
    </row>
    <row r="152" spans="1:24" s="148" customFormat="1" ht="53.25" customHeight="1" x14ac:dyDescent="0.25">
      <c r="A152" s="1009"/>
      <c r="B152" s="951"/>
      <c r="C152" s="952"/>
      <c r="D152" s="742"/>
      <c r="E152" s="844"/>
      <c r="F152" s="902"/>
      <c r="G152" s="818"/>
      <c r="H152" s="902"/>
      <c r="I152" s="677">
        <f t="shared" si="37"/>
        <v>0</v>
      </c>
      <c r="J152" s="698"/>
      <c r="K152" s="601"/>
      <c r="L152" s="702"/>
      <c r="M152" s="601"/>
      <c r="N152" s="612"/>
      <c r="O152" s="1037"/>
      <c r="P152" s="612"/>
      <c r="Q152" s="852"/>
      <c r="R152" s="953"/>
      <c r="S152" s="903">
        <f t="shared" si="15"/>
        <v>0</v>
      </c>
      <c r="T152" s="904" t="e">
        <f t="shared" si="43"/>
        <v>#DIV/0!</v>
      </c>
      <c r="X152" s="853">
        <v>4143.5200000000004</v>
      </c>
    </row>
    <row r="153" spans="1:24" s="148" customFormat="1" ht="53.25" customHeight="1" x14ac:dyDescent="0.25">
      <c r="A153" s="1009"/>
      <c r="B153" s="951"/>
      <c r="C153" s="952"/>
      <c r="D153" s="742"/>
      <c r="E153" s="844"/>
      <c r="F153" s="902"/>
      <c r="G153" s="818"/>
      <c r="H153" s="902"/>
      <c r="I153" s="677">
        <f t="shared" si="37"/>
        <v>0</v>
      </c>
      <c r="J153" s="698"/>
      <c r="K153" s="601"/>
      <c r="L153" s="702"/>
      <c r="M153" s="601"/>
      <c r="N153" s="612"/>
      <c r="O153" s="1037"/>
      <c r="P153" s="612"/>
      <c r="Q153" s="852"/>
      <c r="R153" s="953"/>
      <c r="S153" s="903">
        <f t="shared" si="15"/>
        <v>0</v>
      </c>
      <c r="T153" s="904" t="e">
        <f t="shared" si="43"/>
        <v>#DIV/0!</v>
      </c>
      <c r="X153" s="853">
        <v>2070.5</v>
      </c>
    </row>
    <row r="154" spans="1:24" s="148" customFormat="1" ht="33.75" customHeight="1" x14ac:dyDescent="0.3">
      <c r="A154" s="97"/>
      <c r="B154" s="742"/>
      <c r="C154" s="741"/>
      <c r="D154" s="948"/>
      <c r="E154" s="743"/>
      <c r="F154" s="871"/>
      <c r="G154" s="591"/>
      <c r="H154" s="871"/>
      <c r="I154" s="426">
        <f t="shared" si="37"/>
        <v>0</v>
      </c>
      <c r="J154" s="698"/>
      <c r="K154" s="601"/>
      <c r="L154" s="702"/>
      <c r="M154" s="601"/>
      <c r="N154" s="612"/>
      <c r="O154" s="1033"/>
      <c r="P154" s="612"/>
      <c r="Q154" s="846"/>
      <c r="R154" s="612"/>
      <c r="S154" s="903">
        <f t="shared" ref="S154" si="44">Q154+M154+K154</f>
        <v>0</v>
      </c>
      <c r="T154" s="904" t="e">
        <f t="shared" ref="T154" si="45">S154/H154</f>
        <v>#DIV/0!</v>
      </c>
    </row>
    <row r="155" spans="1:24" s="148" customFormat="1" ht="25.5" customHeight="1" x14ac:dyDescent="0.25">
      <c r="A155" s="97"/>
      <c r="B155" s="819"/>
      <c r="C155" s="616"/>
      <c r="D155" s="715"/>
      <c r="E155" s="746"/>
      <c r="F155" s="872"/>
      <c r="G155" s="617"/>
      <c r="H155" s="885"/>
      <c r="I155" s="823">
        <f t="shared" si="37"/>
        <v>0</v>
      </c>
      <c r="J155" s="698"/>
      <c r="K155" s="601"/>
      <c r="L155" s="701"/>
      <c r="M155" s="601"/>
      <c r="N155" s="612"/>
      <c r="O155" s="1038"/>
      <c r="P155" s="612"/>
      <c r="Q155" s="850"/>
      <c r="R155" s="612"/>
      <c r="S155" s="903">
        <f t="shared" ref="S155:S162" si="46">Q155+M155+K155</f>
        <v>0</v>
      </c>
      <c r="T155" s="904" t="e">
        <f t="shared" ref="T155:T162" si="47">S155/H155</f>
        <v>#DIV/0!</v>
      </c>
    </row>
    <row r="156" spans="1:24" s="148" customFormat="1" ht="38.25" customHeight="1" x14ac:dyDescent="0.25">
      <c r="A156" s="97"/>
      <c r="B156" s="1133"/>
      <c r="C156" s="616"/>
      <c r="D156" s="616"/>
      <c r="E156" s="716"/>
      <c r="F156" s="872"/>
      <c r="G156" s="617"/>
      <c r="H156" s="872"/>
      <c r="I156" s="823">
        <f t="shared" si="37"/>
        <v>0</v>
      </c>
      <c r="J156" s="698"/>
      <c r="K156" s="601"/>
      <c r="L156" s="701"/>
      <c r="M156" s="601"/>
      <c r="N156" s="612"/>
      <c r="O156" s="1038"/>
      <c r="P156" s="612"/>
      <c r="Q156" s="850"/>
      <c r="R156" s="612"/>
      <c r="S156" s="903">
        <f t="shared" si="46"/>
        <v>0</v>
      </c>
      <c r="T156" s="904" t="e">
        <f t="shared" si="47"/>
        <v>#DIV/0!</v>
      </c>
    </row>
    <row r="157" spans="1:24" s="148" customFormat="1" ht="38.25" customHeight="1" x14ac:dyDescent="0.25">
      <c r="A157" s="97"/>
      <c r="B157" s="1133"/>
      <c r="C157" s="616"/>
      <c r="D157" s="744"/>
      <c r="E157" s="716"/>
      <c r="F157" s="872"/>
      <c r="G157" s="617"/>
      <c r="H157" s="872"/>
      <c r="I157" s="823">
        <f t="shared" si="37"/>
        <v>0</v>
      </c>
      <c r="J157" s="698"/>
      <c r="K157" s="601"/>
      <c r="L157" s="701"/>
      <c r="M157" s="601"/>
      <c r="N157" s="612"/>
      <c r="O157" s="1038"/>
      <c r="P157" s="612"/>
      <c r="Q157" s="850"/>
      <c r="R157" s="612"/>
      <c r="S157" s="903">
        <f t="shared" si="46"/>
        <v>0</v>
      </c>
      <c r="T157" s="904" t="e">
        <f t="shared" si="47"/>
        <v>#DIV/0!</v>
      </c>
    </row>
    <row r="158" spans="1:24" s="148" customFormat="1" ht="33" customHeight="1" x14ac:dyDescent="0.25">
      <c r="A158" s="97"/>
      <c r="B158" s="819"/>
      <c r="C158" s="616"/>
      <c r="D158" s="616"/>
      <c r="E158" s="716"/>
      <c r="F158" s="872"/>
      <c r="G158" s="617"/>
      <c r="H158" s="872"/>
      <c r="I158" s="823">
        <f t="shared" si="37"/>
        <v>0</v>
      </c>
      <c r="J158" s="698"/>
      <c r="K158" s="601"/>
      <c r="L158" s="701"/>
      <c r="M158" s="601"/>
      <c r="N158" s="612"/>
      <c r="O158" s="1038"/>
      <c r="P158" s="612"/>
      <c r="Q158" s="850"/>
      <c r="R158" s="612"/>
      <c r="S158" s="903">
        <f t="shared" si="46"/>
        <v>0</v>
      </c>
      <c r="T158" s="904" t="e">
        <f t="shared" si="47"/>
        <v>#DIV/0!</v>
      </c>
    </row>
    <row r="159" spans="1:24" s="148" customFormat="1" ht="33.75" customHeight="1" x14ac:dyDescent="0.25">
      <c r="A159" s="97"/>
      <c r="B159" s="819"/>
      <c r="C159" s="616"/>
      <c r="D159" s="744"/>
      <c r="E159" s="716"/>
      <c r="F159" s="872"/>
      <c r="G159" s="617"/>
      <c r="H159" s="872"/>
      <c r="I159" s="823">
        <f t="shared" si="37"/>
        <v>0</v>
      </c>
      <c r="J159" s="698"/>
      <c r="K159" s="601"/>
      <c r="L159" s="701"/>
      <c r="M159" s="601"/>
      <c r="N159" s="612"/>
      <c r="O159" s="1038"/>
      <c r="P159" s="612"/>
      <c r="Q159" s="850"/>
      <c r="R159" s="612"/>
      <c r="S159" s="903">
        <f t="shared" si="46"/>
        <v>0</v>
      </c>
      <c r="T159" s="904" t="e">
        <f t="shared" si="47"/>
        <v>#DIV/0!</v>
      </c>
    </row>
    <row r="160" spans="1:24" s="148" customFormat="1" ht="35.25" customHeight="1" x14ac:dyDescent="0.25">
      <c r="A160" s="97"/>
      <c r="B160" s="819"/>
      <c r="C160" s="616"/>
      <c r="D160" s="616"/>
      <c r="E160" s="716"/>
      <c r="F160" s="872"/>
      <c r="G160" s="617"/>
      <c r="H160" s="872"/>
      <c r="I160" s="823">
        <f t="shared" ref="I160:I162" si="48">H160-F160</f>
        <v>0</v>
      </c>
      <c r="J160" s="698"/>
      <c r="K160" s="601"/>
      <c r="L160" s="701"/>
      <c r="M160" s="601"/>
      <c r="N160" s="612"/>
      <c r="O160" s="1038"/>
      <c r="P160" s="612"/>
      <c r="Q160" s="850"/>
      <c r="R160" s="612"/>
      <c r="S160" s="903">
        <f t="shared" si="46"/>
        <v>0</v>
      </c>
      <c r="T160" s="904" t="e">
        <f t="shared" si="47"/>
        <v>#DIV/0!</v>
      </c>
    </row>
    <row r="161" spans="1:20" s="148" customFormat="1" ht="30" customHeight="1" x14ac:dyDescent="0.3">
      <c r="A161" s="97"/>
      <c r="B161" s="819"/>
      <c r="C161" s="820"/>
      <c r="D161" s="472"/>
      <c r="E161" s="716"/>
      <c r="F161" s="873"/>
      <c r="G161" s="591"/>
      <c r="H161" s="874"/>
      <c r="I161" s="824">
        <f t="shared" si="48"/>
        <v>0</v>
      </c>
      <c r="J161" s="747"/>
      <c r="K161" s="601"/>
      <c r="L161" s="701"/>
      <c r="M161" s="601"/>
      <c r="N161" s="612"/>
      <c r="O161" s="1038"/>
      <c r="P161" s="612"/>
      <c r="Q161" s="850"/>
      <c r="R161" s="612"/>
      <c r="S161" s="903">
        <f t="shared" si="46"/>
        <v>0</v>
      </c>
      <c r="T161" s="904" t="e">
        <f t="shared" si="47"/>
        <v>#DIV/0!</v>
      </c>
    </row>
    <row r="162" spans="1:20" s="148" customFormat="1" ht="33" customHeight="1" x14ac:dyDescent="0.3">
      <c r="A162" s="97"/>
      <c r="B162" s="957"/>
      <c r="C162" s="616"/>
      <c r="D162" s="742"/>
      <c r="E162" s="821"/>
      <c r="F162" s="874"/>
      <c r="G162" s="745"/>
      <c r="H162" s="874"/>
      <c r="I162" s="825">
        <f t="shared" si="48"/>
        <v>0</v>
      </c>
      <c r="J162" s="748"/>
      <c r="K162" s="601"/>
      <c r="L162" s="701"/>
      <c r="M162" s="601"/>
      <c r="N162" s="612"/>
      <c r="O162" s="1038"/>
      <c r="P162" s="612"/>
      <c r="Q162" s="850"/>
      <c r="R162" s="612"/>
      <c r="S162" s="903">
        <f t="shared" si="46"/>
        <v>0</v>
      </c>
      <c r="T162" s="904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5"/>
      <c r="G163" s="503"/>
      <c r="H163" s="875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4"/>
      <c r="P163" s="780"/>
      <c r="Q163" s="472"/>
      <c r="R163" s="749"/>
      <c r="S163" s="903">
        <f t="shared" ref="S163:S172" si="50">Q163+M163+K163</f>
        <v>0</v>
      </c>
      <c r="T163" s="904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5"/>
      <c r="G164" s="503"/>
      <c r="H164" s="875"/>
      <c r="I164" s="102">
        <f t="shared" si="49"/>
        <v>0</v>
      </c>
      <c r="J164" s="591"/>
      <c r="K164" s="601"/>
      <c r="L164" s="701"/>
      <c r="M164" s="601"/>
      <c r="N164" s="703"/>
      <c r="O164" s="1034"/>
      <c r="P164" s="780"/>
      <c r="Q164" s="472"/>
      <c r="R164" s="749"/>
      <c r="S164" s="903">
        <f t="shared" si="50"/>
        <v>0</v>
      </c>
      <c r="T164" s="904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6"/>
      <c r="G165" s="97"/>
      <c r="H165" s="880"/>
      <c r="I165" s="102">
        <f t="shared" si="49"/>
        <v>0</v>
      </c>
      <c r="J165" s="170"/>
      <c r="K165" s="211"/>
      <c r="L165" s="536"/>
      <c r="M165" s="210"/>
      <c r="N165" s="680"/>
      <c r="O165" s="1031"/>
      <c r="P165" s="781"/>
      <c r="Q165" s="473"/>
      <c r="R165" s="542"/>
      <c r="S165" s="903">
        <f t="shared" si="50"/>
        <v>0</v>
      </c>
      <c r="T165" s="904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6"/>
      <c r="G166" s="97"/>
      <c r="H166" s="880"/>
      <c r="I166" s="102">
        <f t="shared" si="49"/>
        <v>0</v>
      </c>
      <c r="J166" s="170"/>
      <c r="K166" s="211"/>
      <c r="L166" s="536"/>
      <c r="M166" s="210"/>
      <c r="N166" s="680"/>
      <c r="O166" s="1031"/>
      <c r="P166" s="781"/>
      <c r="Q166" s="473"/>
      <c r="R166" s="542"/>
      <c r="S166" s="903">
        <f t="shared" si="50"/>
        <v>0</v>
      </c>
      <c r="T166" s="904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6"/>
      <c r="G167" s="97"/>
      <c r="H167" s="880"/>
      <c r="I167" s="102">
        <f t="shared" si="49"/>
        <v>0</v>
      </c>
      <c r="J167" s="170"/>
      <c r="K167" s="211"/>
      <c r="L167" s="536"/>
      <c r="M167" s="210"/>
      <c r="N167" s="680"/>
      <c r="O167" s="1031"/>
      <c r="P167" s="781"/>
      <c r="Q167" s="473"/>
      <c r="R167" s="542"/>
      <c r="S167" s="903">
        <f t="shared" si="50"/>
        <v>0</v>
      </c>
      <c r="T167" s="904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6"/>
      <c r="G168" s="97"/>
      <c r="H168" s="880"/>
      <c r="I168" s="102">
        <f t="shared" si="49"/>
        <v>0</v>
      </c>
      <c r="J168" s="170"/>
      <c r="K168" s="211"/>
      <c r="L168" s="536"/>
      <c r="M168" s="210"/>
      <c r="N168" s="680"/>
      <c r="O168" s="1031"/>
      <c r="P168" s="781"/>
      <c r="Q168" s="473"/>
      <c r="R168" s="542"/>
      <c r="S168" s="903">
        <f t="shared" si="50"/>
        <v>0</v>
      </c>
      <c r="T168" s="904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6"/>
      <c r="G169" s="97"/>
      <c r="H169" s="880"/>
      <c r="I169" s="102">
        <f t="shared" si="49"/>
        <v>0</v>
      </c>
      <c r="J169" s="170"/>
      <c r="K169" s="211"/>
      <c r="L169" s="536"/>
      <c r="M169" s="210"/>
      <c r="N169" s="680"/>
      <c r="O169" s="1031"/>
      <c r="P169" s="781"/>
      <c r="Q169" s="473"/>
      <c r="R169" s="542"/>
      <c r="S169" s="903">
        <f t="shared" si="50"/>
        <v>0</v>
      </c>
      <c r="T169" s="904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6"/>
      <c r="G170" s="97"/>
      <c r="H170" s="880"/>
      <c r="I170" s="102">
        <f t="shared" si="49"/>
        <v>0</v>
      </c>
      <c r="J170" s="170"/>
      <c r="K170" s="211"/>
      <c r="L170" s="536"/>
      <c r="M170" s="210"/>
      <c r="N170" s="680"/>
      <c r="O170" s="1031"/>
      <c r="P170" s="781"/>
      <c r="Q170" s="473"/>
      <c r="R170" s="542"/>
      <c r="S170" s="903">
        <f t="shared" si="50"/>
        <v>0</v>
      </c>
      <c r="T170" s="904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6"/>
      <c r="G171" s="97"/>
      <c r="H171" s="880"/>
      <c r="I171" s="102">
        <f t="shared" si="49"/>
        <v>0</v>
      </c>
      <c r="J171" s="170"/>
      <c r="K171" s="211"/>
      <c r="L171" s="536"/>
      <c r="M171" s="210"/>
      <c r="N171" s="680"/>
      <c r="O171" s="1031"/>
      <c r="P171" s="781"/>
      <c r="Q171" s="473"/>
      <c r="R171" s="542"/>
      <c r="S171" s="903">
        <f t="shared" si="50"/>
        <v>0</v>
      </c>
      <c r="T171" s="904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6"/>
      <c r="G172" s="97"/>
      <c r="H172" s="880"/>
      <c r="I172" s="102">
        <f t="shared" si="49"/>
        <v>0</v>
      </c>
      <c r="J172" s="170"/>
      <c r="K172" s="211"/>
      <c r="L172" s="536"/>
      <c r="M172" s="210"/>
      <c r="N172" s="681"/>
      <c r="O172" s="1031"/>
      <c r="P172" s="781"/>
      <c r="Q172" s="474"/>
      <c r="R172" s="543"/>
      <c r="S172" s="903">
        <f t="shared" si="50"/>
        <v>0</v>
      </c>
      <c r="T172" s="904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6"/>
      <c r="G173" s="97"/>
      <c r="H173" s="880"/>
      <c r="I173" s="102">
        <f t="shared" si="49"/>
        <v>0</v>
      </c>
      <c r="J173" s="170"/>
      <c r="K173" s="211"/>
      <c r="L173" s="536"/>
      <c r="M173" s="210"/>
      <c r="N173" s="681"/>
      <c r="O173" s="1031"/>
      <c r="P173" s="781"/>
      <c r="Q173" s="474"/>
      <c r="R173" s="543"/>
      <c r="S173" s="903"/>
      <c r="T173" s="903"/>
    </row>
    <row r="174" spans="1:20" s="148" customFormat="1" x14ac:dyDescent="0.25">
      <c r="A174" s="97"/>
      <c r="B174" s="74"/>
      <c r="C174" s="72"/>
      <c r="D174" s="152"/>
      <c r="E174" s="145"/>
      <c r="F174" s="876"/>
      <c r="G174" s="97"/>
      <c r="H174" s="880"/>
      <c r="I174" s="102">
        <f t="shared" si="49"/>
        <v>0</v>
      </c>
      <c r="J174" s="170"/>
      <c r="K174" s="211"/>
      <c r="L174" s="536"/>
      <c r="M174" s="210"/>
      <c r="N174" s="681"/>
      <c r="O174" s="1031"/>
      <c r="P174" s="781"/>
      <c r="Q174" s="474"/>
      <c r="R174" s="543"/>
      <c r="S174" s="903"/>
      <c r="T174" s="903"/>
    </row>
    <row r="175" spans="1:20" s="148" customFormat="1" ht="16.5" thickBot="1" x14ac:dyDescent="0.3">
      <c r="A175" s="97"/>
      <c r="B175" s="74"/>
      <c r="C175" s="142"/>
      <c r="D175" s="142"/>
      <c r="E175" s="130"/>
      <c r="F175" s="860"/>
      <c r="G175" s="97"/>
      <c r="H175" s="880"/>
      <c r="I175" s="102">
        <f t="shared" si="49"/>
        <v>0</v>
      </c>
      <c r="J175" s="170"/>
      <c r="K175" s="105"/>
      <c r="L175" s="536"/>
      <c r="M175" s="70"/>
      <c r="N175" s="681"/>
      <c r="O175" s="1031"/>
      <c r="P175" s="373"/>
      <c r="Q175" s="475"/>
      <c r="R175" s="544"/>
      <c r="S175" s="903">
        <f t="shared" ref="S175:S180" si="52">Q175+M175+K175</f>
        <v>0</v>
      </c>
      <c r="T175" s="903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0"/>
      <c r="G176" s="97"/>
      <c r="H176" s="880"/>
      <c r="I176" s="102">
        <f t="shared" si="49"/>
        <v>0</v>
      </c>
      <c r="J176" s="170"/>
      <c r="K176" s="105"/>
      <c r="L176" s="536"/>
      <c r="M176" s="70"/>
      <c r="N176" s="681"/>
      <c r="O176" s="1031"/>
      <c r="P176" s="373"/>
      <c r="Q176" s="476"/>
      <c r="R176" s="545"/>
      <c r="S176" s="903">
        <f t="shared" si="52"/>
        <v>0</v>
      </c>
      <c r="T176" s="903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0"/>
      <c r="G177" s="97"/>
      <c r="H177" s="880"/>
      <c r="I177" s="102">
        <f t="shared" si="49"/>
        <v>0</v>
      </c>
      <c r="J177" s="170"/>
      <c r="K177" s="105"/>
      <c r="L177" s="536"/>
      <c r="M177" s="70"/>
      <c r="N177" s="681"/>
      <c r="O177" s="1031"/>
      <c r="P177" s="373"/>
      <c r="Q177" s="476"/>
      <c r="R177" s="545"/>
      <c r="S177" s="903">
        <f t="shared" si="52"/>
        <v>0</v>
      </c>
      <c r="T177" s="903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0"/>
      <c r="G178" s="97"/>
      <c r="H178" s="880"/>
      <c r="I178" s="102">
        <f t="shared" si="49"/>
        <v>0</v>
      </c>
      <c r="J178" s="170"/>
      <c r="K178" s="105"/>
      <c r="L178" s="536"/>
      <c r="M178" s="70"/>
      <c r="N178" s="681"/>
      <c r="O178" s="1031"/>
      <c r="P178" s="373"/>
      <c r="Q178" s="476"/>
      <c r="R178" s="546"/>
      <c r="S178" s="903">
        <f t="shared" si="52"/>
        <v>0</v>
      </c>
      <c r="T178" s="903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0"/>
      <c r="G179" s="97"/>
      <c r="H179" s="880"/>
      <c r="I179" s="102">
        <f t="shared" si="49"/>
        <v>0</v>
      </c>
      <c r="J179" s="170"/>
      <c r="K179" s="105"/>
      <c r="L179" s="536"/>
      <c r="M179" s="70"/>
      <c r="N179" s="681"/>
      <c r="O179" s="1031"/>
      <c r="P179" s="373"/>
      <c r="Q179" s="476"/>
      <c r="R179" s="546"/>
      <c r="S179" s="903">
        <f t="shared" si="52"/>
        <v>0</v>
      </c>
      <c r="T179" s="903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0"/>
      <c r="G180" s="97"/>
      <c r="H180" s="880"/>
      <c r="I180" s="102">
        <f t="shared" si="49"/>
        <v>0</v>
      </c>
      <c r="J180" s="170"/>
      <c r="K180" s="105"/>
      <c r="L180" s="536"/>
      <c r="M180" s="70"/>
      <c r="N180" s="681"/>
      <c r="O180" s="1031"/>
      <c r="P180" s="373"/>
      <c r="Q180" s="363"/>
      <c r="R180" s="547"/>
      <c r="S180" s="903">
        <f t="shared" si="52"/>
        <v>0</v>
      </c>
      <c r="T180" s="903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0"/>
      <c r="G181" s="97"/>
      <c r="H181" s="880"/>
      <c r="I181" s="102">
        <f t="shared" si="49"/>
        <v>0</v>
      </c>
      <c r="J181" s="170"/>
      <c r="K181" s="105"/>
      <c r="L181" s="536"/>
      <c r="M181" s="70"/>
      <c r="N181" s="681"/>
      <c r="O181" s="1031"/>
      <c r="P181" s="373"/>
      <c r="Q181" s="363"/>
      <c r="R181" s="547"/>
      <c r="S181" s="903">
        <f t="shared" ref="S181:S186" si="54">Q181+M181+K181</f>
        <v>0</v>
      </c>
      <c r="T181" s="903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0"/>
      <c r="G182" s="97"/>
      <c r="H182" s="880"/>
      <c r="I182" s="102">
        <f t="shared" si="49"/>
        <v>0</v>
      </c>
      <c r="J182" s="170"/>
      <c r="K182" s="105"/>
      <c r="L182" s="536"/>
      <c r="M182" s="70"/>
      <c r="N182" s="681"/>
      <c r="O182" s="1031"/>
      <c r="P182" s="373"/>
      <c r="Q182" s="363"/>
      <c r="R182" s="547"/>
      <c r="S182" s="903">
        <f t="shared" si="54"/>
        <v>0</v>
      </c>
      <c r="T182" s="903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0"/>
      <c r="G183" s="97"/>
      <c r="H183" s="880"/>
      <c r="I183" s="102">
        <f t="shared" si="49"/>
        <v>0</v>
      </c>
      <c r="J183" s="170"/>
      <c r="K183" s="105"/>
      <c r="L183" s="536"/>
      <c r="M183" s="70"/>
      <c r="N183" s="681"/>
      <c r="O183" s="1031"/>
      <c r="P183" s="373"/>
      <c r="Q183" s="363"/>
      <c r="R183" s="547"/>
      <c r="S183" s="903">
        <f t="shared" si="54"/>
        <v>0</v>
      </c>
      <c r="T183" s="903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0"/>
      <c r="G184" s="97"/>
      <c r="H184" s="880"/>
      <c r="I184" s="102">
        <f t="shared" si="49"/>
        <v>0</v>
      </c>
      <c r="J184" s="170"/>
      <c r="K184" s="105"/>
      <c r="L184" s="536"/>
      <c r="M184" s="70"/>
      <c r="N184" s="681"/>
      <c r="O184" s="1031"/>
      <c r="P184" s="373"/>
      <c r="Q184" s="363"/>
      <c r="R184" s="547"/>
      <c r="S184" s="903">
        <f t="shared" si="54"/>
        <v>0</v>
      </c>
      <c r="T184" s="903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0"/>
      <c r="G185" s="97"/>
      <c r="H185" s="880"/>
      <c r="I185" s="102">
        <f t="shared" si="49"/>
        <v>0</v>
      </c>
      <c r="J185" s="170"/>
      <c r="K185" s="105"/>
      <c r="L185" s="536"/>
      <c r="M185" s="70"/>
      <c r="N185" s="681"/>
      <c r="O185" s="1031"/>
      <c r="P185" s="373"/>
      <c r="Q185" s="477"/>
      <c r="R185" s="544"/>
      <c r="S185" s="903">
        <f t="shared" si="54"/>
        <v>0</v>
      </c>
      <c r="T185" s="903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0"/>
      <c r="G186" s="97"/>
      <c r="H186" s="880"/>
      <c r="I186" s="102">
        <f t="shared" si="49"/>
        <v>0</v>
      </c>
      <c r="J186" s="170"/>
      <c r="K186" s="105"/>
      <c r="L186" s="536"/>
      <c r="M186" s="70"/>
      <c r="N186" s="681"/>
      <c r="O186" s="1031"/>
      <c r="P186" s="373"/>
      <c r="Q186" s="477"/>
      <c r="R186" s="548"/>
      <c r="S186" s="903">
        <f t="shared" si="54"/>
        <v>0</v>
      </c>
      <c r="T186" s="903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0"/>
      <c r="G187" s="97"/>
      <c r="H187" s="880"/>
      <c r="I187" s="102">
        <f t="shared" si="49"/>
        <v>0</v>
      </c>
      <c r="J187" s="125"/>
      <c r="K187" s="157"/>
      <c r="L187" s="537"/>
      <c r="M187" s="70"/>
      <c r="N187" s="682"/>
      <c r="O187" s="1031"/>
      <c r="P187" s="373"/>
      <c r="Q187" s="363"/>
      <c r="R187" s="549"/>
      <c r="S187" s="903">
        <f>Q187+M187+K187</f>
        <v>0</v>
      </c>
      <c r="T187" s="903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7" t="s">
        <v>31</v>
      </c>
      <c r="G188" s="71">
        <f>SUM(G5:G187)</f>
        <v>5289</v>
      </c>
      <c r="H188" s="886">
        <f>SUM(H3:H187)</f>
        <v>616306.42999999993</v>
      </c>
      <c r="I188" s="427">
        <f>PIERNA!I37</f>
        <v>0</v>
      </c>
      <c r="J188" s="46"/>
      <c r="K188" s="159">
        <f>SUM(K5:K187)</f>
        <v>309843</v>
      </c>
      <c r="L188" s="538"/>
      <c r="M188" s="159">
        <f>SUM(M5:M187)</f>
        <v>965120</v>
      </c>
      <c r="N188" s="683"/>
      <c r="O188" s="1039"/>
      <c r="P188" s="782"/>
      <c r="Q188" s="478">
        <f>SUM(Q5:Q187)</f>
        <v>28389493.291589998</v>
      </c>
      <c r="R188" s="550"/>
      <c r="S188" s="905">
        <f>Q188+M188+K188</f>
        <v>29664456.291589998</v>
      </c>
      <c r="T188" s="903"/>
    </row>
    <row r="189" spans="1:20" s="148" customFormat="1" ht="16.5" thickTop="1" x14ac:dyDescent="0.25">
      <c r="B189" s="74"/>
      <c r="C189" s="74"/>
      <c r="D189" s="97"/>
      <c r="E189" s="130"/>
      <c r="F189" s="867"/>
      <c r="G189" s="97"/>
      <c r="H189" s="867"/>
      <c r="I189" s="74"/>
      <c r="J189" s="125"/>
      <c r="L189" s="539"/>
      <c r="N189" s="684"/>
      <c r="O189" s="1029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40"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01:B102"/>
    <mergeCell ref="O101:O102"/>
    <mergeCell ref="B103:B104"/>
    <mergeCell ref="E103:E104"/>
    <mergeCell ref="O103:O104"/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  <mergeCell ref="L120:L122"/>
    <mergeCell ref="L134:L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4" t="s">
        <v>311</v>
      </c>
      <c r="B1" s="1664"/>
      <c r="C1" s="1664"/>
      <c r="D1" s="1664"/>
      <c r="E1" s="1664"/>
      <c r="F1" s="1664"/>
      <c r="G1" s="1664"/>
      <c r="H1" s="11">
        <v>1</v>
      </c>
      <c r="K1" s="1669" t="s">
        <v>345</v>
      </c>
      <c r="L1" s="1669"/>
      <c r="M1" s="1669"/>
      <c r="N1" s="1669"/>
      <c r="O1" s="1669"/>
      <c r="P1" s="1669"/>
      <c r="Q1" s="16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799"/>
      <c r="B4" s="799"/>
      <c r="C4" s="799"/>
      <c r="D4" s="799"/>
      <c r="E4" s="989"/>
      <c r="F4" s="799"/>
      <c r="G4" s="800"/>
      <c r="H4" s="800"/>
      <c r="K4" s="799"/>
      <c r="L4" s="799"/>
      <c r="M4" s="799"/>
      <c r="N4" s="799"/>
      <c r="O4" s="989"/>
      <c r="P4" s="799"/>
      <c r="Q4" s="800"/>
      <c r="R4" s="800"/>
    </row>
    <row r="5" spans="1:19" ht="15.75" x14ac:dyDescent="0.25">
      <c r="A5" s="167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7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75"/>
      <c r="B6" s="167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75"/>
      <c r="L6" s="1676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75"/>
      <c r="B7" s="1676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75"/>
      <c r="L7" s="1676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0"/>
      <c r="L8" s="19"/>
      <c r="M8" s="441"/>
      <c r="N8" s="130"/>
      <c r="O8" s="446"/>
      <c r="P8" s="12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580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596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600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28" t="s">
        <v>305</v>
      </c>
      <c r="B13" s="670">
        <f t="shared" si="3"/>
        <v>92</v>
      </c>
      <c r="C13" s="1219">
        <v>6</v>
      </c>
      <c r="D13" s="1220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39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602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607</v>
      </c>
      <c r="R14" s="564">
        <v>90</v>
      </c>
      <c r="S14" s="596">
        <f t="shared" si="7"/>
        <v>613.19999999999982</v>
      </c>
    </row>
    <row r="15" spans="1:19" x14ac:dyDescent="0.25">
      <c r="A15" s="1040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5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622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0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5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643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671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679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7">
        <v>119.02</v>
      </c>
      <c r="E19" s="1333">
        <v>45110</v>
      </c>
      <c r="F19" s="1187">
        <f t="shared" si="8"/>
        <v>119.02</v>
      </c>
      <c r="G19" s="1188" t="s">
        <v>493</v>
      </c>
      <c r="H19" s="1189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703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7">
        <v>93.68</v>
      </c>
      <c r="E20" s="1333">
        <v>45111</v>
      </c>
      <c r="F20" s="1187">
        <f t="shared" si="4"/>
        <v>93.68</v>
      </c>
      <c r="G20" s="1188" t="s">
        <v>507</v>
      </c>
      <c r="H20" s="1189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727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7">
        <v>118.09</v>
      </c>
      <c r="E21" s="1333">
        <v>45112</v>
      </c>
      <c r="F21" s="1187">
        <f t="shared" si="4"/>
        <v>118.09</v>
      </c>
      <c r="G21" s="1188" t="s">
        <v>515</v>
      </c>
      <c r="H21" s="1189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7">
        <v>117.98</v>
      </c>
      <c r="E22" s="1333">
        <v>45113</v>
      </c>
      <c r="F22" s="1187">
        <f t="shared" si="4"/>
        <v>117.98</v>
      </c>
      <c r="G22" s="1188" t="s">
        <v>521</v>
      </c>
      <c r="H22" s="1189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18">
        <f t="shared" si="2"/>
        <v>0</v>
      </c>
      <c r="Q22" s="1519"/>
      <c r="R22" s="1520"/>
      <c r="S22" s="1494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7">
        <v>58.2</v>
      </c>
      <c r="E23" s="1333">
        <v>45117</v>
      </c>
      <c r="F23" s="1187">
        <f t="shared" si="4"/>
        <v>58.2</v>
      </c>
      <c r="G23" s="1188" t="s">
        <v>551</v>
      </c>
      <c r="H23" s="1189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18">
        <f t="shared" si="2"/>
        <v>0</v>
      </c>
      <c r="Q23" s="1519"/>
      <c r="R23" s="1520"/>
      <c r="S23" s="1494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7">
        <v>116.47</v>
      </c>
      <c r="E24" s="1333">
        <v>45117</v>
      </c>
      <c r="F24" s="1187">
        <f t="shared" si="4"/>
        <v>116.47</v>
      </c>
      <c r="G24" s="1188" t="s">
        <v>552</v>
      </c>
      <c r="H24" s="1189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18">
        <f t="shared" si="2"/>
        <v>0</v>
      </c>
      <c r="Q24" s="1519"/>
      <c r="R24" s="1520"/>
      <c r="S24" s="1494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7">
        <v>59.26</v>
      </c>
      <c r="E25" s="1333">
        <v>45118</v>
      </c>
      <c r="F25" s="1187">
        <f t="shared" si="4"/>
        <v>59.26</v>
      </c>
      <c r="G25" s="1188" t="s">
        <v>566</v>
      </c>
      <c r="H25" s="1189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18">
        <f t="shared" si="2"/>
        <v>0</v>
      </c>
      <c r="Q25" s="1519"/>
      <c r="R25" s="1520"/>
      <c r="S25" s="1494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7"/>
      <c r="E26" s="1333"/>
      <c r="F26" s="1187">
        <f t="shared" si="4"/>
        <v>0</v>
      </c>
      <c r="G26" s="1188"/>
      <c r="H26" s="1189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18">
        <f t="shared" si="2"/>
        <v>0</v>
      </c>
      <c r="Q26" s="1519"/>
      <c r="R26" s="1520"/>
      <c r="S26" s="1494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7">
        <v>11.51</v>
      </c>
      <c r="E27" s="1333">
        <v>45118</v>
      </c>
      <c r="F27" s="1187">
        <f t="shared" si="4"/>
        <v>11.51</v>
      </c>
      <c r="G27" s="1188" t="s">
        <v>571</v>
      </c>
      <c r="H27" s="1189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18">
        <f t="shared" si="2"/>
        <v>0</v>
      </c>
      <c r="Q27" s="1519"/>
      <c r="R27" s="1520"/>
      <c r="S27" s="1494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7">
        <v>12.31</v>
      </c>
      <c r="E28" s="1333">
        <v>45119</v>
      </c>
      <c r="F28" s="1187">
        <f t="shared" si="4"/>
        <v>12.31</v>
      </c>
      <c r="G28" s="1188" t="s">
        <v>579</v>
      </c>
      <c r="H28" s="1189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0"/>
      <c r="O28" s="1341"/>
      <c r="P28" s="1340">
        <f t="shared" si="2"/>
        <v>0</v>
      </c>
      <c r="Q28" s="1342"/>
      <c r="R28" s="1343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7">
        <v>11.56</v>
      </c>
      <c r="E29" s="1333">
        <v>45119</v>
      </c>
      <c r="F29" s="1187">
        <f t="shared" si="4"/>
        <v>11.56</v>
      </c>
      <c r="G29" s="1188" t="s">
        <v>579</v>
      </c>
      <c r="H29" s="1189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0"/>
      <c r="O29" s="1341"/>
      <c r="P29" s="1340">
        <f t="shared" si="2"/>
        <v>0</v>
      </c>
      <c r="Q29" s="1342"/>
      <c r="R29" s="1343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3">
        <v>0</v>
      </c>
      <c r="E30" s="1334"/>
      <c r="F30" s="1193">
        <f t="shared" si="4"/>
        <v>0</v>
      </c>
      <c r="G30" s="1188"/>
      <c r="H30" s="1195"/>
      <c r="I30" s="596">
        <f t="shared" si="5"/>
        <v>24.050000000000026</v>
      </c>
      <c r="K30" s="118"/>
      <c r="L30" s="670">
        <f t="shared" si="6"/>
        <v>0</v>
      </c>
      <c r="M30" s="15"/>
      <c r="N30" s="1344"/>
      <c r="O30" s="1345"/>
      <c r="P30" s="1344">
        <f t="shared" si="2"/>
        <v>0</v>
      </c>
      <c r="Q30" s="1342"/>
      <c r="R30" s="1346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3"/>
      <c r="E31" s="1334"/>
      <c r="F31" s="1193">
        <f t="shared" si="4"/>
        <v>0</v>
      </c>
      <c r="G31" s="1188"/>
      <c r="H31" s="1195"/>
      <c r="I31" s="596">
        <f t="shared" si="5"/>
        <v>24.050000000000026</v>
      </c>
      <c r="K31" s="118"/>
      <c r="L31" s="670">
        <f t="shared" si="6"/>
        <v>0</v>
      </c>
      <c r="M31" s="15"/>
      <c r="N31" s="1344"/>
      <c r="O31" s="1345"/>
      <c r="P31" s="1344">
        <f t="shared" si="2"/>
        <v>0</v>
      </c>
      <c r="Q31" s="1342"/>
      <c r="R31" s="1346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3"/>
      <c r="E32" s="1334"/>
      <c r="F32" s="1510">
        <v>24.05</v>
      </c>
      <c r="G32" s="1511"/>
      <c r="H32" s="1512"/>
      <c r="I32" s="1494">
        <f t="shared" si="5"/>
        <v>0</v>
      </c>
      <c r="K32" s="118"/>
      <c r="L32" s="670">
        <f t="shared" si="6"/>
        <v>0</v>
      </c>
      <c r="M32" s="15"/>
      <c r="N32" s="1344"/>
      <c r="O32" s="1345"/>
      <c r="P32" s="1344">
        <f t="shared" si="2"/>
        <v>0</v>
      </c>
      <c r="Q32" s="1342"/>
      <c r="R32" s="1346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3"/>
      <c r="E33" s="1334"/>
      <c r="F33" s="1510">
        <f t="shared" si="4"/>
        <v>0</v>
      </c>
      <c r="G33" s="1511"/>
      <c r="H33" s="1512"/>
      <c r="I33" s="1494">
        <f t="shared" si="5"/>
        <v>0</v>
      </c>
      <c r="K33" s="118"/>
      <c r="L33" s="670">
        <f t="shared" si="6"/>
        <v>0</v>
      </c>
      <c r="M33" s="15"/>
      <c r="N33" s="1344"/>
      <c r="O33" s="1345"/>
      <c r="P33" s="1344">
        <f t="shared" si="2"/>
        <v>0</v>
      </c>
      <c r="Q33" s="1342"/>
      <c r="R33" s="1346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3"/>
      <c r="E34" s="1334"/>
      <c r="F34" s="1510">
        <f t="shared" si="4"/>
        <v>0</v>
      </c>
      <c r="G34" s="1511"/>
      <c r="H34" s="1512"/>
      <c r="I34" s="1494">
        <f t="shared" si="5"/>
        <v>0</v>
      </c>
      <c r="K34" s="118"/>
      <c r="L34" s="670">
        <f t="shared" si="6"/>
        <v>0</v>
      </c>
      <c r="M34" s="15"/>
      <c r="N34" s="1344"/>
      <c r="O34" s="1345"/>
      <c r="P34" s="1344">
        <f t="shared" si="2"/>
        <v>0</v>
      </c>
      <c r="Q34" s="1342"/>
      <c r="R34" s="1346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3"/>
      <c r="E35" s="1334"/>
      <c r="F35" s="1510">
        <f t="shared" si="4"/>
        <v>0</v>
      </c>
      <c r="G35" s="1511"/>
      <c r="H35" s="1512"/>
      <c r="I35" s="1494">
        <f t="shared" si="5"/>
        <v>0</v>
      </c>
      <c r="K35" s="118"/>
      <c r="L35" s="670">
        <f t="shared" si="6"/>
        <v>0</v>
      </c>
      <c r="M35" s="15"/>
      <c r="N35" s="1344"/>
      <c r="O35" s="1345"/>
      <c r="P35" s="1344">
        <f t="shared" si="2"/>
        <v>0</v>
      </c>
      <c r="Q35" s="1342"/>
      <c r="R35" s="1346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3"/>
      <c r="E36" s="1334"/>
      <c r="F36" s="1510">
        <f t="shared" si="4"/>
        <v>0</v>
      </c>
      <c r="G36" s="1511"/>
      <c r="H36" s="1512"/>
      <c r="I36" s="1494">
        <f t="shared" si="5"/>
        <v>0</v>
      </c>
      <c r="K36" s="118"/>
      <c r="L36" s="670">
        <f t="shared" si="6"/>
        <v>0</v>
      </c>
      <c r="M36" s="15"/>
      <c r="N36" s="1344"/>
      <c r="O36" s="1345"/>
      <c r="P36" s="1344">
        <f t="shared" si="2"/>
        <v>0</v>
      </c>
      <c r="Q36" s="1342"/>
      <c r="R36" s="1346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3"/>
      <c r="E37" s="1334"/>
      <c r="F37" s="1193">
        <f t="shared" si="4"/>
        <v>0</v>
      </c>
      <c r="G37" s="1188"/>
      <c r="H37" s="1195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4"/>
      <c r="O37" s="1345"/>
      <c r="P37" s="1344">
        <f t="shared" si="2"/>
        <v>0</v>
      </c>
      <c r="Q37" s="1342"/>
      <c r="R37" s="1346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3"/>
      <c r="E38" s="1334"/>
      <c r="F38" s="1193">
        <f t="shared" si="4"/>
        <v>0</v>
      </c>
      <c r="G38" s="1188"/>
      <c r="H38" s="1195"/>
      <c r="I38" s="102">
        <f t="shared" si="5"/>
        <v>0</v>
      </c>
      <c r="K38" s="119"/>
      <c r="L38" s="670">
        <f t="shared" si="6"/>
        <v>0</v>
      </c>
      <c r="M38" s="15"/>
      <c r="N38" s="1344"/>
      <c r="O38" s="1345"/>
      <c r="P38" s="1344">
        <f t="shared" si="2"/>
        <v>0</v>
      </c>
      <c r="Q38" s="1342"/>
      <c r="R38" s="1346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3"/>
      <c r="E39" s="1334"/>
      <c r="F39" s="1193">
        <f t="shared" si="4"/>
        <v>0</v>
      </c>
      <c r="G39" s="1188"/>
      <c r="H39" s="1195"/>
      <c r="I39" s="102">
        <f t="shared" si="5"/>
        <v>0</v>
      </c>
      <c r="K39" s="118"/>
      <c r="L39" s="670">
        <f t="shared" si="6"/>
        <v>0</v>
      </c>
      <c r="M39" s="15"/>
      <c r="N39" s="1344"/>
      <c r="O39" s="1345"/>
      <c r="P39" s="1344">
        <f t="shared" si="2"/>
        <v>0</v>
      </c>
      <c r="Q39" s="1342"/>
      <c r="R39" s="1346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3"/>
      <c r="E40" s="1334"/>
      <c r="F40" s="1193">
        <f t="shared" si="4"/>
        <v>0</v>
      </c>
      <c r="G40" s="1188"/>
      <c r="H40" s="1195"/>
      <c r="I40" s="102">
        <f t="shared" si="5"/>
        <v>0</v>
      </c>
      <c r="K40" s="118"/>
      <c r="L40" s="670">
        <f t="shared" si="6"/>
        <v>0</v>
      </c>
      <c r="M40" s="15"/>
      <c r="N40" s="1344"/>
      <c r="O40" s="1345"/>
      <c r="P40" s="1344">
        <f t="shared" si="2"/>
        <v>0</v>
      </c>
      <c r="Q40" s="1342"/>
      <c r="R40" s="1346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3"/>
      <c r="E41" s="1334"/>
      <c r="F41" s="1193">
        <f t="shared" si="4"/>
        <v>0</v>
      </c>
      <c r="G41" s="1188"/>
      <c r="H41" s="1195"/>
      <c r="I41" s="102">
        <f t="shared" si="5"/>
        <v>0</v>
      </c>
      <c r="K41" s="118"/>
      <c r="L41" s="670">
        <f t="shared" si="6"/>
        <v>0</v>
      </c>
      <c r="M41" s="15"/>
      <c r="N41" s="1344"/>
      <c r="O41" s="1345"/>
      <c r="P41" s="1344">
        <f t="shared" si="2"/>
        <v>0</v>
      </c>
      <c r="Q41" s="1342"/>
      <c r="R41" s="1346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3"/>
      <c r="E42" s="1334"/>
      <c r="F42" s="1193">
        <f t="shared" si="4"/>
        <v>0</v>
      </c>
      <c r="G42" s="1188"/>
      <c r="H42" s="1195"/>
      <c r="I42" s="102">
        <f t="shared" si="5"/>
        <v>0</v>
      </c>
      <c r="K42" s="118"/>
      <c r="L42" s="670">
        <f t="shared" si="6"/>
        <v>0</v>
      </c>
      <c r="M42" s="15"/>
      <c r="N42" s="1344"/>
      <c r="O42" s="1345"/>
      <c r="P42" s="1344">
        <f t="shared" si="2"/>
        <v>0</v>
      </c>
      <c r="Q42" s="1342"/>
      <c r="R42" s="1346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3"/>
      <c r="E43" s="1334"/>
      <c r="F43" s="1193">
        <f t="shared" si="4"/>
        <v>0</v>
      </c>
      <c r="G43" s="1188"/>
      <c r="H43" s="1195"/>
      <c r="I43" s="102">
        <f t="shared" si="5"/>
        <v>0</v>
      </c>
      <c r="K43" s="118"/>
      <c r="L43" s="670">
        <f t="shared" si="6"/>
        <v>0</v>
      </c>
      <c r="M43" s="15"/>
      <c r="N43" s="1344"/>
      <c r="O43" s="1345"/>
      <c r="P43" s="1344">
        <f t="shared" si="2"/>
        <v>0</v>
      </c>
      <c r="Q43" s="1342"/>
      <c r="R43" s="1346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3"/>
      <c r="E44" s="1334"/>
      <c r="F44" s="1193">
        <f t="shared" si="4"/>
        <v>0</v>
      </c>
      <c r="G44" s="1194"/>
      <c r="H44" s="1195"/>
      <c r="I44" s="102">
        <f t="shared" si="5"/>
        <v>0</v>
      </c>
      <c r="K44" s="118"/>
      <c r="L44" s="670">
        <f t="shared" si="6"/>
        <v>0</v>
      </c>
      <c r="M44" s="15"/>
      <c r="N44" s="1344"/>
      <c r="O44" s="1345"/>
      <c r="P44" s="1344">
        <f t="shared" si="2"/>
        <v>0</v>
      </c>
      <c r="Q44" s="1347"/>
      <c r="R44" s="1346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3"/>
      <c r="E45" s="1334"/>
      <c r="F45" s="1193">
        <f t="shared" si="4"/>
        <v>0</v>
      </c>
      <c r="G45" s="1194"/>
      <c r="H45" s="1195"/>
      <c r="I45" s="102">
        <f t="shared" si="5"/>
        <v>0</v>
      </c>
      <c r="K45" s="118"/>
      <c r="L45" s="670">
        <f t="shared" si="6"/>
        <v>0</v>
      </c>
      <c r="M45" s="15"/>
      <c r="N45" s="1344"/>
      <c r="O45" s="1345"/>
      <c r="P45" s="1344">
        <f t="shared" si="2"/>
        <v>0</v>
      </c>
      <c r="Q45" s="1347"/>
      <c r="R45" s="1346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3"/>
      <c r="E46" s="1334"/>
      <c r="F46" s="1193">
        <f t="shared" si="4"/>
        <v>0</v>
      </c>
      <c r="G46" s="1194"/>
      <c r="H46" s="1195"/>
      <c r="I46" s="102">
        <f t="shared" si="5"/>
        <v>0</v>
      </c>
      <c r="K46" s="118"/>
      <c r="L46" s="670">
        <f t="shared" si="6"/>
        <v>0</v>
      </c>
      <c r="M46" s="15"/>
      <c r="N46" s="1344"/>
      <c r="O46" s="1345"/>
      <c r="P46" s="1344">
        <f t="shared" si="2"/>
        <v>0</v>
      </c>
      <c r="Q46" s="1347"/>
      <c r="R46" s="1346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3"/>
      <c r="E47" s="1334"/>
      <c r="F47" s="1193">
        <f t="shared" si="4"/>
        <v>0</v>
      </c>
      <c r="G47" s="1194"/>
      <c r="H47" s="1195"/>
      <c r="I47" s="102">
        <f t="shared" si="5"/>
        <v>0</v>
      </c>
      <c r="K47" s="118"/>
      <c r="L47" s="670">
        <f t="shared" si="6"/>
        <v>0</v>
      </c>
      <c r="M47" s="15"/>
      <c r="N47" s="1344"/>
      <c r="O47" s="1345"/>
      <c r="P47" s="1344">
        <f t="shared" si="2"/>
        <v>0</v>
      </c>
      <c r="Q47" s="1347"/>
      <c r="R47" s="1346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3"/>
      <c r="E48" s="1334"/>
      <c r="F48" s="1193">
        <f t="shared" si="4"/>
        <v>0</v>
      </c>
      <c r="G48" s="1194"/>
      <c r="H48" s="1195"/>
      <c r="I48" s="102">
        <f t="shared" si="5"/>
        <v>0</v>
      </c>
      <c r="K48" s="118"/>
      <c r="L48" s="670">
        <f t="shared" si="6"/>
        <v>0</v>
      </c>
      <c r="M48" s="15"/>
      <c r="N48" s="1344"/>
      <c r="O48" s="1345"/>
      <c r="P48" s="1344">
        <f t="shared" si="2"/>
        <v>0</v>
      </c>
      <c r="Q48" s="1347"/>
      <c r="R48" s="1346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3"/>
      <c r="E49" s="1334"/>
      <c r="F49" s="1193">
        <f t="shared" si="4"/>
        <v>0</v>
      </c>
      <c r="G49" s="1194"/>
      <c r="H49" s="1195"/>
      <c r="I49" s="102">
        <f t="shared" si="5"/>
        <v>0</v>
      </c>
      <c r="K49" s="118"/>
      <c r="L49" s="670">
        <f t="shared" si="6"/>
        <v>0</v>
      </c>
      <c r="M49" s="15"/>
      <c r="N49" s="1344"/>
      <c r="O49" s="1345"/>
      <c r="P49" s="1344">
        <f t="shared" si="2"/>
        <v>0</v>
      </c>
      <c r="Q49" s="1347"/>
      <c r="R49" s="1346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4"/>
      <c r="O50" s="1345"/>
      <c r="P50" s="1344">
        <f t="shared" si="2"/>
        <v>0</v>
      </c>
      <c r="Q50" s="1347"/>
      <c r="R50" s="1346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4"/>
      <c r="O51" s="1345"/>
      <c r="P51" s="1344">
        <f t="shared" si="2"/>
        <v>0</v>
      </c>
      <c r="Q51" s="1347"/>
      <c r="R51" s="1346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4"/>
      <c r="O52" s="1345"/>
      <c r="P52" s="1344">
        <f t="shared" si="2"/>
        <v>0</v>
      </c>
      <c r="Q52" s="1347"/>
      <c r="R52" s="1346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4"/>
      <c r="O53" s="1345"/>
      <c r="P53" s="1344">
        <f t="shared" si="2"/>
        <v>0</v>
      </c>
      <c r="Q53" s="1347"/>
      <c r="R53" s="1346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4"/>
      <c r="O54" s="1345"/>
      <c r="P54" s="1344">
        <f t="shared" si="2"/>
        <v>0</v>
      </c>
      <c r="Q54" s="1347"/>
      <c r="R54" s="1346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4"/>
      <c r="O55" s="1345"/>
      <c r="P55" s="1344">
        <f t="shared" si="2"/>
        <v>0</v>
      </c>
      <c r="Q55" s="1347"/>
      <c r="R55" s="1346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4"/>
      <c r="O56" s="1345"/>
      <c r="P56" s="1344">
        <f t="shared" si="2"/>
        <v>0</v>
      </c>
      <c r="Q56" s="1347"/>
      <c r="R56" s="1346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4"/>
      <c r="O57" s="1345"/>
      <c r="P57" s="1344">
        <f t="shared" si="2"/>
        <v>0</v>
      </c>
      <c r="Q57" s="1347"/>
      <c r="R57" s="1346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4"/>
      <c r="O58" s="1345"/>
      <c r="P58" s="1344">
        <f t="shared" si="2"/>
        <v>0</v>
      </c>
      <c r="Q58" s="1347"/>
      <c r="R58" s="1346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4"/>
      <c r="O59" s="1345"/>
      <c r="P59" s="1344">
        <f t="shared" si="2"/>
        <v>0</v>
      </c>
      <c r="Q59" s="1347"/>
      <c r="R59" s="1346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4"/>
      <c r="O60" s="1345"/>
      <c r="P60" s="1344">
        <f t="shared" si="2"/>
        <v>0</v>
      </c>
      <c r="Q60" s="1347"/>
      <c r="R60" s="1346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66" t="s">
        <v>11</v>
      </c>
      <c r="D84" s="1667"/>
      <c r="E84" s="56">
        <f>E6+E7-F79+E8</f>
        <v>-505.11999999999989</v>
      </c>
      <c r="F84" s="1040"/>
      <c r="M84" s="1666" t="s">
        <v>11</v>
      </c>
      <c r="N84" s="1667"/>
      <c r="O84" s="56">
        <f>O6+O7-P79+O8</f>
        <v>-1039.08</v>
      </c>
      <c r="P84" s="1225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64" t="s">
        <v>312</v>
      </c>
      <c r="B1" s="1664"/>
      <c r="C1" s="1664"/>
      <c r="D1" s="1664"/>
      <c r="E1" s="1664"/>
      <c r="F1" s="1664"/>
      <c r="G1" s="1664"/>
      <c r="H1" s="11">
        <v>1</v>
      </c>
      <c r="L1" s="1669" t="s">
        <v>336</v>
      </c>
      <c r="M1" s="1669"/>
      <c r="N1" s="1669"/>
      <c r="O1" s="1669"/>
      <c r="P1" s="1669"/>
      <c r="Q1" s="1669"/>
      <c r="R1" s="166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77" t="s">
        <v>67</v>
      </c>
      <c r="C4" s="230"/>
      <c r="D4" s="130"/>
      <c r="E4" s="435">
        <v>834.3</v>
      </c>
      <c r="F4" s="1146">
        <v>32</v>
      </c>
      <c r="G4" s="151"/>
      <c r="H4" s="151"/>
      <c r="L4" s="410"/>
      <c r="M4" s="1677" t="s">
        <v>67</v>
      </c>
      <c r="N4" s="230"/>
      <c r="O4" s="130"/>
      <c r="P4" s="435">
        <v>-30.59</v>
      </c>
      <c r="Q4" s="1225">
        <v>0</v>
      </c>
      <c r="R4" s="151"/>
      <c r="S4" s="151"/>
    </row>
    <row r="5" spans="1:21" ht="21" customHeight="1" x14ac:dyDescent="0.25">
      <c r="A5" s="1679" t="s">
        <v>80</v>
      </c>
      <c r="B5" s="1678"/>
      <c r="C5" s="230">
        <v>119</v>
      </c>
      <c r="D5" s="130">
        <v>45098</v>
      </c>
      <c r="E5" s="435">
        <v>5017.21</v>
      </c>
      <c r="F5" s="1146">
        <v>186</v>
      </c>
      <c r="G5" s="5"/>
      <c r="L5" s="1679" t="s">
        <v>80</v>
      </c>
      <c r="M5" s="1678"/>
      <c r="N5" s="230">
        <v>119</v>
      </c>
      <c r="O5" s="130">
        <v>45120</v>
      </c>
      <c r="P5" s="435">
        <v>5003.5600000000004</v>
      </c>
      <c r="Q5" s="1225">
        <v>176</v>
      </c>
      <c r="R5" s="5"/>
    </row>
    <row r="6" spans="1:21" ht="21" customHeight="1" x14ac:dyDescent="0.25">
      <c r="A6" s="1679"/>
      <c r="B6" s="1678"/>
      <c r="C6" s="371">
        <v>119</v>
      </c>
      <c r="D6" s="130">
        <v>45105</v>
      </c>
      <c r="E6" s="436">
        <v>5006.87</v>
      </c>
      <c r="F6" s="1146">
        <v>183</v>
      </c>
      <c r="G6" s="47">
        <f>F79</f>
        <v>10888.969999999998</v>
      </c>
      <c r="H6" s="7">
        <f>E6-G6+E7+E5-G5+E4</f>
        <v>-30.589999999997644</v>
      </c>
      <c r="L6" s="1679"/>
      <c r="M6" s="1678"/>
      <c r="N6" s="371">
        <v>119</v>
      </c>
      <c r="O6" s="130">
        <v>45129</v>
      </c>
      <c r="P6" s="436">
        <v>5014.46</v>
      </c>
      <c r="Q6" s="1225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78"/>
      <c r="C7" s="220"/>
      <c r="D7" s="218"/>
      <c r="E7" s="435"/>
      <c r="F7" s="1146"/>
      <c r="L7" s="685"/>
      <c r="M7" s="1678"/>
      <c r="N7" s="220"/>
      <c r="O7" s="218"/>
      <c r="P7" s="435"/>
      <c r="Q7" s="1225"/>
    </row>
    <row r="8" spans="1:21" ht="15.75" thickBot="1" x14ac:dyDescent="0.3">
      <c r="A8" s="410"/>
      <c r="B8" s="144"/>
      <c r="C8" s="220"/>
      <c r="D8" s="218"/>
      <c r="E8" s="435"/>
      <c r="F8" s="1146"/>
      <c r="L8" s="410"/>
      <c r="M8" s="144"/>
      <c r="N8" s="220"/>
      <c r="O8" s="218"/>
      <c r="P8" s="435"/>
      <c r="Q8" s="122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606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608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618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623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626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641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644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648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651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29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29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651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29"/>
      <c r="B20" s="670">
        <f t="shared" si="4"/>
        <v>201</v>
      </c>
      <c r="C20" s="624">
        <v>1</v>
      </c>
      <c r="D20" s="1246">
        <v>23</v>
      </c>
      <c r="E20" s="1247">
        <v>45110</v>
      </c>
      <c r="F20" s="1246">
        <f t="shared" si="5"/>
        <v>23</v>
      </c>
      <c r="G20" s="1248" t="s">
        <v>494</v>
      </c>
      <c r="H20" s="1249">
        <v>136</v>
      </c>
      <c r="I20" s="596">
        <f t="shared" si="6"/>
        <v>5519.9199999999992</v>
      </c>
      <c r="J20" s="652">
        <f t="shared" si="2"/>
        <v>3128</v>
      </c>
      <c r="L20" s="1129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657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29"/>
      <c r="B21" s="670">
        <f t="shared" si="4"/>
        <v>200</v>
      </c>
      <c r="C21" s="624">
        <v>1</v>
      </c>
      <c r="D21" s="1246">
        <v>24.77</v>
      </c>
      <c r="E21" s="1247">
        <v>45110</v>
      </c>
      <c r="F21" s="1246">
        <f t="shared" si="5"/>
        <v>24.77</v>
      </c>
      <c r="G21" s="1248" t="s">
        <v>495</v>
      </c>
      <c r="H21" s="1249">
        <v>136</v>
      </c>
      <c r="I21" s="596">
        <f t="shared" si="6"/>
        <v>5495.1499999999987</v>
      </c>
      <c r="J21" s="652">
        <f t="shared" si="2"/>
        <v>3368.72</v>
      </c>
      <c r="L21" s="1129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668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29"/>
      <c r="B22" s="670">
        <f t="shared" si="4"/>
        <v>165</v>
      </c>
      <c r="C22" s="624">
        <v>35</v>
      </c>
      <c r="D22" s="1246">
        <v>963.6</v>
      </c>
      <c r="E22" s="1247">
        <v>45110</v>
      </c>
      <c r="F22" s="1246">
        <f t="shared" si="5"/>
        <v>963.6</v>
      </c>
      <c r="G22" s="1248" t="s">
        <v>498</v>
      </c>
      <c r="H22" s="1249">
        <v>136</v>
      </c>
      <c r="I22" s="596">
        <f t="shared" si="6"/>
        <v>4531.5499999999984</v>
      </c>
      <c r="J22" s="652">
        <f t="shared" si="2"/>
        <v>131049.60000000001</v>
      </c>
      <c r="L22" s="1129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670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29"/>
      <c r="B23" s="670">
        <f t="shared" si="4"/>
        <v>164</v>
      </c>
      <c r="C23" s="624">
        <v>1</v>
      </c>
      <c r="D23" s="1246">
        <v>26.4</v>
      </c>
      <c r="E23" s="1247">
        <v>45112</v>
      </c>
      <c r="F23" s="1246">
        <f t="shared" si="5"/>
        <v>26.4</v>
      </c>
      <c r="G23" s="1248" t="s">
        <v>513</v>
      </c>
      <c r="H23" s="1249">
        <v>135</v>
      </c>
      <c r="I23" s="596">
        <f t="shared" si="6"/>
        <v>4505.1499999999987</v>
      </c>
      <c r="J23" s="652">
        <f t="shared" si="2"/>
        <v>3564</v>
      </c>
      <c r="L23" s="1129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680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0"/>
      <c r="B24" s="670">
        <f t="shared" si="4"/>
        <v>163</v>
      </c>
      <c r="C24" s="624">
        <v>1</v>
      </c>
      <c r="D24" s="1246">
        <v>27.62</v>
      </c>
      <c r="E24" s="1247">
        <v>45114</v>
      </c>
      <c r="F24" s="1246">
        <f t="shared" si="5"/>
        <v>27.62</v>
      </c>
      <c r="G24" s="1248" t="s">
        <v>529</v>
      </c>
      <c r="H24" s="1249">
        <v>136</v>
      </c>
      <c r="I24" s="596">
        <f t="shared" si="6"/>
        <v>4477.5299999999988</v>
      </c>
      <c r="J24" s="652">
        <f t="shared" si="2"/>
        <v>3756.32</v>
      </c>
      <c r="L24" s="1130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681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29"/>
      <c r="B25" s="670">
        <f t="shared" si="4"/>
        <v>162</v>
      </c>
      <c r="C25" s="624">
        <v>1</v>
      </c>
      <c r="D25" s="1246">
        <v>30.57</v>
      </c>
      <c r="E25" s="1247">
        <v>45114</v>
      </c>
      <c r="F25" s="1246">
        <f t="shared" si="5"/>
        <v>30.57</v>
      </c>
      <c r="G25" s="1248" t="s">
        <v>529</v>
      </c>
      <c r="H25" s="1249">
        <v>136</v>
      </c>
      <c r="I25" s="596">
        <f t="shared" si="6"/>
        <v>4446.9599999999991</v>
      </c>
      <c r="J25" s="652">
        <f t="shared" si="2"/>
        <v>4157.5200000000004</v>
      </c>
      <c r="L25" s="1129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682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2">
        <v>938.81</v>
      </c>
      <c r="E26" s="1250">
        <v>45114</v>
      </c>
      <c r="F26" s="1202">
        <f t="shared" si="5"/>
        <v>938.81</v>
      </c>
      <c r="G26" s="1204" t="s">
        <v>530</v>
      </c>
      <c r="H26" s="1205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683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2">
        <v>673.36</v>
      </c>
      <c r="E27" s="1250">
        <v>45114</v>
      </c>
      <c r="F27" s="1202">
        <f t="shared" si="5"/>
        <v>673.36</v>
      </c>
      <c r="G27" s="1204" t="s">
        <v>537</v>
      </c>
      <c r="H27" s="1205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696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2">
        <v>29.3</v>
      </c>
      <c r="E28" s="1250">
        <v>45115</v>
      </c>
      <c r="F28" s="1202">
        <f t="shared" si="5"/>
        <v>29.3</v>
      </c>
      <c r="G28" s="1204" t="s">
        <v>539</v>
      </c>
      <c r="H28" s="1205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702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2">
        <v>995.39</v>
      </c>
      <c r="E29" s="1250">
        <v>45117</v>
      </c>
      <c r="F29" s="1202">
        <f t="shared" si="5"/>
        <v>995.39</v>
      </c>
      <c r="G29" s="1204" t="s">
        <v>550</v>
      </c>
      <c r="H29" s="1205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706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2">
        <v>31.57</v>
      </c>
      <c r="E30" s="1250">
        <v>45118</v>
      </c>
      <c r="F30" s="1202">
        <f t="shared" si="5"/>
        <v>31.57</v>
      </c>
      <c r="G30" s="1204" t="s">
        <v>562</v>
      </c>
      <c r="H30" s="1205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716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2">
        <v>321.91000000000003</v>
      </c>
      <c r="E31" s="1250">
        <v>45118</v>
      </c>
      <c r="F31" s="1202">
        <f t="shared" si="5"/>
        <v>321.91000000000003</v>
      </c>
      <c r="G31" s="1204" t="s">
        <v>566</v>
      </c>
      <c r="H31" s="1205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715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2">
        <v>511.8</v>
      </c>
      <c r="E32" s="1250">
        <v>45120</v>
      </c>
      <c r="F32" s="1202">
        <f t="shared" si="5"/>
        <v>511.8</v>
      </c>
      <c r="G32" s="1204" t="s">
        <v>594</v>
      </c>
      <c r="H32" s="1205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722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2">
        <v>278.22000000000003</v>
      </c>
      <c r="E33" s="1250">
        <v>45121</v>
      </c>
      <c r="F33" s="1202">
        <f t="shared" si="5"/>
        <v>278.22000000000003</v>
      </c>
      <c r="G33" s="1204" t="s">
        <v>596</v>
      </c>
      <c r="H33" s="1205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723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2">
        <v>25.95</v>
      </c>
      <c r="E34" s="1250">
        <v>45121</v>
      </c>
      <c r="F34" s="1202">
        <f t="shared" si="5"/>
        <v>25.95</v>
      </c>
      <c r="G34" s="1204" t="s">
        <v>598</v>
      </c>
      <c r="H34" s="1205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727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2">
        <v>671.24</v>
      </c>
      <c r="E35" s="1250">
        <v>44999</v>
      </c>
      <c r="F35" s="1202">
        <f t="shared" si="5"/>
        <v>671.24</v>
      </c>
      <c r="G35" s="1204" t="s">
        <v>603</v>
      </c>
      <c r="H35" s="1205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731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2"/>
      <c r="E36" s="1250"/>
      <c r="F36" s="1202">
        <f t="shared" si="5"/>
        <v>0</v>
      </c>
      <c r="G36" s="1204"/>
      <c r="H36" s="1205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2"/>
      <c r="E37" s="1250"/>
      <c r="F37" s="1202">
        <f t="shared" si="5"/>
        <v>0</v>
      </c>
      <c r="G37" s="1204"/>
      <c r="H37" s="1205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2"/>
      <c r="E38" s="1250"/>
      <c r="F38" s="1514">
        <f t="shared" si="5"/>
        <v>0</v>
      </c>
      <c r="G38" s="1515"/>
      <c r="H38" s="1516"/>
      <c r="I38" s="1494">
        <f t="shared" si="6"/>
        <v>-30.590000000001055</v>
      </c>
      <c r="J38" s="1517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2"/>
      <c r="E39" s="1250"/>
      <c r="F39" s="1514">
        <f t="shared" si="5"/>
        <v>0</v>
      </c>
      <c r="G39" s="1515"/>
      <c r="H39" s="1516"/>
      <c r="I39" s="1494">
        <f t="shared" si="6"/>
        <v>-30.590000000001055</v>
      </c>
      <c r="J39" s="1517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2"/>
      <c r="E40" s="1250"/>
      <c r="F40" s="1514">
        <f t="shared" si="5"/>
        <v>0</v>
      </c>
      <c r="G40" s="1515"/>
      <c r="H40" s="1516"/>
      <c r="I40" s="1494">
        <f t="shared" si="6"/>
        <v>-30.590000000001055</v>
      </c>
      <c r="J40" s="1517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2"/>
      <c r="E41" s="1250"/>
      <c r="F41" s="1514">
        <f t="shared" si="5"/>
        <v>0</v>
      </c>
      <c r="G41" s="1515"/>
      <c r="H41" s="1516"/>
      <c r="I41" s="1494">
        <f t="shared" si="6"/>
        <v>-30.590000000001055</v>
      </c>
      <c r="J41" s="1517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2"/>
      <c r="E42" s="1250"/>
      <c r="F42" s="1514">
        <f t="shared" si="5"/>
        <v>0</v>
      </c>
      <c r="G42" s="1515"/>
      <c r="H42" s="1516"/>
      <c r="I42" s="1494">
        <f t="shared" si="6"/>
        <v>-30.590000000001055</v>
      </c>
      <c r="J42" s="1517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2"/>
      <c r="E43" s="1250"/>
      <c r="F43" s="1202">
        <f t="shared" si="5"/>
        <v>0</v>
      </c>
      <c r="G43" s="1204"/>
      <c r="H43" s="1205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2"/>
      <c r="E44" s="1250"/>
      <c r="F44" s="1202">
        <f t="shared" si="5"/>
        <v>0</v>
      </c>
      <c r="G44" s="1204"/>
      <c r="H44" s="1205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2"/>
      <c r="E45" s="1250"/>
      <c r="F45" s="1202">
        <f t="shared" si="5"/>
        <v>0</v>
      </c>
      <c r="G45" s="1204"/>
      <c r="H45" s="1205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2"/>
      <c r="E46" s="1250"/>
      <c r="F46" s="1202">
        <f t="shared" si="5"/>
        <v>0</v>
      </c>
      <c r="G46" s="1204"/>
      <c r="H46" s="1205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2"/>
      <c r="E47" s="1250"/>
      <c r="F47" s="1202">
        <f t="shared" si="5"/>
        <v>0</v>
      </c>
      <c r="G47" s="1204"/>
      <c r="H47" s="1205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4"/>
      <c r="P51" s="1345"/>
      <c r="Q51" s="1344">
        <f t="shared" si="1"/>
        <v>0</v>
      </c>
      <c r="R51" s="1347"/>
      <c r="S51" s="1346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66" t="s">
        <v>11</v>
      </c>
      <c r="D84" s="1667"/>
      <c r="E84" s="56">
        <f>E5+E6-F79+E7+E4</f>
        <v>-30.589999999997644</v>
      </c>
      <c r="F84" s="1146"/>
      <c r="N84" s="1666" t="s">
        <v>11</v>
      </c>
      <c r="O84" s="1667"/>
      <c r="P84" s="56">
        <f>P5+P6-Q79+P7+P4</f>
        <v>2032.500000000003</v>
      </c>
      <c r="Q84" s="122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80"/>
      <c r="B5" s="1680"/>
      <c r="C5" s="216"/>
      <c r="D5" s="578"/>
      <c r="E5" s="644"/>
      <c r="F5" s="664"/>
      <c r="G5" s="5"/>
    </row>
    <row r="6" spans="1:10" x14ac:dyDescent="0.25">
      <c r="A6" s="1680"/>
      <c r="B6" s="168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80"/>
      <c r="B7" s="973"/>
      <c r="C7" s="1253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1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1"/>
      <c r="B10" s="792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2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2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3" t="s">
        <v>33</v>
      </c>
      <c r="B13" s="792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2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2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2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2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2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2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2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2">
        <f t="shared" si="1"/>
        <v>0</v>
      </c>
      <c r="C21" s="793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2">
        <f t="shared" si="1"/>
        <v>0</v>
      </c>
      <c r="C22" s="793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2">
        <f t="shared" si="1"/>
        <v>0</v>
      </c>
      <c r="C23" s="793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2">
        <f t="shared" si="1"/>
        <v>0</v>
      </c>
      <c r="C24" s="793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2">
        <f t="shared" si="1"/>
        <v>0</v>
      </c>
      <c r="C25" s="793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2">
        <f t="shared" si="1"/>
        <v>0</v>
      </c>
      <c r="C26" s="793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2">
        <f t="shared" si="1"/>
        <v>0</v>
      </c>
      <c r="C27" s="793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2">
        <f t="shared" si="1"/>
        <v>0</v>
      </c>
      <c r="C28" s="793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999"/>
      <c r="E34" s="1254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0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E5+E6-F35+E7</f>
        <v>0</v>
      </c>
      <c r="F40" s="115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68" t="s">
        <v>52</v>
      </c>
      <c r="B5" s="1681" t="s">
        <v>90</v>
      </c>
      <c r="C5" s="216"/>
      <c r="D5" s="130"/>
      <c r="E5" s="77"/>
      <c r="F5" s="61"/>
      <c r="G5" s="5"/>
    </row>
    <row r="6" spans="1:9" x14ac:dyDescent="0.25">
      <c r="A6" s="1668"/>
      <c r="B6" s="168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6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1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2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2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2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2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2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2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2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2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2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2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2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2">
        <f t="shared" si="1"/>
        <v>0</v>
      </c>
      <c r="C21" s="793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2">
        <f t="shared" si="1"/>
        <v>0</v>
      </c>
      <c r="C22" s="793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2">
        <f t="shared" si="1"/>
        <v>0</v>
      </c>
      <c r="C23" s="793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2">
        <f t="shared" si="1"/>
        <v>0</v>
      </c>
      <c r="C24" s="793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2">
        <f t="shared" si="1"/>
        <v>0</v>
      </c>
      <c r="C25" s="793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2">
        <f t="shared" si="1"/>
        <v>0</v>
      </c>
      <c r="C26" s="793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2">
        <f t="shared" si="1"/>
        <v>0</v>
      </c>
      <c r="C27" s="793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2">
        <f t="shared" si="1"/>
        <v>0</v>
      </c>
      <c r="C28" s="793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6"/>
      <c r="E34" s="1077"/>
      <c r="F34" s="1078"/>
      <c r="G34" s="1079"/>
      <c r="H34" s="80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0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68"/>
      <c r="B5" s="1682" t="s">
        <v>114</v>
      </c>
      <c r="C5" s="363"/>
      <c r="D5" s="215"/>
      <c r="E5" s="891"/>
      <c r="F5" s="61"/>
      <c r="G5" s="5"/>
      <c r="H5" t="s">
        <v>41</v>
      </c>
    </row>
    <row r="6" spans="1:10" ht="15.75" x14ac:dyDescent="0.25">
      <c r="A6" s="1668"/>
      <c r="B6" s="168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7" t="s">
        <v>2</v>
      </c>
      <c r="F9" s="788" t="s">
        <v>9</v>
      </c>
      <c r="G9" s="789" t="s">
        <v>15</v>
      </c>
      <c r="H9" s="790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8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68" t="s">
        <v>52</v>
      </c>
      <c r="B5" s="1684"/>
      <c r="C5" s="220"/>
      <c r="D5" s="130"/>
      <c r="E5" s="77"/>
      <c r="F5" s="61"/>
      <c r="G5" s="5"/>
      <c r="H5" t="s">
        <v>41</v>
      </c>
    </row>
    <row r="6" spans="1:10" ht="15.75" x14ac:dyDescent="0.25">
      <c r="A6" s="1668"/>
      <c r="B6" s="168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9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09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09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09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09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09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09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09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09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09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09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09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09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09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09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09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09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09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09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09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09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09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09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5"/>
      <c r="C34" s="1256"/>
      <c r="D34" s="1257"/>
      <c r="E34" s="1258"/>
      <c r="F34" s="1259"/>
      <c r="G34" s="1260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66" t="s">
        <v>11</v>
      </c>
      <c r="D40" s="166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6"/>
      <c r="F4" s="61"/>
      <c r="G4" s="151"/>
      <c r="H4" s="151"/>
      <c r="I4" s="151"/>
    </row>
    <row r="5" spans="1:10" ht="15.75" x14ac:dyDescent="0.25">
      <c r="A5" s="1672"/>
      <c r="B5" s="1685" t="s">
        <v>111</v>
      </c>
      <c r="C5" s="899"/>
      <c r="D5" s="215"/>
      <c r="E5" s="897"/>
      <c r="F5" s="61"/>
      <c r="G5" s="5"/>
      <c r="H5" t="s">
        <v>41</v>
      </c>
    </row>
    <row r="6" spans="1:10" ht="15.75" x14ac:dyDescent="0.25">
      <c r="A6" s="1672"/>
      <c r="B6" s="1685"/>
      <c r="C6" s="898"/>
      <c r="D6" s="130"/>
      <c r="E6" s="89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8"/>
      <c r="D7" s="130"/>
      <c r="E7" s="897"/>
      <c r="F7" s="61"/>
    </row>
    <row r="8" spans="1:10" ht="16.5" thickBot="1" x14ac:dyDescent="0.3">
      <c r="B8" s="144"/>
      <c r="C8" s="898"/>
      <c r="D8" s="130"/>
      <c r="E8" s="89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9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09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09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09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09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09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09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09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09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09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09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09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09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09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09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09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09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09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09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09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09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999"/>
      <c r="E34" s="1000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6" t="s">
        <v>11</v>
      </c>
      <c r="D40" s="166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64" t="s">
        <v>310</v>
      </c>
      <c r="B1" s="1664"/>
      <c r="C1" s="1664"/>
      <c r="D1" s="1664"/>
      <c r="E1" s="1664"/>
      <c r="F1" s="1664"/>
      <c r="G1" s="1664"/>
      <c r="H1" s="11">
        <v>1</v>
      </c>
      <c r="K1" s="1669" t="s">
        <v>347</v>
      </c>
      <c r="L1" s="1669"/>
      <c r="M1" s="1669"/>
      <c r="N1" s="1669"/>
      <c r="O1" s="1669"/>
      <c r="P1" s="1669"/>
      <c r="Q1" s="166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6"/>
      <c r="G4" s="38"/>
      <c r="M4" s="124"/>
      <c r="N4" s="145"/>
      <c r="O4" s="128"/>
      <c r="P4" s="1225"/>
      <c r="Q4" s="38"/>
    </row>
    <row r="5" spans="1:20" ht="15" customHeight="1" x14ac:dyDescent="0.25">
      <c r="A5" s="1668" t="s">
        <v>155</v>
      </c>
      <c r="B5" s="1685" t="s">
        <v>72</v>
      </c>
      <c r="C5" s="451">
        <v>41</v>
      </c>
      <c r="D5" s="504">
        <v>45098</v>
      </c>
      <c r="E5" s="452">
        <v>501.76</v>
      </c>
      <c r="F5" s="1145">
        <v>32</v>
      </c>
      <c r="G5" s="87">
        <f>F36</f>
        <v>501.76</v>
      </c>
      <c r="H5" s="7">
        <f>E5-G5+E4+E6</f>
        <v>0</v>
      </c>
      <c r="K5" s="1668" t="s">
        <v>155</v>
      </c>
      <c r="L5" s="1685" t="s">
        <v>72</v>
      </c>
      <c r="M5" s="451">
        <v>41.53</v>
      </c>
      <c r="N5" s="504">
        <v>45119</v>
      </c>
      <c r="O5" s="452">
        <v>496.2</v>
      </c>
      <c r="P5" s="1224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68"/>
      <c r="B6" s="1686"/>
      <c r="C6" s="152"/>
      <c r="D6" s="145"/>
      <c r="E6" s="128"/>
      <c r="F6" s="1146"/>
      <c r="K6" s="1668"/>
      <c r="L6" s="1686"/>
      <c r="M6" s="152"/>
      <c r="N6" s="145"/>
      <c r="O6" s="128"/>
      <c r="P6" s="1225"/>
    </row>
    <row r="7" spans="1:20" ht="16.5" customHeight="1" thickTop="1" thickBot="1" x14ac:dyDescent="0.3">
      <c r="A7" s="1146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5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585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618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4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3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642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5" t="s">
        <v>33</v>
      </c>
      <c r="L11" s="481">
        <f t="shared" si="5"/>
        <v>8</v>
      </c>
      <c r="M11" s="624">
        <v>15</v>
      </c>
      <c r="N11" s="565">
        <v>192.58</v>
      </c>
      <c r="O11" s="1353">
        <v>45127</v>
      </c>
      <c r="P11" s="1354">
        <f t="shared" si="2"/>
        <v>192.58</v>
      </c>
      <c r="Q11" s="1342" t="s">
        <v>649</v>
      </c>
      <c r="R11" s="1343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6">
        <v>89.77</v>
      </c>
      <c r="E12" s="1261">
        <v>45110</v>
      </c>
      <c r="F12" s="1262">
        <f t="shared" si="4"/>
        <v>89.77</v>
      </c>
      <c r="G12" s="1248" t="s">
        <v>497</v>
      </c>
      <c r="H12" s="1249">
        <v>43</v>
      </c>
      <c r="I12" s="641">
        <f t="shared" si="6"/>
        <v>150.95999999999998</v>
      </c>
      <c r="K12" s="973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654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6">
        <v>150.96</v>
      </c>
      <c r="E13" s="1261">
        <v>45114</v>
      </c>
      <c r="F13" s="1262">
        <f t="shared" si="4"/>
        <v>150.96</v>
      </c>
      <c r="G13" s="1248" t="s">
        <v>534</v>
      </c>
      <c r="H13" s="1249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6">
        <v>0</v>
      </c>
      <c r="E14" s="1261"/>
      <c r="F14" s="1262">
        <f t="shared" si="4"/>
        <v>0</v>
      </c>
      <c r="G14" s="1248"/>
      <c r="H14" s="1249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494">
        <f t="shared" si="2"/>
        <v>0</v>
      </c>
      <c r="Q14" s="1519"/>
      <c r="R14" s="1520"/>
      <c r="S14" s="1526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6">
        <v>0</v>
      </c>
      <c r="E15" s="1261"/>
      <c r="F15" s="1262">
        <f t="shared" si="4"/>
        <v>0</v>
      </c>
      <c r="G15" s="1248"/>
      <c r="H15" s="1249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494">
        <f t="shared" si="2"/>
        <v>0</v>
      </c>
      <c r="Q15" s="1519"/>
      <c r="R15" s="1520"/>
      <c r="S15" s="1526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6">
        <v>0</v>
      </c>
      <c r="E16" s="1261"/>
      <c r="F16" s="1525">
        <f t="shared" si="4"/>
        <v>0</v>
      </c>
      <c r="G16" s="1515"/>
      <c r="H16" s="1516"/>
      <c r="I16" s="1526">
        <f t="shared" si="6"/>
        <v>0</v>
      </c>
      <c r="L16" s="481">
        <f t="shared" si="5"/>
        <v>0</v>
      </c>
      <c r="M16" s="624"/>
      <c r="N16" s="565">
        <v>0</v>
      </c>
      <c r="O16" s="640"/>
      <c r="P16" s="1494">
        <f t="shared" si="2"/>
        <v>0</v>
      </c>
      <c r="Q16" s="1519"/>
      <c r="R16" s="1520"/>
      <c r="S16" s="1526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6">
        <v>0</v>
      </c>
      <c r="E17" s="1261"/>
      <c r="F17" s="1525">
        <f t="shared" si="4"/>
        <v>0</v>
      </c>
      <c r="G17" s="1515"/>
      <c r="H17" s="1516"/>
      <c r="I17" s="1526">
        <f t="shared" si="6"/>
        <v>0</v>
      </c>
      <c r="L17" s="481">
        <f t="shared" si="5"/>
        <v>0</v>
      </c>
      <c r="M17" s="624"/>
      <c r="N17" s="565">
        <v>0</v>
      </c>
      <c r="O17" s="640"/>
      <c r="P17" s="1494">
        <f t="shared" si="2"/>
        <v>0</v>
      </c>
      <c r="Q17" s="1519"/>
      <c r="R17" s="1520"/>
      <c r="S17" s="1526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6">
        <v>0</v>
      </c>
      <c r="E18" s="1261"/>
      <c r="F18" s="1525">
        <f t="shared" si="4"/>
        <v>0</v>
      </c>
      <c r="G18" s="1515"/>
      <c r="H18" s="1516"/>
      <c r="I18" s="1526">
        <f t="shared" si="6"/>
        <v>0</v>
      </c>
      <c r="L18" s="481">
        <f t="shared" si="5"/>
        <v>0</v>
      </c>
      <c r="M18" s="624"/>
      <c r="N18" s="565">
        <v>0</v>
      </c>
      <c r="O18" s="640"/>
      <c r="P18" s="1494">
        <f t="shared" si="2"/>
        <v>0</v>
      </c>
      <c r="Q18" s="1519"/>
      <c r="R18" s="1520"/>
      <c r="S18" s="1526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6">
        <v>0</v>
      </c>
      <c r="E19" s="1261"/>
      <c r="F19" s="1525">
        <f t="shared" si="4"/>
        <v>0</v>
      </c>
      <c r="G19" s="1515"/>
      <c r="H19" s="1516"/>
      <c r="I19" s="1526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6">
        <v>0</v>
      </c>
      <c r="E20" s="1263"/>
      <c r="F20" s="1525">
        <f t="shared" si="4"/>
        <v>0</v>
      </c>
      <c r="G20" s="1515"/>
      <c r="H20" s="1516"/>
      <c r="I20" s="1526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6">
        <v>0</v>
      </c>
      <c r="E21" s="1263"/>
      <c r="F21" s="1262">
        <f t="shared" si="4"/>
        <v>0</v>
      </c>
      <c r="G21" s="1204"/>
      <c r="H21" s="1205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6">
        <v>0</v>
      </c>
      <c r="E22" s="1263"/>
      <c r="F22" s="1262">
        <f t="shared" si="4"/>
        <v>0</v>
      </c>
      <c r="G22" s="1204"/>
      <c r="H22" s="1205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6">
        <v>0</v>
      </c>
      <c r="E23" s="1263"/>
      <c r="F23" s="1262">
        <f t="shared" si="4"/>
        <v>0</v>
      </c>
      <c r="G23" s="1204"/>
      <c r="H23" s="1205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6">
        <v>0</v>
      </c>
      <c r="E24" s="1263"/>
      <c r="F24" s="1262">
        <f t="shared" si="4"/>
        <v>0</v>
      </c>
      <c r="G24" s="1204"/>
      <c r="H24" s="1205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7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0"/>
      <c r="F26" s="596">
        <f t="shared" si="4"/>
        <v>0</v>
      </c>
      <c r="G26" s="803"/>
      <c r="H26" s="804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0"/>
      <c r="F27" s="596">
        <f t="shared" si="4"/>
        <v>0</v>
      </c>
      <c r="G27" s="803"/>
      <c r="H27" s="804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0"/>
      <c r="F28" s="596">
        <f t="shared" si="4"/>
        <v>0</v>
      </c>
      <c r="G28" s="803"/>
      <c r="H28" s="804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0"/>
      <c r="P28" s="596">
        <f t="shared" si="2"/>
        <v>0</v>
      </c>
      <c r="Q28" s="803"/>
      <c r="R28" s="804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0"/>
      <c r="F29" s="596">
        <f t="shared" si="4"/>
        <v>0</v>
      </c>
      <c r="G29" s="803"/>
      <c r="H29" s="804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0"/>
      <c r="P29" s="596">
        <f t="shared" si="2"/>
        <v>0</v>
      </c>
      <c r="Q29" s="803"/>
      <c r="R29" s="804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0"/>
      <c r="F30" s="596">
        <f t="shared" si="4"/>
        <v>0</v>
      </c>
      <c r="G30" s="803"/>
      <c r="H30" s="804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0"/>
      <c r="P30" s="596">
        <f t="shared" si="2"/>
        <v>0</v>
      </c>
      <c r="Q30" s="803"/>
      <c r="R30" s="804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6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5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58" t="s">
        <v>21</v>
      </c>
      <c r="E38" s="1659"/>
      <c r="F38" s="137">
        <f>E4+E5-F36+E6</f>
        <v>0</v>
      </c>
      <c r="L38" s="480"/>
      <c r="N38" s="1658" t="s">
        <v>21</v>
      </c>
      <c r="O38" s="1659"/>
      <c r="P38" s="137">
        <f>O4+O5-P36+O6</f>
        <v>-5.6843418860808015E-14</v>
      </c>
    </row>
    <row r="39" spans="1:19" ht="15.75" thickBot="1" x14ac:dyDescent="0.3">
      <c r="A39" s="121"/>
      <c r="D39" s="1143" t="s">
        <v>4</v>
      </c>
      <c r="E39" s="1144"/>
      <c r="F39" s="49">
        <f>F4+F5-C36+F6</f>
        <v>0</v>
      </c>
      <c r="K39" s="121"/>
      <c r="N39" s="1221" t="s">
        <v>4</v>
      </c>
      <c r="O39" s="1222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99"/>
      <c r="B4" s="799"/>
      <c r="C4" s="799"/>
      <c r="D4" s="799"/>
      <c r="E4" s="988"/>
      <c r="F4" s="566"/>
      <c r="G4" s="800"/>
      <c r="H4" s="80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72"/>
      <c r="B6" s="168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72"/>
      <c r="B7" s="1688"/>
      <c r="C7" s="152"/>
      <c r="D7" s="145"/>
      <c r="E7" s="128"/>
      <c r="F7" s="72"/>
    </row>
    <row r="8" spans="1:10" ht="16.5" customHeight="1" thickTop="1" thickBot="1" x14ac:dyDescent="0.3">
      <c r="A8" s="317"/>
      <c r="B8" s="78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09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3">
        <f>E5+E6+E7-F9+E4</f>
        <v>0</v>
      </c>
      <c r="J9" s="1001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58" t="s">
        <v>21</v>
      </c>
      <c r="E43" s="1659"/>
      <c r="F43" s="137">
        <f>E5+E6-F41+E7</f>
        <v>0</v>
      </c>
    </row>
    <row r="44" spans="1:10" ht="15.75" thickBot="1" x14ac:dyDescent="0.3">
      <c r="A44" s="121"/>
      <c r="D44" s="816" t="s">
        <v>4</v>
      </c>
      <c r="E44" s="81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72"/>
      <c r="B5" s="168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72"/>
      <c r="B6" s="169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8">
        <f>E5+E6-F8+E4</f>
        <v>0</v>
      </c>
      <c r="J8" s="829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8">
        <f>I8-F9</f>
        <v>0</v>
      </c>
      <c r="J9" s="829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1">
        <f t="shared" ref="I10:I27" si="3">I9-F10</f>
        <v>0</v>
      </c>
      <c r="J10" s="829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1">
        <f t="shared" si="3"/>
        <v>0</v>
      </c>
      <c r="J11" s="829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1">
        <f t="shared" si="3"/>
        <v>0</v>
      </c>
      <c r="J12" s="829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0">
        <f t="shared" si="3"/>
        <v>0</v>
      </c>
      <c r="J13" s="829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0">
        <f t="shared" si="3"/>
        <v>0</v>
      </c>
      <c r="J14" s="829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0">
        <f t="shared" si="3"/>
        <v>0</v>
      </c>
      <c r="J15" s="829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0">
        <f t="shared" si="3"/>
        <v>0</v>
      </c>
      <c r="J16" s="829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0">
        <f t="shared" si="3"/>
        <v>0</v>
      </c>
      <c r="J17" s="829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0">
        <f t="shared" si="3"/>
        <v>0</v>
      </c>
      <c r="J18" s="829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0">
        <f t="shared" si="3"/>
        <v>0</v>
      </c>
      <c r="J19" s="829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0">
        <f t="shared" si="3"/>
        <v>0</v>
      </c>
      <c r="J20" s="829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0">
        <f t="shared" si="3"/>
        <v>0</v>
      </c>
      <c r="J21" s="829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0">
        <f t="shared" si="3"/>
        <v>0</v>
      </c>
      <c r="J22" s="829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0">
        <f t="shared" si="3"/>
        <v>0</v>
      </c>
      <c r="J23" s="829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0">
        <f t="shared" si="3"/>
        <v>0</v>
      </c>
      <c r="J24" s="829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0">
        <f t="shared" si="3"/>
        <v>0</v>
      </c>
      <c r="J25" s="829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0">
        <f t="shared" si="3"/>
        <v>0</v>
      </c>
      <c r="J26" s="829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0">
        <f t="shared" si="3"/>
        <v>0</v>
      </c>
      <c r="J27" s="82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8" t="s">
        <v>21</v>
      </c>
      <c r="E31" s="16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57" t="s">
        <v>306</v>
      </c>
      <c r="L1" s="1657"/>
      <c r="M1" s="1657"/>
      <c r="N1" s="1657"/>
      <c r="O1" s="1657"/>
      <c r="P1" s="1657"/>
      <c r="Q1" s="1657"/>
      <c r="R1" s="254">
        <f>I1+1</f>
        <v>1</v>
      </c>
      <c r="S1" s="254"/>
      <c r="U1" s="1656" t="s">
        <v>307</v>
      </c>
      <c r="V1" s="1656"/>
      <c r="W1" s="1656"/>
      <c r="X1" s="1656"/>
      <c r="Y1" s="1656"/>
      <c r="Z1" s="1656"/>
      <c r="AA1" s="1656"/>
      <c r="AB1" s="254">
        <f>R1+1</f>
        <v>2</v>
      </c>
      <c r="AC1" s="364"/>
      <c r="AE1" s="1656" t="str">
        <f>U1</f>
        <v xml:space="preserve">ENTRADA DEL MES DE  JULIO   2023 </v>
      </c>
      <c r="AF1" s="1656"/>
      <c r="AG1" s="1656"/>
      <c r="AH1" s="1656"/>
      <c r="AI1" s="1656"/>
      <c r="AJ1" s="1656"/>
      <c r="AK1" s="1656"/>
      <c r="AL1" s="254">
        <f>AB1+1</f>
        <v>3</v>
      </c>
      <c r="AM1" s="254"/>
      <c r="AO1" s="1656" t="str">
        <f>AE1</f>
        <v xml:space="preserve">ENTRADA DEL MES DE  JULIO   2023 </v>
      </c>
      <c r="AP1" s="1656"/>
      <c r="AQ1" s="1656"/>
      <c r="AR1" s="1656"/>
      <c r="AS1" s="1656"/>
      <c r="AT1" s="1656"/>
      <c r="AU1" s="1656"/>
      <c r="AV1" s="254">
        <f>AL1+1</f>
        <v>4</v>
      </c>
      <c r="AW1" s="364"/>
      <c r="AY1" s="1656" t="str">
        <f>AO1</f>
        <v xml:space="preserve">ENTRADA DEL MES DE  JULIO   2023 </v>
      </c>
      <c r="AZ1" s="1656"/>
      <c r="BA1" s="1656"/>
      <c r="BB1" s="1656"/>
      <c r="BC1" s="1656"/>
      <c r="BD1" s="1656"/>
      <c r="BE1" s="1656"/>
      <c r="BF1" s="254">
        <f>AV1+1</f>
        <v>5</v>
      </c>
      <c r="BG1" s="377"/>
      <c r="BI1" s="1656" t="str">
        <f>AY1</f>
        <v xml:space="preserve">ENTRADA DEL MES DE  JULIO   2023 </v>
      </c>
      <c r="BJ1" s="1656"/>
      <c r="BK1" s="1656"/>
      <c r="BL1" s="1656"/>
      <c r="BM1" s="1656"/>
      <c r="BN1" s="1656"/>
      <c r="BO1" s="1656"/>
      <c r="BP1" s="254">
        <f>BF1+1</f>
        <v>6</v>
      </c>
      <c r="BQ1" s="364"/>
      <c r="BS1" s="1656" t="str">
        <f>BI1</f>
        <v xml:space="preserve">ENTRADA DEL MES DE  JULIO   2023 </v>
      </c>
      <c r="BT1" s="1656"/>
      <c r="BU1" s="1656"/>
      <c r="BV1" s="1656"/>
      <c r="BW1" s="1656"/>
      <c r="BX1" s="1656"/>
      <c r="BY1" s="1656"/>
      <c r="BZ1" s="254">
        <f>BP1+1</f>
        <v>7</v>
      </c>
      <c r="CC1" s="1656" t="str">
        <f>BS1</f>
        <v xml:space="preserve">ENTRADA DEL MES DE  JULIO   2023 </v>
      </c>
      <c r="CD1" s="1656"/>
      <c r="CE1" s="1656"/>
      <c r="CF1" s="1656"/>
      <c r="CG1" s="1656"/>
      <c r="CH1" s="1656"/>
      <c r="CI1" s="1656"/>
      <c r="CJ1" s="254">
        <f>BZ1+1</f>
        <v>8</v>
      </c>
      <c r="CM1" s="1656" t="str">
        <f>CC1</f>
        <v xml:space="preserve">ENTRADA DEL MES DE  JULIO   2023 </v>
      </c>
      <c r="CN1" s="1656"/>
      <c r="CO1" s="1656"/>
      <c r="CP1" s="1656"/>
      <c r="CQ1" s="1656"/>
      <c r="CR1" s="1656"/>
      <c r="CS1" s="1656"/>
      <c r="CT1" s="254">
        <f>CJ1+1</f>
        <v>9</v>
      </c>
      <c r="CU1" s="364"/>
      <c r="CW1" s="1656" t="str">
        <f>CM1</f>
        <v xml:space="preserve">ENTRADA DEL MES DE  JULIO   2023 </v>
      </c>
      <c r="CX1" s="1656"/>
      <c r="CY1" s="1656"/>
      <c r="CZ1" s="1656"/>
      <c r="DA1" s="1656"/>
      <c r="DB1" s="1656"/>
      <c r="DC1" s="1656"/>
      <c r="DD1" s="254">
        <f>CT1+1</f>
        <v>10</v>
      </c>
      <c r="DE1" s="364"/>
      <c r="DG1" s="1656" t="str">
        <f>CW1</f>
        <v xml:space="preserve">ENTRADA DEL MES DE  JULIO   2023 </v>
      </c>
      <c r="DH1" s="1656"/>
      <c r="DI1" s="1656"/>
      <c r="DJ1" s="1656"/>
      <c r="DK1" s="1656"/>
      <c r="DL1" s="1656"/>
      <c r="DM1" s="1656"/>
      <c r="DN1" s="254">
        <f>DD1+1</f>
        <v>11</v>
      </c>
      <c r="DO1" s="364"/>
      <c r="DQ1" s="1656" t="str">
        <f>DG1</f>
        <v xml:space="preserve">ENTRADA DEL MES DE  JULIO   2023 </v>
      </c>
      <c r="DR1" s="1656"/>
      <c r="DS1" s="1656"/>
      <c r="DT1" s="1656"/>
      <c r="DU1" s="1656"/>
      <c r="DV1" s="1656"/>
      <c r="DW1" s="1656"/>
      <c r="DX1" s="254">
        <f>DN1+1</f>
        <v>12</v>
      </c>
      <c r="EA1" s="1656" t="str">
        <f>DQ1</f>
        <v xml:space="preserve">ENTRADA DEL MES DE  JULIO   2023 </v>
      </c>
      <c r="EB1" s="1656"/>
      <c r="EC1" s="1656"/>
      <c r="ED1" s="1656"/>
      <c r="EE1" s="1656"/>
      <c r="EF1" s="1656"/>
      <c r="EG1" s="1656"/>
      <c r="EH1" s="254">
        <f>DX1+1</f>
        <v>13</v>
      </c>
      <c r="EI1" s="364"/>
      <c r="EK1" s="1656" t="str">
        <f>EA1</f>
        <v xml:space="preserve">ENTRADA DEL MES DE  JULIO   2023 </v>
      </c>
      <c r="EL1" s="1656"/>
      <c r="EM1" s="1656"/>
      <c r="EN1" s="1656"/>
      <c r="EO1" s="1656"/>
      <c r="EP1" s="1656"/>
      <c r="EQ1" s="1656"/>
      <c r="ER1" s="254">
        <f>EH1+1</f>
        <v>14</v>
      </c>
      <c r="ES1" s="364"/>
      <c r="EU1" s="1656" t="str">
        <f>EK1</f>
        <v xml:space="preserve">ENTRADA DEL MES DE  JULIO   2023 </v>
      </c>
      <c r="EV1" s="1656"/>
      <c r="EW1" s="1656"/>
      <c r="EX1" s="1656"/>
      <c r="EY1" s="1656"/>
      <c r="EZ1" s="1656"/>
      <c r="FA1" s="1656"/>
      <c r="FB1" s="254">
        <f>ER1+1</f>
        <v>15</v>
      </c>
      <c r="FC1" s="364"/>
      <c r="FE1" s="1656" t="str">
        <f>EU1</f>
        <v xml:space="preserve">ENTRADA DEL MES DE  JULIO   2023 </v>
      </c>
      <c r="FF1" s="1656"/>
      <c r="FG1" s="1656"/>
      <c r="FH1" s="1656"/>
      <c r="FI1" s="1656"/>
      <c r="FJ1" s="1656"/>
      <c r="FK1" s="1656"/>
      <c r="FL1" s="254">
        <f>FB1+1</f>
        <v>16</v>
      </c>
      <c r="FM1" s="364"/>
      <c r="FO1" s="1656" t="str">
        <f>FE1</f>
        <v xml:space="preserve">ENTRADA DEL MES DE  JULIO   2023 </v>
      </c>
      <c r="FP1" s="1656"/>
      <c r="FQ1" s="1656"/>
      <c r="FR1" s="1656"/>
      <c r="FS1" s="1656"/>
      <c r="FT1" s="1656"/>
      <c r="FU1" s="1656"/>
      <c r="FV1" s="254">
        <f>FL1+1</f>
        <v>17</v>
      </c>
      <c r="FW1" s="364"/>
      <c r="FY1" s="1656" t="str">
        <f>FO1</f>
        <v xml:space="preserve">ENTRADA DEL MES DE  JULIO   2023 </v>
      </c>
      <c r="FZ1" s="1656"/>
      <c r="GA1" s="1656"/>
      <c r="GB1" s="1656"/>
      <c r="GC1" s="1656"/>
      <c r="GD1" s="1656"/>
      <c r="GE1" s="1656"/>
      <c r="GF1" s="254">
        <f>FV1+1</f>
        <v>18</v>
      </c>
      <c r="GG1" s="364"/>
      <c r="GH1" s="74" t="s">
        <v>37</v>
      </c>
      <c r="GI1" s="1656" t="str">
        <f>FY1</f>
        <v xml:space="preserve">ENTRADA DEL MES DE  JULIO   2023 </v>
      </c>
      <c r="GJ1" s="1656"/>
      <c r="GK1" s="1656"/>
      <c r="GL1" s="1656"/>
      <c r="GM1" s="1656"/>
      <c r="GN1" s="1656"/>
      <c r="GO1" s="1656"/>
      <c r="GP1" s="254">
        <f>GF1+1</f>
        <v>19</v>
      </c>
      <c r="GQ1" s="364"/>
      <c r="GS1" s="1656" t="str">
        <f>GI1</f>
        <v xml:space="preserve">ENTRADA DEL MES DE  JULIO   2023 </v>
      </c>
      <c r="GT1" s="1656"/>
      <c r="GU1" s="1656"/>
      <c r="GV1" s="1656"/>
      <c r="GW1" s="1656"/>
      <c r="GX1" s="1656"/>
      <c r="GY1" s="1656"/>
      <c r="GZ1" s="254">
        <f>GP1+1</f>
        <v>20</v>
      </c>
      <c r="HA1" s="364"/>
      <c r="HC1" s="1656" t="str">
        <f>GS1</f>
        <v xml:space="preserve">ENTRADA DEL MES DE  JULIO   2023 </v>
      </c>
      <c r="HD1" s="1656"/>
      <c r="HE1" s="1656"/>
      <c r="HF1" s="1656"/>
      <c r="HG1" s="1656"/>
      <c r="HH1" s="1656"/>
      <c r="HI1" s="1656"/>
      <c r="HJ1" s="254">
        <f>GZ1+1</f>
        <v>21</v>
      </c>
      <c r="HK1" s="364"/>
      <c r="HM1" s="1656" t="str">
        <f>HC1</f>
        <v xml:space="preserve">ENTRADA DEL MES DE  JULIO   2023 </v>
      </c>
      <c r="HN1" s="1656"/>
      <c r="HO1" s="1656"/>
      <c r="HP1" s="1656"/>
      <c r="HQ1" s="1656"/>
      <c r="HR1" s="1656"/>
      <c r="HS1" s="1656"/>
      <c r="HT1" s="254">
        <f>HJ1+1</f>
        <v>22</v>
      </c>
      <c r="HU1" s="364"/>
      <c r="HW1" s="1656" t="str">
        <f>HM1</f>
        <v xml:space="preserve">ENTRADA DEL MES DE  JULIO   2023 </v>
      </c>
      <c r="HX1" s="1656"/>
      <c r="HY1" s="1656"/>
      <c r="HZ1" s="1656"/>
      <c r="IA1" s="1656"/>
      <c r="IB1" s="1656"/>
      <c r="IC1" s="1656"/>
      <c r="ID1" s="254">
        <f>HT1+1</f>
        <v>23</v>
      </c>
      <c r="IE1" s="364"/>
      <c r="IG1" s="1656" t="str">
        <f>HW1</f>
        <v xml:space="preserve">ENTRADA DEL MES DE  JULIO   2023 </v>
      </c>
      <c r="IH1" s="1656"/>
      <c r="II1" s="1656"/>
      <c r="IJ1" s="1656"/>
      <c r="IK1" s="1656"/>
      <c r="IL1" s="1656"/>
      <c r="IM1" s="1656"/>
      <c r="IN1" s="254">
        <f>ID1+1</f>
        <v>24</v>
      </c>
      <c r="IO1" s="364"/>
      <c r="IQ1" s="1656" t="str">
        <f>IG1</f>
        <v xml:space="preserve">ENTRADA DEL MES DE  JULIO   2023 </v>
      </c>
      <c r="IR1" s="1656"/>
      <c r="IS1" s="1656"/>
      <c r="IT1" s="1656"/>
      <c r="IU1" s="1656"/>
      <c r="IV1" s="1656"/>
      <c r="IW1" s="1656"/>
      <c r="IX1" s="254">
        <f>IN1+1</f>
        <v>25</v>
      </c>
      <c r="IY1" s="364"/>
      <c r="JA1" s="1656" t="str">
        <f>IQ1</f>
        <v xml:space="preserve">ENTRADA DEL MES DE  JULIO   2023 </v>
      </c>
      <c r="JB1" s="1656"/>
      <c r="JC1" s="1656"/>
      <c r="JD1" s="1656"/>
      <c r="JE1" s="1656"/>
      <c r="JF1" s="1656"/>
      <c r="JG1" s="1656"/>
      <c r="JH1" s="254">
        <f>IX1+1</f>
        <v>26</v>
      </c>
      <c r="JI1" s="364"/>
      <c r="JK1" s="1663" t="str">
        <f>JA1</f>
        <v xml:space="preserve">ENTRADA DEL MES DE  JULIO   2023 </v>
      </c>
      <c r="JL1" s="1663"/>
      <c r="JM1" s="1663"/>
      <c r="JN1" s="1663"/>
      <c r="JO1" s="1663"/>
      <c r="JP1" s="1663"/>
      <c r="JQ1" s="1663"/>
      <c r="JR1" s="254">
        <f>JH1+1</f>
        <v>27</v>
      </c>
      <c r="JS1" s="364"/>
      <c r="JU1" s="1656" t="str">
        <f>JK1</f>
        <v xml:space="preserve">ENTRADA DEL MES DE  JULIO   2023 </v>
      </c>
      <c r="JV1" s="1656"/>
      <c r="JW1" s="1656"/>
      <c r="JX1" s="1656"/>
      <c r="JY1" s="1656"/>
      <c r="JZ1" s="1656"/>
      <c r="KA1" s="1656"/>
      <c r="KB1" s="254">
        <f>JR1+1</f>
        <v>28</v>
      </c>
      <c r="KC1" s="364"/>
      <c r="KE1" s="1656" t="str">
        <f>JU1</f>
        <v xml:space="preserve">ENTRADA DEL MES DE  JULIO   2023 </v>
      </c>
      <c r="KF1" s="1656"/>
      <c r="KG1" s="1656"/>
      <c r="KH1" s="1656"/>
      <c r="KI1" s="1656"/>
      <c r="KJ1" s="1656"/>
      <c r="KK1" s="1656"/>
      <c r="KL1" s="254">
        <f>KB1+1</f>
        <v>29</v>
      </c>
      <c r="KM1" s="364"/>
      <c r="KO1" s="1656" t="str">
        <f>KE1</f>
        <v xml:space="preserve">ENTRADA DEL MES DE  JULIO   2023 </v>
      </c>
      <c r="KP1" s="1656"/>
      <c r="KQ1" s="1656"/>
      <c r="KR1" s="1656"/>
      <c r="KS1" s="1656"/>
      <c r="KT1" s="1656"/>
      <c r="KU1" s="1656"/>
      <c r="KV1" s="254">
        <f>KL1+1</f>
        <v>30</v>
      </c>
      <c r="KW1" s="364"/>
      <c r="KY1" s="1656" t="str">
        <f>KO1</f>
        <v xml:space="preserve">ENTRADA DEL MES DE  JULIO   2023 </v>
      </c>
      <c r="KZ1" s="1656"/>
      <c r="LA1" s="1656"/>
      <c r="LB1" s="1656"/>
      <c r="LC1" s="1656"/>
      <c r="LD1" s="1656"/>
      <c r="LE1" s="1656"/>
      <c r="LF1" s="254">
        <f>KV1+1</f>
        <v>31</v>
      </c>
      <c r="LG1" s="364"/>
      <c r="LI1" s="1656" t="str">
        <f>KY1</f>
        <v xml:space="preserve">ENTRADA DEL MES DE  JULIO   2023 </v>
      </c>
      <c r="LJ1" s="1656"/>
      <c r="LK1" s="1656"/>
      <c r="LL1" s="1656"/>
      <c r="LM1" s="1656"/>
      <c r="LN1" s="1656"/>
      <c r="LO1" s="1656"/>
      <c r="LP1" s="254">
        <f>LF1+1</f>
        <v>32</v>
      </c>
      <c r="LQ1" s="364"/>
      <c r="LS1" s="1656" t="str">
        <f>LI1</f>
        <v xml:space="preserve">ENTRADA DEL MES DE  JULIO   2023 </v>
      </c>
      <c r="LT1" s="1656"/>
      <c r="LU1" s="1656"/>
      <c r="LV1" s="1656"/>
      <c r="LW1" s="1656"/>
      <c r="LX1" s="1656"/>
      <c r="LY1" s="1656"/>
      <c r="LZ1" s="254">
        <f>LP1+1</f>
        <v>33</v>
      </c>
      <c r="MC1" s="1656" t="str">
        <f>LS1</f>
        <v xml:space="preserve">ENTRADA DEL MES DE  JULIO   2023 </v>
      </c>
      <c r="MD1" s="1656"/>
      <c r="ME1" s="1656"/>
      <c r="MF1" s="1656"/>
      <c r="MG1" s="1656"/>
      <c r="MH1" s="1656"/>
      <c r="MI1" s="1656"/>
      <c r="MJ1" s="254">
        <f>LZ1+1</f>
        <v>34</v>
      </c>
      <c r="MK1" s="254"/>
      <c r="MM1" s="1656" t="str">
        <f>MC1</f>
        <v xml:space="preserve">ENTRADA DEL MES DE  JULIO   2023 </v>
      </c>
      <c r="MN1" s="1656"/>
      <c r="MO1" s="1656"/>
      <c r="MP1" s="1656"/>
      <c r="MQ1" s="1656"/>
      <c r="MR1" s="1656"/>
      <c r="MS1" s="1656"/>
      <c r="MT1" s="254">
        <f>MJ1+1</f>
        <v>35</v>
      </c>
      <c r="MU1" s="254"/>
      <c r="MW1" s="1656" t="str">
        <f>MM1</f>
        <v xml:space="preserve">ENTRADA DEL MES DE  JULIO   2023 </v>
      </c>
      <c r="MX1" s="1656"/>
      <c r="MY1" s="1656"/>
      <c r="MZ1" s="1656"/>
      <c r="NA1" s="1656"/>
      <c r="NB1" s="1656"/>
      <c r="NC1" s="1656"/>
      <c r="ND1" s="254">
        <f>MT1+1</f>
        <v>36</v>
      </c>
      <c r="NE1" s="254"/>
      <c r="NG1" s="1656" t="str">
        <f>MW1</f>
        <v xml:space="preserve">ENTRADA DEL MES DE  JULIO   2023 </v>
      </c>
      <c r="NH1" s="1656"/>
      <c r="NI1" s="1656"/>
      <c r="NJ1" s="1656"/>
      <c r="NK1" s="1656"/>
      <c r="NL1" s="1656"/>
      <c r="NM1" s="1656"/>
      <c r="NN1" s="254">
        <f>ND1+1</f>
        <v>37</v>
      </c>
      <c r="NO1" s="254"/>
      <c r="NQ1" s="1656" t="str">
        <f>NG1</f>
        <v xml:space="preserve">ENTRADA DEL MES DE  JULIO   2023 </v>
      </c>
      <c r="NR1" s="1656"/>
      <c r="NS1" s="1656"/>
      <c r="NT1" s="1656"/>
      <c r="NU1" s="1656"/>
      <c r="NV1" s="1656"/>
      <c r="NW1" s="1656"/>
      <c r="NX1" s="254">
        <f>NN1+1</f>
        <v>38</v>
      </c>
      <c r="NY1" s="254"/>
      <c r="OA1" s="1656" t="str">
        <f>NQ1</f>
        <v xml:space="preserve">ENTRADA DEL MES DE  JULIO   2023 </v>
      </c>
      <c r="OB1" s="1656"/>
      <c r="OC1" s="1656"/>
      <c r="OD1" s="1656"/>
      <c r="OE1" s="1656"/>
      <c r="OF1" s="1656"/>
      <c r="OG1" s="1656"/>
      <c r="OH1" s="254">
        <f>NX1+1</f>
        <v>39</v>
      </c>
      <c r="OI1" s="254"/>
      <c r="OK1" s="1656" t="str">
        <f>OA1</f>
        <v xml:space="preserve">ENTRADA DEL MES DE  JULIO   2023 </v>
      </c>
      <c r="OL1" s="1656"/>
      <c r="OM1" s="1656"/>
      <c r="ON1" s="1656"/>
      <c r="OO1" s="1656"/>
      <c r="OP1" s="1656"/>
      <c r="OQ1" s="1656"/>
      <c r="OR1" s="254">
        <f>OH1+1</f>
        <v>40</v>
      </c>
      <c r="OS1" s="254"/>
      <c r="OU1" s="1656" t="str">
        <f>OK1</f>
        <v xml:space="preserve">ENTRADA DEL MES DE  JULIO   2023 </v>
      </c>
      <c r="OV1" s="1656"/>
      <c r="OW1" s="1656"/>
      <c r="OX1" s="1656"/>
      <c r="OY1" s="1656"/>
      <c r="OZ1" s="1656"/>
      <c r="PA1" s="1656"/>
      <c r="PB1" s="254">
        <f>OR1+1</f>
        <v>41</v>
      </c>
      <c r="PC1" s="254"/>
      <c r="PE1" s="1656" t="str">
        <f>OU1</f>
        <v xml:space="preserve">ENTRADA DEL MES DE  JULIO   2023 </v>
      </c>
      <c r="PF1" s="1656"/>
      <c r="PG1" s="1656"/>
      <c r="PH1" s="1656"/>
      <c r="PI1" s="1656"/>
      <c r="PJ1" s="1656"/>
      <c r="PK1" s="1656"/>
      <c r="PL1" s="254">
        <f>PB1+1</f>
        <v>42</v>
      </c>
      <c r="PM1" s="254"/>
      <c r="PN1" s="254"/>
      <c r="PP1" s="1656" t="str">
        <f>PE1</f>
        <v xml:space="preserve">ENTRADA DEL MES DE  JULIO   2023 </v>
      </c>
      <c r="PQ1" s="1656"/>
      <c r="PR1" s="1656"/>
      <c r="PS1" s="1656"/>
      <c r="PT1" s="1656"/>
      <c r="PU1" s="1656"/>
      <c r="PV1" s="1656"/>
      <c r="PW1" s="254">
        <f>PL1+1</f>
        <v>43</v>
      </c>
      <c r="PX1" s="254"/>
      <c r="PZ1" s="1656" t="str">
        <f>PP1</f>
        <v xml:space="preserve">ENTRADA DEL MES DE  JULIO   2023 </v>
      </c>
      <c r="QA1" s="1656"/>
      <c r="QB1" s="1656"/>
      <c r="QC1" s="1656"/>
      <c r="QD1" s="1656"/>
      <c r="QE1" s="1656"/>
      <c r="QF1" s="1656"/>
      <c r="QG1" s="254">
        <f>PW1+1</f>
        <v>44</v>
      </c>
      <c r="QH1" s="254"/>
      <c r="QJ1" s="1656" t="str">
        <f>PZ1</f>
        <v xml:space="preserve">ENTRADA DEL MES DE  JULIO   2023 </v>
      </c>
      <c r="QK1" s="1656"/>
      <c r="QL1" s="1656"/>
      <c r="QM1" s="1656"/>
      <c r="QN1" s="1656"/>
      <c r="QO1" s="1656"/>
      <c r="QP1" s="1656"/>
      <c r="QQ1" s="254">
        <f>QG1+1</f>
        <v>45</v>
      </c>
      <c r="QR1" s="254"/>
      <c r="QT1" s="1656" t="str">
        <f>QJ1</f>
        <v xml:space="preserve">ENTRADA DEL MES DE  JULIO   2023 </v>
      </c>
      <c r="QU1" s="1656"/>
      <c r="QV1" s="1656"/>
      <c r="QW1" s="1656"/>
      <c r="QX1" s="1656"/>
      <c r="QY1" s="1656"/>
      <c r="QZ1" s="1656"/>
      <c r="RA1" s="254">
        <f>QQ1+1</f>
        <v>46</v>
      </c>
      <c r="RB1" s="254"/>
      <c r="RD1" s="1656" t="str">
        <f>QT1</f>
        <v xml:space="preserve">ENTRADA DEL MES DE  JULIO   2023 </v>
      </c>
      <c r="RE1" s="1656"/>
      <c r="RF1" s="1656"/>
      <c r="RG1" s="1656"/>
      <c r="RH1" s="1656"/>
      <c r="RI1" s="1656"/>
      <c r="RJ1" s="1656"/>
      <c r="RK1" s="254">
        <f>RA1+1</f>
        <v>47</v>
      </c>
      <c r="RL1" s="254"/>
      <c r="RN1" s="1656" t="str">
        <f>RD1</f>
        <v xml:space="preserve">ENTRADA DEL MES DE  JULIO   2023 </v>
      </c>
      <c r="RO1" s="1656"/>
      <c r="RP1" s="1656"/>
      <c r="RQ1" s="1656"/>
      <c r="RR1" s="1656"/>
      <c r="RS1" s="1656"/>
      <c r="RT1" s="1656"/>
      <c r="RU1" s="254">
        <f>RK1+1</f>
        <v>48</v>
      </c>
      <c r="RV1" s="254"/>
      <c r="RX1" s="1656" t="str">
        <f>RN1</f>
        <v xml:space="preserve">ENTRADA DEL MES DE  JULIO   2023 </v>
      </c>
      <c r="RY1" s="1656"/>
      <c r="RZ1" s="1656"/>
      <c r="SA1" s="1656"/>
      <c r="SB1" s="1656"/>
      <c r="SC1" s="1656"/>
      <c r="SD1" s="1656"/>
      <c r="SE1" s="254">
        <f>RU1+1</f>
        <v>49</v>
      </c>
      <c r="SF1" s="254"/>
      <c r="SH1" s="1656" t="str">
        <f>RX1</f>
        <v xml:space="preserve">ENTRADA DEL MES DE  JULIO   2023 </v>
      </c>
      <c r="SI1" s="1656"/>
      <c r="SJ1" s="1656"/>
      <c r="SK1" s="1656"/>
      <c r="SL1" s="1656"/>
      <c r="SM1" s="1656"/>
      <c r="SN1" s="1656"/>
      <c r="SO1" s="254">
        <f>SE1+1</f>
        <v>50</v>
      </c>
      <c r="SP1" s="254"/>
      <c r="SR1" s="1656" t="str">
        <f>SH1</f>
        <v xml:space="preserve">ENTRADA DEL MES DE  JULIO   2023 </v>
      </c>
      <c r="SS1" s="1656"/>
      <c r="ST1" s="1656"/>
      <c r="SU1" s="1656"/>
      <c r="SV1" s="1656"/>
      <c r="SW1" s="1656"/>
      <c r="SX1" s="1656"/>
      <c r="SY1" s="254">
        <f>SO1+1</f>
        <v>51</v>
      </c>
      <c r="SZ1" s="254"/>
      <c r="TB1" s="1656" t="str">
        <f>SR1</f>
        <v xml:space="preserve">ENTRADA DEL MES DE  JULIO   2023 </v>
      </c>
      <c r="TC1" s="1656"/>
      <c r="TD1" s="1656"/>
      <c r="TE1" s="1656"/>
      <c r="TF1" s="1656"/>
      <c r="TG1" s="1656"/>
      <c r="TH1" s="1656"/>
      <c r="TI1" s="254">
        <f>SY1+1</f>
        <v>52</v>
      </c>
      <c r="TJ1" s="254"/>
      <c r="TL1" s="1656" t="str">
        <f>TB1</f>
        <v xml:space="preserve">ENTRADA DEL MES DE  JULIO   2023 </v>
      </c>
      <c r="TM1" s="1656"/>
      <c r="TN1" s="1656"/>
      <c r="TO1" s="1656"/>
      <c r="TP1" s="1656"/>
      <c r="TQ1" s="1656"/>
      <c r="TR1" s="1656"/>
      <c r="TS1" s="254">
        <f>TI1+1</f>
        <v>53</v>
      </c>
      <c r="TT1" s="254"/>
      <c r="TV1" s="1656" t="str">
        <f>TL1</f>
        <v xml:space="preserve">ENTRADA DEL MES DE  JULIO   2023 </v>
      </c>
      <c r="TW1" s="1656"/>
      <c r="TX1" s="1656"/>
      <c r="TY1" s="1656"/>
      <c r="TZ1" s="1656"/>
      <c r="UA1" s="1656"/>
      <c r="UB1" s="1656"/>
      <c r="UC1" s="254">
        <f>TS1+1</f>
        <v>54</v>
      </c>
      <c r="UE1" s="1656" t="str">
        <f>TV1</f>
        <v xml:space="preserve">ENTRADA DEL MES DE  JULIO   2023 </v>
      </c>
      <c r="UF1" s="1656"/>
      <c r="UG1" s="1656"/>
      <c r="UH1" s="1656"/>
      <c r="UI1" s="1656"/>
      <c r="UJ1" s="1656"/>
      <c r="UK1" s="1656"/>
      <c r="UL1" s="254">
        <f>UC1+1</f>
        <v>55</v>
      </c>
      <c r="UN1" s="1656" t="str">
        <f>UE1</f>
        <v xml:space="preserve">ENTRADA DEL MES DE  JULIO   2023 </v>
      </c>
      <c r="UO1" s="1656"/>
      <c r="UP1" s="1656"/>
      <c r="UQ1" s="1656"/>
      <c r="UR1" s="1656"/>
      <c r="US1" s="1656"/>
      <c r="UT1" s="1656"/>
      <c r="UU1" s="254">
        <f>UL1+1</f>
        <v>56</v>
      </c>
      <c r="UW1" s="1656" t="str">
        <f>UN1</f>
        <v xml:space="preserve">ENTRADA DEL MES DE  JULIO   2023 </v>
      </c>
      <c r="UX1" s="1656"/>
      <c r="UY1" s="1656"/>
      <c r="UZ1" s="1656"/>
      <c r="VA1" s="1656"/>
      <c r="VB1" s="1656"/>
      <c r="VC1" s="1656"/>
      <c r="VD1" s="254">
        <f>UU1+1</f>
        <v>57</v>
      </c>
      <c r="VF1" s="1656" t="str">
        <f>UW1</f>
        <v xml:space="preserve">ENTRADA DEL MES DE  JULIO   2023 </v>
      </c>
      <c r="VG1" s="1656"/>
      <c r="VH1" s="1656"/>
      <c r="VI1" s="1656"/>
      <c r="VJ1" s="1656"/>
      <c r="VK1" s="1656"/>
      <c r="VL1" s="1656"/>
      <c r="VM1" s="254">
        <f>VD1+1</f>
        <v>58</v>
      </c>
      <c r="VO1" s="1656" t="str">
        <f>VF1</f>
        <v xml:space="preserve">ENTRADA DEL MES DE  JULIO   2023 </v>
      </c>
      <c r="VP1" s="1656"/>
      <c r="VQ1" s="1656"/>
      <c r="VR1" s="1656"/>
      <c r="VS1" s="1656"/>
      <c r="VT1" s="1656"/>
      <c r="VU1" s="1656"/>
      <c r="VV1" s="254">
        <f>VM1+1</f>
        <v>59</v>
      </c>
      <c r="VX1" s="1656" t="str">
        <f>VO1</f>
        <v xml:space="preserve">ENTRADA DEL MES DE  JULIO   2023 </v>
      </c>
      <c r="VY1" s="1656"/>
      <c r="VZ1" s="1656"/>
      <c r="WA1" s="1656"/>
      <c r="WB1" s="1656"/>
      <c r="WC1" s="1656"/>
      <c r="WD1" s="1656"/>
      <c r="WE1" s="254">
        <f>VV1+1</f>
        <v>60</v>
      </c>
      <c r="WG1" s="1656" t="str">
        <f>VX1</f>
        <v xml:space="preserve">ENTRADA DEL MES DE  JULIO   2023 </v>
      </c>
      <c r="WH1" s="1656"/>
      <c r="WI1" s="1656"/>
      <c r="WJ1" s="1656"/>
      <c r="WK1" s="1656"/>
      <c r="WL1" s="1656"/>
      <c r="WM1" s="1656"/>
      <c r="WN1" s="254">
        <f>WE1+1</f>
        <v>61</v>
      </c>
      <c r="WP1" s="1656" t="str">
        <f>WG1</f>
        <v xml:space="preserve">ENTRADA DEL MES DE  JULIO   2023 </v>
      </c>
      <c r="WQ1" s="1656"/>
      <c r="WR1" s="1656"/>
      <c r="WS1" s="1656"/>
      <c r="WT1" s="1656"/>
      <c r="WU1" s="1656"/>
      <c r="WV1" s="1656"/>
      <c r="WW1" s="254">
        <f>WN1+1</f>
        <v>62</v>
      </c>
      <c r="WY1" s="1656" t="str">
        <f>WP1</f>
        <v xml:space="preserve">ENTRADA DEL MES DE  JULIO   2023 </v>
      </c>
      <c r="WZ1" s="1656"/>
      <c r="XA1" s="1656"/>
      <c r="XB1" s="1656"/>
      <c r="XC1" s="1656"/>
      <c r="XD1" s="1656"/>
      <c r="XE1" s="1656"/>
      <c r="XF1" s="254">
        <f>WW1+1</f>
        <v>63</v>
      </c>
      <c r="XH1" s="1656" t="str">
        <f>WY1</f>
        <v xml:space="preserve">ENTRADA DEL MES DE  JULIO   2023 </v>
      </c>
      <c r="XI1" s="1656"/>
      <c r="XJ1" s="1656"/>
      <c r="XK1" s="1656"/>
      <c r="XL1" s="1656"/>
      <c r="XM1" s="1656"/>
      <c r="XN1" s="1656"/>
      <c r="XO1" s="254">
        <f>XF1+1</f>
        <v>64</v>
      </c>
      <c r="XQ1" s="1656" t="str">
        <f>XH1</f>
        <v xml:space="preserve">ENTRADA DEL MES DE  JULIO   2023 </v>
      </c>
      <c r="XR1" s="1656"/>
      <c r="XS1" s="1656"/>
      <c r="XT1" s="1656"/>
      <c r="XU1" s="1656"/>
      <c r="XV1" s="1656"/>
      <c r="XW1" s="1656"/>
      <c r="XX1" s="254">
        <f>XO1+1</f>
        <v>65</v>
      </c>
      <c r="XZ1" s="1656" t="str">
        <f>XQ1</f>
        <v xml:space="preserve">ENTRADA DEL MES DE  JULIO   2023 </v>
      </c>
      <c r="YA1" s="1656"/>
      <c r="YB1" s="1656"/>
      <c r="YC1" s="1656"/>
      <c r="YD1" s="1656"/>
      <c r="YE1" s="1656"/>
      <c r="YF1" s="1656"/>
      <c r="YG1" s="254">
        <f>XX1+1</f>
        <v>66</v>
      </c>
      <c r="YI1" s="1656" t="str">
        <f>XZ1</f>
        <v xml:space="preserve">ENTRADA DEL MES DE  JULIO   2023 </v>
      </c>
      <c r="YJ1" s="1656"/>
      <c r="YK1" s="1656"/>
      <c r="YL1" s="1656"/>
      <c r="YM1" s="1656"/>
      <c r="YN1" s="1656"/>
      <c r="YO1" s="1656"/>
      <c r="YP1" s="254">
        <f>YG1+1</f>
        <v>67</v>
      </c>
      <c r="YR1" s="1656" t="str">
        <f>YI1</f>
        <v xml:space="preserve">ENTRADA DEL MES DE  JULIO   2023 </v>
      </c>
      <c r="YS1" s="1656"/>
      <c r="YT1" s="1656"/>
      <c r="YU1" s="1656"/>
      <c r="YV1" s="1656"/>
      <c r="YW1" s="1656"/>
      <c r="YX1" s="1656"/>
      <c r="YY1" s="254">
        <f>YP1+1</f>
        <v>68</v>
      </c>
      <c r="ZA1" s="1656" t="str">
        <f>YR1</f>
        <v xml:space="preserve">ENTRADA DEL MES DE  JULIO   2023 </v>
      </c>
      <c r="ZB1" s="1656"/>
      <c r="ZC1" s="1656"/>
      <c r="ZD1" s="1656"/>
      <c r="ZE1" s="1656"/>
      <c r="ZF1" s="1656"/>
      <c r="ZG1" s="1656"/>
      <c r="ZH1" s="254">
        <f>YY1+1</f>
        <v>69</v>
      </c>
      <c r="ZJ1" s="1656" t="str">
        <f>ZA1</f>
        <v xml:space="preserve">ENTRADA DEL MES DE  JULIO   2023 </v>
      </c>
      <c r="ZK1" s="1656"/>
      <c r="ZL1" s="1656"/>
      <c r="ZM1" s="1656"/>
      <c r="ZN1" s="1656"/>
      <c r="ZO1" s="1656"/>
      <c r="ZP1" s="1656"/>
      <c r="ZQ1" s="254">
        <f>ZH1+1</f>
        <v>70</v>
      </c>
      <c r="ZS1" s="1656" t="str">
        <f>ZJ1</f>
        <v xml:space="preserve">ENTRADA DEL MES DE  JULIO   2023 </v>
      </c>
      <c r="ZT1" s="1656"/>
      <c r="ZU1" s="1656"/>
      <c r="ZV1" s="1656"/>
      <c r="ZW1" s="1656"/>
      <c r="ZX1" s="1656"/>
      <c r="ZY1" s="1656"/>
      <c r="ZZ1" s="254">
        <f>ZQ1+1</f>
        <v>71</v>
      </c>
      <c r="AAB1" s="1656" t="str">
        <f>ZS1</f>
        <v xml:space="preserve">ENTRADA DEL MES DE  JULIO   2023 </v>
      </c>
      <c r="AAC1" s="1656"/>
      <c r="AAD1" s="1656"/>
      <c r="AAE1" s="1656"/>
      <c r="AAF1" s="1656"/>
      <c r="AAG1" s="1656"/>
      <c r="AAH1" s="1656"/>
      <c r="AAI1" s="254">
        <f>ZZ1+1</f>
        <v>72</v>
      </c>
      <c r="AAK1" s="1656" t="str">
        <f>AAB1</f>
        <v xml:space="preserve">ENTRADA DEL MES DE  JULIO   2023 </v>
      </c>
      <c r="AAL1" s="1656"/>
      <c r="AAM1" s="1656"/>
      <c r="AAN1" s="1656"/>
      <c r="AAO1" s="1656"/>
      <c r="AAP1" s="1656"/>
      <c r="AAQ1" s="1656"/>
      <c r="AAR1" s="254">
        <f>AAI1+1</f>
        <v>73</v>
      </c>
      <c r="AAT1" s="1656" t="str">
        <f>AAK1</f>
        <v xml:space="preserve">ENTRADA DEL MES DE  JULIO   2023 </v>
      </c>
      <c r="AAU1" s="1656"/>
      <c r="AAV1" s="1656"/>
      <c r="AAW1" s="1656"/>
      <c r="AAX1" s="1656"/>
      <c r="AAY1" s="1656"/>
      <c r="AAZ1" s="1656"/>
      <c r="ABA1" s="254">
        <f>AAR1+1</f>
        <v>74</v>
      </c>
      <c r="ABC1" s="1656" t="str">
        <f>AAT1</f>
        <v xml:space="preserve">ENTRADA DEL MES DE  JULIO   2023 </v>
      </c>
      <c r="ABD1" s="1656"/>
      <c r="ABE1" s="1656"/>
      <c r="ABF1" s="1656"/>
      <c r="ABG1" s="1656"/>
      <c r="ABH1" s="1656"/>
      <c r="ABI1" s="1656"/>
      <c r="ABJ1" s="254">
        <f>ABA1+1</f>
        <v>75</v>
      </c>
      <c r="ABL1" s="1656" t="str">
        <f>ABC1</f>
        <v xml:space="preserve">ENTRADA DEL MES DE  JULIO   2023 </v>
      </c>
      <c r="ABM1" s="1656"/>
      <c r="ABN1" s="1656"/>
      <c r="ABO1" s="1656"/>
      <c r="ABP1" s="1656"/>
      <c r="ABQ1" s="1656"/>
      <c r="ABR1" s="1656"/>
      <c r="ABS1" s="254">
        <f>ABJ1+1</f>
        <v>76</v>
      </c>
      <c r="ABU1" s="1656" t="str">
        <f>ABL1</f>
        <v xml:space="preserve">ENTRADA DEL MES DE  JULIO   2023 </v>
      </c>
      <c r="ABV1" s="1656"/>
      <c r="ABW1" s="1656"/>
      <c r="ABX1" s="1656"/>
      <c r="ABY1" s="1656"/>
      <c r="ABZ1" s="1656"/>
      <c r="ACA1" s="1656"/>
      <c r="ACB1" s="254">
        <f>ABS1+1</f>
        <v>77</v>
      </c>
      <c r="ACD1" s="1656" t="str">
        <f>ABU1</f>
        <v xml:space="preserve">ENTRADA DEL MES DE  JULIO   2023 </v>
      </c>
      <c r="ACE1" s="1656"/>
      <c r="ACF1" s="1656"/>
      <c r="ACG1" s="1656"/>
      <c r="ACH1" s="1656"/>
      <c r="ACI1" s="1656"/>
      <c r="ACJ1" s="1656"/>
      <c r="ACK1" s="254">
        <f>ACB1+1</f>
        <v>78</v>
      </c>
      <c r="ACM1" s="1656" t="str">
        <f>ACD1</f>
        <v xml:space="preserve">ENTRADA DEL MES DE  JULIO   2023 </v>
      </c>
      <c r="ACN1" s="1656"/>
      <c r="ACO1" s="1656"/>
      <c r="ACP1" s="1656"/>
      <c r="ACQ1" s="1656"/>
      <c r="ACR1" s="1656"/>
      <c r="ACS1" s="1656"/>
      <c r="ACT1" s="254">
        <f>ACK1+1</f>
        <v>79</v>
      </c>
      <c r="ACV1" s="1656" t="str">
        <f>ACM1</f>
        <v xml:space="preserve">ENTRADA DEL MES DE  JULIO   2023 </v>
      </c>
      <c r="ACW1" s="1656"/>
      <c r="ACX1" s="1656"/>
      <c r="ACY1" s="1656"/>
      <c r="ACZ1" s="1656"/>
      <c r="ADA1" s="1656"/>
      <c r="ADB1" s="1656"/>
      <c r="ADC1" s="254">
        <f>ACT1+1</f>
        <v>80</v>
      </c>
      <c r="ADE1" s="1656" t="str">
        <f>ACV1</f>
        <v xml:space="preserve">ENTRADA DEL MES DE  JULIO   2023 </v>
      </c>
      <c r="ADF1" s="1656"/>
      <c r="ADG1" s="1656"/>
      <c r="ADH1" s="1656"/>
      <c r="ADI1" s="1656"/>
      <c r="ADJ1" s="1656"/>
      <c r="ADK1" s="1656"/>
      <c r="ADL1" s="254">
        <f>ADC1+1</f>
        <v>81</v>
      </c>
      <c r="ADN1" s="1656" t="str">
        <f>ADE1</f>
        <v xml:space="preserve">ENTRADA DEL MES DE  JULIO   2023 </v>
      </c>
      <c r="ADO1" s="1656"/>
      <c r="ADP1" s="1656"/>
      <c r="ADQ1" s="1656"/>
      <c r="ADR1" s="1656"/>
      <c r="ADS1" s="1656"/>
      <c r="ADT1" s="1656"/>
      <c r="ADU1" s="254">
        <f>ADL1+1</f>
        <v>82</v>
      </c>
      <c r="ADW1" s="1656" t="str">
        <f>ADN1</f>
        <v xml:space="preserve">ENTRADA DEL MES DE  JULIO   2023 </v>
      </c>
      <c r="ADX1" s="1656"/>
      <c r="ADY1" s="1656"/>
      <c r="ADZ1" s="1656"/>
      <c r="AEA1" s="1656"/>
      <c r="AEB1" s="1656"/>
      <c r="AEC1" s="1656"/>
      <c r="AED1" s="254">
        <f>ADU1+1</f>
        <v>83</v>
      </c>
      <c r="AEF1" s="1656" t="str">
        <f>ADW1</f>
        <v xml:space="preserve">ENTRADA DEL MES DE  JULIO   2023 </v>
      </c>
      <c r="AEG1" s="1656"/>
      <c r="AEH1" s="1656"/>
      <c r="AEI1" s="1656"/>
      <c r="AEJ1" s="1656"/>
      <c r="AEK1" s="1656"/>
      <c r="AEL1" s="1656"/>
      <c r="AEM1" s="254">
        <f>AED1+1</f>
        <v>84</v>
      </c>
      <c r="AEO1" s="1656" t="str">
        <f>AEF1</f>
        <v xml:space="preserve">ENTRADA DEL MES DE  JULIO   2023 </v>
      </c>
      <c r="AEP1" s="1656"/>
      <c r="AEQ1" s="1656"/>
      <c r="AER1" s="1656"/>
      <c r="AES1" s="1656"/>
      <c r="AET1" s="1656"/>
      <c r="AEU1" s="1656"/>
      <c r="AEV1" s="254">
        <f>AEM1+1</f>
        <v>85</v>
      </c>
      <c r="AEX1" s="1656" t="str">
        <f>AEO1</f>
        <v xml:space="preserve">ENTRADA DEL MES DE  JULIO   2023 </v>
      </c>
      <c r="AEY1" s="1656"/>
      <c r="AEZ1" s="1656"/>
      <c r="AFA1" s="1656"/>
      <c r="AFB1" s="1656"/>
      <c r="AFC1" s="1656"/>
      <c r="AFD1" s="165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29" t="str">
        <f t="shared" si="0"/>
        <v>PED. 100014029</v>
      </c>
      <c r="E4" s="1230">
        <f t="shared" si="0"/>
        <v>45107</v>
      </c>
      <c r="F4" s="1231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5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7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2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0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86">
        <v>18934.669999999998</v>
      </c>
      <c r="R5" s="134">
        <f>O5-Q5</f>
        <v>-34.18999999999869</v>
      </c>
      <c r="S5" s="366"/>
      <c r="U5" s="575" t="s">
        <v>328</v>
      </c>
      <c r="V5" s="1336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86">
        <v>18678.5</v>
      </c>
      <c r="AB5" s="134">
        <f>Y5-AA5</f>
        <v>52.389999999999418</v>
      </c>
      <c r="AC5" s="366"/>
      <c r="AE5" s="575" t="s">
        <v>331</v>
      </c>
      <c r="AF5" s="1335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86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5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86">
        <v>19229.7</v>
      </c>
      <c r="AV5" s="134">
        <f>AS5-AU5</f>
        <v>-52.639999999999418</v>
      </c>
      <c r="AW5" s="366"/>
      <c r="AY5" s="581" t="s">
        <v>331</v>
      </c>
      <c r="AZ5" s="1335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86">
        <v>17117.599999999999</v>
      </c>
      <c r="BF5" s="134">
        <f>BC5-BE5</f>
        <v>-90.549999999999272</v>
      </c>
      <c r="BG5" s="366"/>
      <c r="BI5" s="581" t="s">
        <v>331</v>
      </c>
      <c r="BJ5" s="1335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86">
        <v>19154.3</v>
      </c>
      <c r="BP5" s="134">
        <f>BM5-BO5</f>
        <v>-85.099999999998545</v>
      </c>
      <c r="BQ5" s="366"/>
      <c r="BS5" s="774" t="s">
        <v>331</v>
      </c>
      <c r="BT5" s="1335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86">
        <v>19103.5</v>
      </c>
      <c r="BZ5" s="134">
        <f>BW5-BY5</f>
        <v>-92.529999999998836</v>
      </c>
      <c r="CA5" s="366"/>
      <c r="CB5" s="230"/>
      <c r="CC5" s="575" t="s">
        <v>331</v>
      </c>
      <c r="CD5" s="1337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86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7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86">
        <v>19098.7</v>
      </c>
      <c r="CT5" s="134">
        <f>CQ5-CS5</f>
        <v>-35.530000000002474</v>
      </c>
      <c r="CU5" s="366"/>
      <c r="CW5" s="575" t="s">
        <v>328</v>
      </c>
      <c r="CX5" s="1336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86">
        <v>18701.5</v>
      </c>
      <c r="DD5" s="134">
        <f>DA5-DC5</f>
        <v>-42.959999999999127</v>
      </c>
      <c r="DE5" s="366"/>
      <c r="DG5" s="581" t="s">
        <v>331</v>
      </c>
      <c r="DH5" s="1338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86">
        <v>17292.400000000001</v>
      </c>
      <c r="DN5" s="134">
        <f>DK5-DM5</f>
        <v>66.559999999997672</v>
      </c>
      <c r="DO5" s="366"/>
      <c r="DQ5" s="589" t="s">
        <v>331</v>
      </c>
      <c r="DR5" s="1337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86">
        <v>17288</v>
      </c>
      <c r="DX5" s="134">
        <f>DU5-DW5</f>
        <v>60.319999999999709</v>
      </c>
      <c r="DY5" s="230"/>
      <c r="EA5" s="575" t="s">
        <v>331</v>
      </c>
      <c r="EB5" s="1356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86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6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86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6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01">
        <v>18220.2</v>
      </c>
      <c r="FB5" s="134">
        <f>EY5-FA5</f>
        <v>-3.4099999999998545</v>
      </c>
      <c r="FC5" s="366"/>
      <c r="FE5" s="581" t="s">
        <v>331</v>
      </c>
      <c r="FF5" s="1335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01">
        <v>18762.900000000001</v>
      </c>
      <c r="FL5" s="134">
        <f>FI5-FK5</f>
        <v>-264.89000000000306</v>
      </c>
      <c r="FM5" s="366"/>
      <c r="FO5" s="589" t="s">
        <v>331</v>
      </c>
      <c r="FP5" s="1335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86">
        <v>19039.3</v>
      </c>
      <c r="FV5" s="134">
        <f>FS5-FU5</f>
        <v>-23.259999999998399</v>
      </c>
      <c r="FW5" s="366"/>
      <c r="FY5" s="618" t="s">
        <v>331</v>
      </c>
      <c r="FZ5" s="1356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86">
        <v>18991.400000000001</v>
      </c>
      <c r="GF5" s="134">
        <f>GC5-GE5</f>
        <v>-62.920000000001892</v>
      </c>
      <c r="GG5" s="366"/>
      <c r="GI5" s="911" t="s">
        <v>331</v>
      </c>
      <c r="GJ5" s="1335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86">
        <v>19038.900000000001</v>
      </c>
      <c r="GP5" s="134">
        <f>GM5-GO5</f>
        <v>-37.870000000002619</v>
      </c>
      <c r="GQ5" s="366"/>
      <c r="GS5" s="911" t="s">
        <v>331</v>
      </c>
      <c r="GT5" s="1335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86">
        <v>18765.900000000001</v>
      </c>
      <c r="GZ5" s="134">
        <f>GW5-GY5</f>
        <v>-140.39000000000306</v>
      </c>
      <c r="HA5" s="366"/>
      <c r="HC5" s="1216" t="s">
        <v>331</v>
      </c>
      <c r="HD5" s="1335" t="s">
        <v>332</v>
      </c>
      <c r="HE5" s="582" t="s">
        <v>440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5" t="s">
        <v>332</v>
      </c>
      <c r="HO5" s="582" t="s">
        <v>441</v>
      </c>
      <c r="HP5" s="578">
        <v>45132</v>
      </c>
      <c r="HQ5" s="579">
        <v>19024.82</v>
      </c>
      <c r="HR5" s="576">
        <v>21</v>
      </c>
      <c r="HS5" s="1501">
        <v>19002.7</v>
      </c>
      <c r="HT5" s="134">
        <f>HQ5-HS5</f>
        <v>22.119999999998981</v>
      </c>
      <c r="HU5" s="366"/>
      <c r="HW5" s="911" t="s">
        <v>467</v>
      </c>
      <c r="HX5" s="1438" t="s">
        <v>442</v>
      </c>
      <c r="HY5" s="582"/>
      <c r="HZ5" s="578">
        <v>45133</v>
      </c>
      <c r="IA5" s="579">
        <v>19010.48</v>
      </c>
      <c r="IB5" s="576">
        <v>22</v>
      </c>
      <c r="IC5" s="1486">
        <v>19116.2</v>
      </c>
      <c r="ID5" s="134">
        <f>IA5-IC5</f>
        <v>-105.72000000000116</v>
      </c>
      <c r="IE5" s="366"/>
      <c r="IG5" s="575" t="s">
        <v>331</v>
      </c>
      <c r="IH5" s="1439" t="s">
        <v>332</v>
      </c>
      <c r="II5" s="577" t="s">
        <v>445</v>
      </c>
      <c r="IJ5" s="578">
        <v>45134</v>
      </c>
      <c r="IK5" s="579">
        <v>16855.38</v>
      </c>
      <c r="IL5" s="576">
        <v>19</v>
      </c>
      <c r="IM5" s="1486">
        <v>17019.7</v>
      </c>
      <c r="IN5" s="134">
        <f>IK5-IM5</f>
        <v>-164.31999999999971</v>
      </c>
      <c r="IO5" s="366"/>
      <c r="IQ5" s="575" t="s">
        <v>331</v>
      </c>
      <c r="IR5" s="1440" t="s">
        <v>332</v>
      </c>
      <c r="IS5" s="577" t="s">
        <v>446</v>
      </c>
      <c r="IT5" s="578">
        <v>45135</v>
      </c>
      <c r="IU5" s="579">
        <v>18995.7</v>
      </c>
      <c r="IV5" s="576">
        <v>21</v>
      </c>
      <c r="IW5" s="1486">
        <v>19128.3</v>
      </c>
      <c r="IX5" s="134">
        <f>IU5-IW5</f>
        <v>-132.59999999999854</v>
      </c>
      <c r="IY5" s="366"/>
      <c r="JA5" s="581" t="s">
        <v>203</v>
      </c>
      <c r="JB5" s="1160" t="s">
        <v>447</v>
      </c>
      <c r="JC5" s="577" t="s">
        <v>448</v>
      </c>
      <c r="JD5" s="578">
        <v>45135</v>
      </c>
      <c r="JE5" s="579">
        <v>18725.68</v>
      </c>
      <c r="JF5" s="576">
        <v>20</v>
      </c>
      <c r="JG5" s="1486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6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02" t="s">
        <v>568</v>
      </c>
      <c r="CX6" s="584"/>
      <c r="CY6" s="581"/>
      <c r="CZ6" s="581"/>
      <c r="DA6" s="581"/>
      <c r="DB6" s="581"/>
      <c r="DC6" s="576"/>
      <c r="DE6" s="230"/>
      <c r="DG6" s="1363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3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1"/>
      <c r="GJ6" s="590"/>
      <c r="GK6" s="581"/>
      <c r="GL6" s="581"/>
      <c r="GM6" s="581"/>
      <c r="GN6" s="581"/>
      <c r="GO6" s="576"/>
      <c r="GQ6" s="230"/>
      <c r="GS6" s="911"/>
      <c r="GT6" s="590"/>
      <c r="GU6" s="581"/>
      <c r="GV6" s="581"/>
      <c r="GW6" s="581"/>
      <c r="GX6" s="581"/>
      <c r="GY6" s="576"/>
      <c r="HA6" s="230"/>
      <c r="HC6" s="1445" t="s">
        <v>454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1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6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504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503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511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520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542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523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543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565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570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575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583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590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593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612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636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675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646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652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665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710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687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700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711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720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730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81">
        <v>45110</v>
      </c>
      <c r="P9" s="1482">
        <v>947.1</v>
      </c>
      <c r="Q9" s="1483" t="s">
        <v>496</v>
      </c>
      <c r="R9" s="1484">
        <v>45</v>
      </c>
      <c r="S9" s="1485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504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503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516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529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538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523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543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565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570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575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583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590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593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612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636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675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646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652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665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710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687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700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711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720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728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81">
        <v>45110</v>
      </c>
      <c r="P10" s="1482">
        <v>903.55</v>
      </c>
      <c r="Q10" s="1483" t="s">
        <v>496</v>
      </c>
      <c r="R10" s="1484">
        <v>45</v>
      </c>
      <c r="S10" s="1485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504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503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516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531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540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523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543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565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570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575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583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590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593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612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636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669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646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652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665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715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687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700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711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720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730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504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503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516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519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538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523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543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564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570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575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583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590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593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612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636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669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646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652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665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687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700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711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720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730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504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503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516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532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538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523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543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565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570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575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583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590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593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612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636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675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646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652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665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715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687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700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711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720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728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81">
        <v>45111</v>
      </c>
      <c r="P13" s="1482">
        <v>948</v>
      </c>
      <c r="Q13" s="1483" t="s">
        <v>501</v>
      </c>
      <c r="R13" s="1484">
        <v>45</v>
      </c>
      <c r="S13" s="1485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504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503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516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532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538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523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543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565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570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575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583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590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593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612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636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647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646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652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665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704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687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700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711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720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729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81">
        <v>45110</v>
      </c>
      <c r="P14" s="1482">
        <v>932.58</v>
      </c>
      <c r="Q14" s="1483" t="s">
        <v>496</v>
      </c>
      <c r="R14" s="1484">
        <v>45</v>
      </c>
      <c r="S14" s="1485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504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503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516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528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538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523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543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565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570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575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583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590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593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612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636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650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646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652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665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696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687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700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711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720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730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81">
        <v>45110</v>
      </c>
      <c r="P15" s="1482">
        <v>938.93</v>
      </c>
      <c r="Q15" s="1483" t="s">
        <v>496</v>
      </c>
      <c r="R15" s="1484">
        <v>45</v>
      </c>
      <c r="S15" s="1485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504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503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511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532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542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523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543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565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570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575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583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590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593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612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636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650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646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652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665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687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700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711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720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728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504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503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511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520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538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523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543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565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570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575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583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590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593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612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636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661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646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652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665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731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687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700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711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720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729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81">
        <v>45110</v>
      </c>
      <c r="P17" s="1482">
        <v>951.63</v>
      </c>
      <c r="Q17" s="1483" t="s">
        <v>495</v>
      </c>
      <c r="R17" s="1484">
        <v>45</v>
      </c>
      <c r="S17" s="1485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504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503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516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529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538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523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543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565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570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575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583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590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593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612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636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644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646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652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665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696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687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700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711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720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730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504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502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516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532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538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522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547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565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570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567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582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592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591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611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635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647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646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653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665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693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688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701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712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719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729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504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502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511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532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542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522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547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564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569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567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582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592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591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611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635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633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645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653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666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693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688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701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712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719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730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505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502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516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532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538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522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547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564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569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567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582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592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591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611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635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629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645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653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666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693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688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701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712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719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730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505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502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511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532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548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522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547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564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569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567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582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592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591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611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635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639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645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653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666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692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688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701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712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719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726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505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502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511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532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538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522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547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564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569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567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582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592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591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611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635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639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645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653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666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692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688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701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712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719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726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505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502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511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510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542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522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547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564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569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567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582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592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591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611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635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633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645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653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666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692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688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701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712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719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730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505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502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511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510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533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522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547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564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569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567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582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592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591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611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635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633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645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653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666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692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688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701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712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719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726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505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502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511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531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548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522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547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564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569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567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582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592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591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611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635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633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645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653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666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691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688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701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712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719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728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505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502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514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513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533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522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547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564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569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567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582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592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591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611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635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629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645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653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666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691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688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701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712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719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729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505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502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511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533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522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547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564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569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592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591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611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635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629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645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653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666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691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688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701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719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726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505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503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514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548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495">
        <v>938.8</v>
      </c>
      <c r="BY28" s="505" t="s">
        <v>522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547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564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569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592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591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635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629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645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653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666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691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688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701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719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505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569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701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505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569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03">
        <v>45118</v>
      </c>
      <c r="DB31" s="286">
        <v>874.5</v>
      </c>
      <c r="DC31" s="1504" t="s">
        <v>569</v>
      </c>
      <c r="DD31" s="766">
        <v>42</v>
      </c>
      <c r="DE31" s="1505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6"/>
      <c r="GK31" s="52"/>
      <c r="GL31" s="296"/>
      <c r="GM31" s="297"/>
      <c r="GN31" s="298"/>
      <c r="GO31" s="299"/>
      <c r="GP31" s="300"/>
      <c r="GQ31" s="370"/>
      <c r="GT31" s="909"/>
      <c r="GU31" s="52"/>
      <c r="GV31" s="296"/>
      <c r="GW31" s="297"/>
      <c r="GX31" s="298"/>
      <c r="GY31" s="299"/>
      <c r="GZ31" s="300"/>
      <c r="HA31" s="370"/>
      <c r="HD31" s="909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2" t="s">
        <v>21</v>
      </c>
      <c r="O33" s="1213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5"/>
      <c r="AB33" s="805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4" t="s">
        <v>21</v>
      </c>
      <c r="BM33" s="815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4" t="s">
        <v>21</v>
      </c>
      <c r="GC33" s="795"/>
      <c r="GD33" s="137">
        <f>GB32-GD32</f>
        <v>0</v>
      </c>
      <c r="GL33" s="794" t="s">
        <v>21</v>
      </c>
      <c r="GM33" s="795"/>
      <c r="GN33" s="137">
        <f>GL32-GN32</f>
        <v>0</v>
      </c>
      <c r="GV33" s="907" t="s">
        <v>21</v>
      </c>
      <c r="GW33" s="908"/>
      <c r="GX33" s="137">
        <f>GV32-GX32</f>
        <v>0</v>
      </c>
      <c r="HF33" s="907" t="s">
        <v>21</v>
      </c>
      <c r="HG33" s="908"/>
      <c r="HH33" s="137">
        <f>HF32-HH32</f>
        <v>1792.6000000000022</v>
      </c>
      <c r="HP33" s="907" t="s">
        <v>21</v>
      </c>
      <c r="HQ33" s="908"/>
      <c r="HR33" s="137">
        <f>HP32-HR32</f>
        <v>0</v>
      </c>
      <c r="HZ33" s="907" t="s">
        <v>21</v>
      </c>
      <c r="IA33" s="908"/>
      <c r="IB33" s="137">
        <f>IC5-IB32</f>
        <v>0</v>
      </c>
      <c r="IJ33" s="794" t="s">
        <v>21</v>
      </c>
      <c r="IK33" s="795"/>
      <c r="IL33" s="137">
        <f>IM5-IL32</f>
        <v>0</v>
      </c>
      <c r="IT33" s="794" t="s">
        <v>21</v>
      </c>
      <c r="IU33" s="795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58" t="s">
        <v>21</v>
      </c>
      <c r="SB33" s="1659"/>
      <c r="SC33" s="137">
        <f>SUM(SD5-SC32)</f>
        <v>0</v>
      </c>
      <c r="SK33" s="1658" t="s">
        <v>21</v>
      </c>
      <c r="SL33" s="1659"/>
      <c r="SM33" s="137">
        <f>SUM(SN5-SM32)</f>
        <v>0</v>
      </c>
      <c r="SU33" s="1658" t="s">
        <v>21</v>
      </c>
      <c r="SV33" s="1659"/>
      <c r="SW33" s="205">
        <f>SUM(SX5-SW32)</f>
        <v>0</v>
      </c>
      <c r="TE33" s="1658" t="s">
        <v>21</v>
      </c>
      <c r="TF33" s="1659"/>
      <c r="TG33" s="137">
        <f>SUM(TH5-TG32)</f>
        <v>0</v>
      </c>
      <c r="TO33" s="1658" t="s">
        <v>21</v>
      </c>
      <c r="TP33" s="1659"/>
      <c r="TQ33" s="137">
        <f>SUM(TR5-TQ32)</f>
        <v>0</v>
      </c>
      <c r="TY33" s="1658" t="s">
        <v>21</v>
      </c>
      <c r="TZ33" s="1659"/>
      <c r="UA33" s="137">
        <f>SUM(UB5-UA32)</f>
        <v>0</v>
      </c>
      <c r="UH33" s="1658" t="s">
        <v>21</v>
      </c>
      <c r="UI33" s="1659"/>
      <c r="UJ33" s="137">
        <f>SUM(UK5-UJ32)</f>
        <v>0</v>
      </c>
      <c r="UQ33" s="1658" t="s">
        <v>21</v>
      </c>
      <c r="UR33" s="1659"/>
      <c r="US33" s="137">
        <f>SUM(UT5-US32)</f>
        <v>0</v>
      </c>
      <c r="UZ33" s="1658" t="s">
        <v>21</v>
      </c>
      <c r="VA33" s="165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58" t="s">
        <v>21</v>
      </c>
      <c r="WB33" s="1659"/>
      <c r="WC33" s="137">
        <f>WD5-WC32</f>
        <v>-22</v>
      </c>
      <c r="WJ33" s="1658" t="s">
        <v>21</v>
      </c>
      <c r="WK33" s="1659"/>
      <c r="WL33" s="137">
        <f>WM5-WL32</f>
        <v>-22</v>
      </c>
      <c r="WS33" s="1658" t="s">
        <v>21</v>
      </c>
      <c r="WT33" s="1659"/>
      <c r="WU33" s="137">
        <f>WV5-WU32</f>
        <v>-22</v>
      </c>
      <c r="XB33" s="1658" t="s">
        <v>21</v>
      </c>
      <c r="XC33" s="1659"/>
      <c r="XD33" s="137">
        <f>XE5-XD32</f>
        <v>-22</v>
      </c>
      <c r="XK33" s="1658" t="s">
        <v>21</v>
      </c>
      <c r="XL33" s="1659"/>
      <c r="XM33" s="137">
        <f>XN5-XM32</f>
        <v>-22</v>
      </c>
      <c r="XT33" s="1658" t="s">
        <v>21</v>
      </c>
      <c r="XU33" s="1659"/>
      <c r="XV33" s="137">
        <f>XW5-XV32</f>
        <v>-22</v>
      </c>
      <c r="YC33" s="1658" t="s">
        <v>21</v>
      </c>
      <c r="YD33" s="1659"/>
      <c r="YE33" s="137">
        <f>YF5-YE32</f>
        <v>-22</v>
      </c>
      <c r="YL33" s="1658" t="s">
        <v>21</v>
      </c>
      <c r="YM33" s="1659"/>
      <c r="YN33" s="137">
        <f>YO5-YN32</f>
        <v>-22</v>
      </c>
      <c r="YU33" s="1658" t="s">
        <v>21</v>
      </c>
      <c r="YV33" s="1659"/>
      <c r="YW33" s="137">
        <f>YX5-YW32</f>
        <v>-22</v>
      </c>
      <c r="ZD33" s="1658" t="s">
        <v>21</v>
      </c>
      <c r="ZE33" s="1659"/>
      <c r="ZF33" s="137">
        <f>ZG5-ZF32</f>
        <v>-22</v>
      </c>
      <c r="ZM33" s="1658" t="s">
        <v>21</v>
      </c>
      <c r="ZN33" s="1659"/>
      <c r="ZO33" s="137">
        <f>ZP5-ZO32</f>
        <v>-22</v>
      </c>
      <c r="ZV33" s="1658" t="s">
        <v>21</v>
      </c>
      <c r="ZW33" s="1659"/>
      <c r="ZX33" s="137">
        <f>ZY5-ZX32</f>
        <v>-22</v>
      </c>
      <c r="AAE33" s="1658" t="s">
        <v>21</v>
      </c>
      <c r="AAF33" s="1659"/>
      <c r="AAG33" s="137">
        <f>AAH5-AAG32</f>
        <v>-22</v>
      </c>
      <c r="AAN33" s="1658" t="s">
        <v>21</v>
      </c>
      <c r="AAO33" s="1659"/>
      <c r="AAP33" s="137">
        <f>AAQ5-AAP32</f>
        <v>-22</v>
      </c>
      <c r="AAW33" s="1658" t="s">
        <v>21</v>
      </c>
      <c r="AAX33" s="1659"/>
      <c r="AAY33" s="137">
        <f>AAZ5-AAY32</f>
        <v>-22</v>
      </c>
      <c r="ABF33" s="1658" t="s">
        <v>21</v>
      </c>
      <c r="ABG33" s="1659"/>
      <c r="ABH33" s="137">
        <f>ABH32-ABF32</f>
        <v>22</v>
      </c>
      <c r="ABO33" s="1658" t="s">
        <v>21</v>
      </c>
      <c r="ABP33" s="1659"/>
      <c r="ABQ33" s="137">
        <f>ABR5-ABQ32</f>
        <v>-22</v>
      </c>
      <c r="ABX33" s="1658" t="s">
        <v>21</v>
      </c>
      <c r="ABY33" s="1659"/>
      <c r="ABZ33" s="137">
        <f>ACA5-ABZ32</f>
        <v>-22</v>
      </c>
      <c r="ACG33" s="1658" t="s">
        <v>21</v>
      </c>
      <c r="ACH33" s="1659"/>
      <c r="ACI33" s="137">
        <f>ACJ5-ACI32</f>
        <v>-22</v>
      </c>
      <c r="ACP33" s="1658" t="s">
        <v>21</v>
      </c>
      <c r="ACQ33" s="1659"/>
      <c r="ACR33" s="137">
        <f>ACS5-ACR32</f>
        <v>-22</v>
      </c>
      <c r="ACY33" s="1658" t="s">
        <v>21</v>
      </c>
      <c r="ACZ33" s="1659"/>
      <c r="ADA33" s="137">
        <f>ADB5-ADA32</f>
        <v>-22</v>
      </c>
      <c r="ADH33" s="1658" t="s">
        <v>21</v>
      </c>
      <c r="ADI33" s="1659"/>
      <c r="ADJ33" s="137">
        <f>ADK5-ADJ32</f>
        <v>-22</v>
      </c>
      <c r="ADQ33" s="1658" t="s">
        <v>21</v>
      </c>
      <c r="ADR33" s="1659"/>
      <c r="ADS33" s="137">
        <f>ADT5-ADS32</f>
        <v>-22</v>
      </c>
      <c r="ADZ33" s="1658" t="s">
        <v>21</v>
      </c>
      <c r="AEA33" s="1659"/>
      <c r="AEB33" s="137">
        <f>AEC5-AEB32</f>
        <v>-22</v>
      </c>
      <c r="AEI33" s="1658" t="s">
        <v>21</v>
      </c>
      <c r="AEJ33" s="1659"/>
      <c r="AEK33" s="137">
        <f>AEL5-AEK32</f>
        <v>-22</v>
      </c>
      <c r="AER33" s="1658" t="s">
        <v>21</v>
      </c>
      <c r="AES33" s="1659"/>
      <c r="AET33" s="137">
        <f>AEU5-AET32</f>
        <v>-22</v>
      </c>
      <c r="AFA33" s="1658" t="s">
        <v>21</v>
      </c>
      <c r="AFB33" s="165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4" t="s">
        <v>4</v>
      </c>
      <c r="O34" s="1215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6" t="s">
        <v>4</v>
      </c>
      <c r="BM34" s="81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6" t="s">
        <v>4</v>
      </c>
      <c r="GC34" s="797"/>
      <c r="GD34" s="49"/>
      <c r="GL34" s="796" t="s">
        <v>4</v>
      </c>
      <c r="GM34" s="797"/>
      <c r="GN34" s="49"/>
      <c r="GV34" s="909" t="s">
        <v>4</v>
      </c>
      <c r="GW34" s="910"/>
      <c r="GX34" s="49"/>
      <c r="HF34" s="909" t="s">
        <v>4</v>
      </c>
      <c r="HG34" s="910"/>
      <c r="HH34" s="49"/>
      <c r="HP34" s="909" t="s">
        <v>4</v>
      </c>
      <c r="HQ34" s="910"/>
      <c r="HR34" s="49">
        <v>0</v>
      </c>
      <c r="HZ34" s="909" t="s">
        <v>4</v>
      </c>
      <c r="IA34" s="910"/>
      <c r="IB34" s="49"/>
      <c r="IJ34" s="796" t="s">
        <v>4</v>
      </c>
      <c r="IK34" s="797"/>
      <c r="IL34" s="49"/>
      <c r="IT34" s="796" t="s">
        <v>4</v>
      </c>
      <c r="IU34" s="79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60" t="s">
        <v>4</v>
      </c>
      <c r="SB34" s="1661"/>
      <c r="SC34" s="49"/>
      <c r="SK34" s="1660" t="s">
        <v>4</v>
      </c>
      <c r="SL34" s="1661"/>
      <c r="SM34" s="49"/>
      <c r="SU34" s="1660" t="s">
        <v>4</v>
      </c>
      <c r="SV34" s="1661"/>
      <c r="SW34" s="49"/>
      <c r="TE34" s="1660" t="s">
        <v>4</v>
      </c>
      <c r="TF34" s="1661"/>
      <c r="TG34" s="49"/>
      <c r="TO34" s="1660" t="s">
        <v>4</v>
      </c>
      <c r="TP34" s="1661"/>
      <c r="TQ34" s="49"/>
      <c r="TY34" s="1660" t="s">
        <v>4</v>
      </c>
      <c r="TZ34" s="1661"/>
      <c r="UA34" s="49"/>
      <c r="UH34" s="1660" t="s">
        <v>4</v>
      </c>
      <c r="UI34" s="1661"/>
      <c r="UJ34" s="49"/>
      <c r="UQ34" s="1660" t="s">
        <v>4</v>
      </c>
      <c r="UR34" s="1661"/>
      <c r="US34" s="49"/>
      <c r="UZ34" s="1660" t="s">
        <v>4</v>
      </c>
      <c r="VA34" s="166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60" t="s">
        <v>4</v>
      </c>
      <c r="WB34" s="1661"/>
      <c r="WC34" s="49"/>
      <c r="WJ34" s="1660" t="s">
        <v>4</v>
      </c>
      <c r="WK34" s="1661"/>
      <c r="WL34" s="49"/>
      <c r="WS34" s="1660" t="s">
        <v>4</v>
      </c>
      <c r="WT34" s="1661"/>
      <c r="WU34" s="49"/>
      <c r="XB34" s="1660" t="s">
        <v>4</v>
      </c>
      <c r="XC34" s="1661"/>
      <c r="XD34" s="49"/>
      <c r="XK34" s="1660" t="s">
        <v>4</v>
      </c>
      <c r="XL34" s="1661"/>
      <c r="XM34" s="49"/>
      <c r="XT34" s="1660" t="s">
        <v>4</v>
      </c>
      <c r="XU34" s="1661"/>
      <c r="XV34" s="49"/>
      <c r="YC34" s="1660" t="s">
        <v>4</v>
      </c>
      <c r="YD34" s="1661"/>
      <c r="YE34" s="49"/>
      <c r="YL34" s="1660" t="s">
        <v>4</v>
      </c>
      <c r="YM34" s="1661"/>
      <c r="YN34" s="49"/>
      <c r="YU34" s="1660" t="s">
        <v>4</v>
      </c>
      <c r="YV34" s="1661"/>
      <c r="YW34" s="49"/>
      <c r="ZD34" s="1660" t="s">
        <v>4</v>
      </c>
      <c r="ZE34" s="1661"/>
      <c r="ZF34" s="49"/>
      <c r="ZM34" s="1660" t="s">
        <v>4</v>
      </c>
      <c r="ZN34" s="1661"/>
      <c r="ZO34" s="49"/>
      <c r="ZV34" s="1660" t="s">
        <v>4</v>
      </c>
      <c r="ZW34" s="1661"/>
      <c r="ZX34" s="49"/>
      <c r="AAE34" s="1660" t="s">
        <v>4</v>
      </c>
      <c r="AAF34" s="1661"/>
      <c r="AAG34" s="49"/>
      <c r="AAN34" s="1660" t="s">
        <v>4</v>
      </c>
      <c r="AAO34" s="1661"/>
      <c r="AAP34" s="49"/>
      <c r="AAW34" s="1660" t="s">
        <v>4</v>
      </c>
      <c r="AAX34" s="1661"/>
      <c r="AAY34" s="49"/>
      <c r="ABF34" s="1660" t="s">
        <v>4</v>
      </c>
      <c r="ABG34" s="1661"/>
      <c r="ABH34" s="49"/>
      <c r="ABO34" s="1660" t="s">
        <v>4</v>
      </c>
      <c r="ABP34" s="1661"/>
      <c r="ABQ34" s="49"/>
      <c r="ABX34" s="1660" t="s">
        <v>4</v>
      </c>
      <c r="ABY34" s="1661"/>
      <c r="ABZ34" s="49"/>
      <c r="ACG34" s="1660" t="s">
        <v>4</v>
      </c>
      <c r="ACH34" s="1661"/>
      <c r="ACI34" s="49"/>
      <c r="ACP34" s="1660" t="s">
        <v>4</v>
      </c>
      <c r="ACQ34" s="1661"/>
      <c r="ACR34" s="49"/>
      <c r="ACY34" s="1660" t="s">
        <v>4</v>
      </c>
      <c r="ACZ34" s="1661"/>
      <c r="ADA34" s="49"/>
      <c r="ADH34" s="1660" t="s">
        <v>4</v>
      </c>
      <c r="ADI34" s="1661"/>
      <c r="ADJ34" s="49"/>
      <c r="ADQ34" s="1660" t="s">
        <v>4</v>
      </c>
      <c r="ADR34" s="1661"/>
      <c r="ADS34" s="49"/>
      <c r="ADZ34" s="1660" t="s">
        <v>4</v>
      </c>
      <c r="AEA34" s="1661"/>
      <c r="AEB34" s="49"/>
      <c r="AEI34" s="1660" t="s">
        <v>4</v>
      </c>
      <c r="AEJ34" s="1661"/>
      <c r="AEK34" s="49"/>
      <c r="AER34" s="1660" t="s">
        <v>4</v>
      </c>
      <c r="AES34" s="1661"/>
      <c r="AET34" s="49"/>
      <c r="AFA34" s="1660" t="s">
        <v>4</v>
      </c>
      <c r="AFB34" s="166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91" t="s">
        <v>74</v>
      </c>
      <c r="C4" s="124"/>
      <c r="D4" s="130"/>
      <c r="E4" s="172"/>
      <c r="F4" s="133"/>
      <c r="G4" s="38"/>
    </row>
    <row r="5" spans="1:15" ht="15.75" x14ac:dyDescent="0.25">
      <c r="A5" s="1672"/>
      <c r="B5" s="168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7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8" t="s">
        <v>21</v>
      </c>
      <c r="E31" s="16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58" t="s">
        <v>21</v>
      </c>
      <c r="E31" s="165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72" t="s">
        <v>108</v>
      </c>
      <c r="B5" s="168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72"/>
      <c r="B6" s="1688"/>
      <c r="C6" s="124"/>
      <c r="D6" s="145"/>
      <c r="E6" s="85"/>
      <c r="F6" s="72"/>
    </row>
    <row r="7" spans="1:11" ht="17.25" thickTop="1" thickBot="1" x14ac:dyDescent="0.3">
      <c r="A7" s="317"/>
      <c r="B7" s="78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3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58" t="s">
        <v>21</v>
      </c>
      <c r="E42" s="1659"/>
      <c r="F42" s="137">
        <f>E4+E5-F40+E6</f>
        <v>0</v>
      </c>
    </row>
    <row r="43" spans="1:10" ht="15.75" thickBot="1" x14ac:dyDescent="0.3">
      <c r="A43" s="121"/>
      <c r="D43" s="847" t="s">
        <v>4</v>
      </c>
      <c r="E43" s="8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2" t="s">
        <v>313</v>
      </c>
      <c r="B1" s="1692"/>
      <c r="C1" s="1692"/>
      <c r="D1" s="1692"/>
      <c r="E1" s="1692"/>
      <c r="F1" s="1692"/>
      <c r="G1" s="169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2"/>
      <c r="C4" s="230"/>
      <c r="D4" s="130"/>
      <c r="E4" s="357"/>
      <c r="F4" s="72"/>
      <c r="G4" s="966"/>
      <c r="H4" s="144"/>
      <c r="I4" s="369"/>
    </row>
    <row r="5" spans="1:10" ht="14.25" customHeight="1" x14ac:dyDescent="0.25">
      <c r="A5" s="1668" t="s">
        <v>97</v>
      </c>
      <c r="B5" s="169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68"/>
      <c r="B6" s="169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29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2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2">
        <f t="shared" si="3"/>
        <v>80</v>
      </c>
      <c r="E15" s="1053">
        <v>45059</v>
      </c>
      <c r="F15" s="705">
        <f t="shared" si="0"/>
        <v>80</v>
      </c>
      <c r="G15" s="803" t="s">
        <v>161</v>
      </c>
      <c r="H15" s="80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2">
        <f t="shared" si="3"/>
        <v>100</v>
      </c>
      <c r="E16" s="1053">
        <v>45059</v>
      </c>
      <c r="F16" s="705">
        <f t="shared" si="0"/>
        <v>100</v>
      </c>
      <c r="G16" s="803" t="s">
        <v>163</v>
      </c>
      <c r="H16" s="80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2">
        <f t="shared" si="3"/>
        <v>80</v>
      </c>
      <c r="E17" s="1053">
        <v>45066</v>
      </c>
      <c r="F17" s="705">
        <f t="shared" si="0"/>
        <v>80</v>
      </c>
      <c r="G17" s="803" t="s">
        <v>172</v>
      </c>
      <c r="H17" s="80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2">
        <f t="shared" si="3"/>
        <v>100</v>
      </c>
      <c r="E18" s="1053">
        <v>45068</v>
      </c>
      <c r="F18" s="705">
        <f t="shared" si="0"/>
        <v>100</v>
      </c>
      <c r="G18" s="803" t="s">
        <v>174</v>
      </c>
      <c r="H18" s="80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2">
        <f t="shared" si="3"/>
        <v>80</v>
      </c>
      <c r="E19" s="1053">
        <v>45082</v>
      </c>
      <c r="F19" s="705">
        <f t="shared" si="0"/>
        <v>80</v>
      </c>
      <c r="G19" s="803" t="s">
        <v>195</v>
      </c>
      <c r="H19" s="804">
        <v>48</v>
      </c>
      <c r="I19" s="929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2">
        <f t="shared" si="3"/>
        <v>0</v>
      </c>
      <c r="E20" s="1053"/>
      <c r="F20" s="705">
        <f t="shared" si="0"/>
        <v>0</v>
      </c>
      <c r="G20" s="803"/>
      <c r="H20" s="80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2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2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2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2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2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2">
        <v>45098</v>
      </c>
      <c r="F26" s="707">
        <f t="shared" si="0"/>
        <v>300</v>
      </c>
      <c r="G26" s="709" t="s">
        <v>246</v>
      </c>
      <c r="H26" s="1206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2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2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2">
        <v>45104</v>
      </c>
      <c r="F29" s="707">
        <f t="shared" si="0"/>
        <v>600</v>
      </c>
      <c r="G29" s="709" t="s">
        <v>278</v>
      </c>
      <c r="H29" s="1206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2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2">
        <v>45108</v>
      </c>
      <c r="F31" s="707">
        <f t="shared" si="0"/>
        <v>50</v>
      </c>
      <c r="G31" s="709" t="s">
        <v>297</v>
      </c>
      <c r="H31" s="710">
        <v>48</v>
      </c>
      <c r="I31" s="929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2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4">
        <f t="shared" si="3"/>
        <v>50</v>
      </c>
      <c r="E33" s="1265">
        <v>45110</v>
      </c>
      <c r="F33" s="1266">
        <f t="shared" si="0"/>
        <v>50</v>
      </c>
      <c r="G33" s="1267" t="s">
        <v>497</v>
      </c>
      <c r="H33" s="126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4">
        <f t="shared" si="3"/>
        <v>30</v>
      </c>
      <c r="E34" s="1265">
        <v>45113</v>
      </c>
      <c r="F34" s="1266">
        <f t="shared" si="0"/>
        <v>30</v>
      </c>
      <c r="G34" s="1267" t="s">
        <v>524</v>
      </c>
      <c r="H34" s="126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4">
        <f t="shared" si="3"/>
        <v>80</v>
      </c>
      <c r="E35" s="1265">
        <v>45117</v>
      </c>
      <c r="F35" s="1266">
        <f t="shared" si="0"/>
        <v>80</v>
      </c>
      <c r="G35" s="1267" t="s">
        <v>552</v>
      </c>
      <c r="H35" s="126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4">
        <f t="shared" si="3"/>
        <v>50</v>
      </c>
      <c r="E36" s="1265">
        <v>45118</v>
      </c>
      <c r="F36" s="1266">
        <f t="shared" si="0"/>
        <v>50</v>
      </c>
      <c r="G36" s="1267" t="s">
        <v>563</v>
      </c>
      <c r="H36" s="126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4">
        <f t="shared" si="3"/>
        <v>10</v>
      </c>
      <c r="E37" s="1265">
        <v>45119</v>
      </c>
      <c r="F37" s="1266">
        <f t="shared" si="0"/>
        <v>10</v>
      </c>
      <c r="G37" s="1267" t="s">
        <v>577</v>
      </c>
      <c r="H37" s="126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4">
        <f t="shared" si="3"/>
        <v>20</v>
      </c>
      <c r="E38" s="1269">
        <v>45121</v>
      </c>
      <c r="F38" s="1266">
        <f t="shared" si="0"/>
        <v>20</v>
      </c>
      <c r="G38" s="1267" t="s">
        <v>600</v>
      </c>
      <c r="H38" s="126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4">
        <f t="shared" si="3"/>
        <v>100</v>
      </c>
      <c r="E39" s="1269">
        <v>45122</v>
      </c>
      <c r="F39" s="1266">
        <f t="shared" si="0"/>
        <v>100</v>
      </c>
      <c r="G39" s="1267" t="s">
        <v>607</v>
      </c>
      <c r="H39" s="126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4">
        <f t="shared" si="3"/>
        <v>50</v>
      </c>
      <c r="E40" s="1269">
        <v>45122</v>
      </c>
      <c r="F40" s="1266">
        <f t="shared" si="0"/>
        <v>50</v>
      </c>
      <c r="G40" s="1267" t="s">
        <v>613</v>
      </c>
      <c r="H40" s="126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4">
        <f t="shared" si="3"/>
        <v>80</v>
      </c>
      <c r="E41" s="1269">
        <v>45125</v>
      </c>
      <c r="F41" s="1266">
        <f t="shared" si="0"/>
        <v>80</v>
      </c>
      <c r="G41" s="1267" t="s">
        <v>634</v>
      </c>
      <c r="H41" s="126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4">
        <f t="shared" si="3"/>
        <v>500</v>
      </c>
      <c r="E42" s="1269">
        <v>45125</v>
      </c>
      <c r="F42" s="1266">
        <f t="shared" si="0"/>
        <v>500</v>
      </c>
      <c r="G42" s="1267" t="s">
        <v>638</v>
      </c>
      <c r="H42" s="126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4">
        <f t="shared" si="3"/>
        <v>60</v>
      </c>
      <c r="E43" s="1269">
        <v>45128</v>
      </c>
      <c r="F43" s="1266">
        <f t="shared" si="0"/>
        <v>60</v>
      </c>
      <c r="G43" s="1267" t="s">
        <v>658</v>
      </c>
      <c r="H43" s="1268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4">
        <f t="shared" si="3"/>
        <v>30</v>
      </c>
      <c r="E44" s="1269">
        <v>45129</v>
      </c>
      <c r="F44" s="1266">
        <f t="shared" si="0"/>
        <v>30</v>
      </c>
      <c r="G44" s="1267" t="s">
        <v>670</v>
      </c>
      <c r="H44" s="126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4">
        <f t="shared" si="3"/>
        <v>60</v>
      </c>
      <c r="E45" s="1269">
        <v>45129</v>
      </c>
      <c r="F45" s="1266">
        <f t="shared" si="0"/>
        <v>60</v>
      </c>
      <c r="G45" s="1267" t="s">
        <v>671</v>
      </c>
      <c r="H45" s="126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4">
        <f t="shared" si="3"/>
        <v>10</v>
      </c>
      <c r="E46" s="1269">
        <v>45129</v>
      </c>
      <c r="F46" s="1266">
        <f t="shared" si="0"/>
        <v>10</v>
      </c>
      <c r="G46" s="1267" t="s">
        <v>675</v>
      </c>
      <c r="H46" s="126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4">
        <f t="shared" si="3"/>
        <v>60</v>
      </c>
      <c r="E47" s="1269">
        <v>45131</v>
      </c>
      <c r="F47" s="1266">
        <f t="shared" si="0"/>
        <v>60</v>
      </c>
      <c r="G47" s="1267" t="s">
        <v>680</v>
      </c>
      <c r="H47" s="126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4">
        <f t="shared" si="3"/>
        <v>80</v>
      </c>
      <c r="E48" s="1269">
        <v>45134</v>
      </c>
      <c r="F48" s="1266">
        <f t="shared" si="0"/>
        <v>80</v>
      </c>
      <c r="G48" s="1267" t="s">
        <v>703</v>
      </c>
      <c r="H48" s="126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4">
        <f t="shared" si="3"/>
        <v>40</v>
      </c>
      <c r="E49" s="1269">
        <v>45136</v>
      </c>
      <c r="F49" s="1266">
        <f t="shared" si="0"/>
        <v>40</v>
      </c>
      <c r="G49" s="1267" t="s">
        <v>723</v>
      </c>
      <c r="H49" s="126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4">
        <f t="shared" si="3"/>
        <v>10</v>
      </c>
      <c r="E50" s="1269">
        <v>45136</v>
      </c>
      <c r="F50" s="1266">
        <f t="shared" si="0"/>
        <v>10</v>
      </c>
      <c r="G50" s="1267" t="s">
        <v>731</v>
      </c>
      <c r="H50" s="126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4">
        <f t="shared" si="3"/>
        <v>0</v>
      </c>
      <c r="E51" s="1269"/>
      <c r="F51" s="1266">
        <f t="shared" si="0"/>
        <v>0</v>
      </c>
      <c r="G51" s="1267"/>
      <c r="H51" s="1268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4">
        <f t="shared" si="3"/>
        <v>0</v>
      </c>
      <c r="E52" s="1269"/>
      <c r="F52" s="1266">
        <f t="shared" si="0"/>
        <v>0</v>
      </c>
      <c r="G52" s="1267"/>
      <c r="H52" s="1268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4">
        <f t="shared" si="3"/>
        <v>0</v>
      </c>
      <c r="E53" s="1269"/>
      <c r="F53" s="1266">
        <f t="shared" si="0"/>
        <v>0</v>
      </c>
      <c r="G53" s="1267"/>
      <c r="H53" s="1268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4">
        <f t="shared" si="3"/>
        <v>0</v>
      </c>
      <c r="E54" s="1269"/>
      <c r="F54" s="1266">
        <f t="shared" si="0"/>
        <v>0</v>
      </c>
      <c r="G54" s="1267"/>
      <c r="H54" s="1268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4">
        <f t="shared" si="3"/>
        <v>0</v>
      </c>
      <c r="E55" s="1269"/>
      <c r="F55" s="1266">
        <f t="shared" si="0"/>
        <v>0</v>
      </c>
      <c r="G55" s="1267"/>
      <c r="H55" s="1268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4">
        <f t="shared" si="3"/>
        <v>0</v>
      </c>
      <c r="E56" s="1269"/>
      <c r="F56" s="1266">
        <f t="shared" si="0"/>
        <v>0</v>
      </c>
      <c r="G56" s="1267"/>
      <c r="H56" s="1268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4">
        <f t="shared" si="3"/>
        <v>0</v>
      </c>
      <c r="E57" s="1269"/>
      <c r="F57" s="1266">
        <f t="shared" si="0"/>
        <v>0</v>
      </c>
      <c r="G57" s="1267"/>
      <c r="H57" s="1268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4">
        <f t="shared" si="3"/>
        <v>0</v>
      </c>
      <c r="E58" s="1269"/>
      <c r="F58" s="1266">
        <f t="shared" si="0"/>
        <v>0</v>
      </c>
      <c r="G58" s="1267"/>
      <c r="H58" s="1268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4">
        <f t="shared" si="3"/>
        <v>0</v>
      </c>
      <c r="E59" s="1269"/>
      <c r="F59" s="1266">
        <f t="shared" si="0"/>
        <v>0</v>
      </c>
      <c r="G59" s="1267"/>
      <c r="H59" s="1268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4">
        <f t="shared" si="3"/>
        <v>0</v>
      </c>
      <c r="E60" s="1269"/>
      <c r="F60" s="1266">
        <f t="shared" si="0"/>
        <v>0</v>
      </c>
      <c r="G60" s="1267"/>
      <c r="H60" s="1268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4">
        <f t="shared" si="3"/>
        <v>0</v>
      </c>
      <c r="E61" s="1269"/>
      <c r="F61" s="1266">
        <f t="shared" si="0"/>
        <v>0</v>
      </c>
      <c r="G61" s="1267"/>
      <c r="H61" s="1268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4">
        <f t="shared" si="3"/>
        <v>0</v>
      </c>
      <c r="E62" s="1269"/>
      <c r="F62" s="1266">
        <f t="shared" si="0"/>
        <v>0</v>
      </c>
      <c r="G62" s="1267"/>
      <c r="H62" s="1268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4">
        <f t="shared" si="3"/>
        <v>0</v>
      </c>
      <c r="E63" s="1269"/>
      <c r="F63" s="1266">
        <f t="shared" si="0"/>
        <v>0</v>
      </c>
      <c r="G63" s="1267"/>
      <c r="H63" s="1268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4">
        <f t="shared" si="3"/>
        <v>0</v>
      </c>
      <c r="E64" s="1269"/>
      <c r="F64" s="1266">
        <f t="shared" si="0"/>
        <v>0</v>
      </c>
      <c r="G64" s="1267"/>
      <c r="H64" s="1268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4">
        <f t="shared" si="3"/>
        <v>0</v>
      </c>
      <c r="E65" s="1269"/>
      <c r="F65" s="1266">
        <f t="shared" si="0"/>
        <v>0</v>
      </c>
      <c r="G65" s="1267"/>
      <c r="H65" s="1268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4">
        <f t="shared" si="3"/>
        <v>0</v>
      </c>
      <c r="E66" s="1269"/>
      <c r="F66" s="1266">
        <f t="shared" si="0"/>
        <v>0</v>
      </c>
      <c r="G66" s="1267"/>
      <c r="H66" s="1268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4">
        <f t="shared" si="3"/>
        <v>0</v>
      </c>
      <c r="E67" s="1269"/>
      <c r="F67" s="1266">
        <f t="shared" si="0"/>
        <v>0</v>
      </c>
      <c r="G67" s="1267"/>
      <c r="H67" s="1268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4">
        <f t="shared" si="3"/>
        <v>0</v>
      </c>
      <c r="E68" s="1269"/>
      <c r="F68" s="1266">
        <f t="shared" si="0"/>
        <v>0</v>
      </c>
      <c r="G68" s="1267"/>
      <c r="H68" s="1268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58" t="s">
        <v>21</v>
      </c>
      <c r="E72" s="1659"/>
      <c r="F72" s="137">
        <f>G5-F70</f>
        <v>0</v>
      </c>
    </row>
    <row r="73" spans="1:10" ht="15.75" thickBot="1" x14ac:dyDescent="0.3">
      <c r="A73" s="121"/>
      <c r="D73" s="964" t="s">
        <v>4</v>
      </c>
      <c r="E73" s="965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6" t="s">
        <v>95</v>
      </c>
      <c r="B1" s="1656"/>
      <c r="C1" s="1656"/>
      <c r="D1" s="1656"/>
      <c r="E1" s="1656"/>
      <c r="F1" s="1656"/>
      <c r="G1" s="165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68"/>
      <c r="B5" s="169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68"/>
      <c r="B6" s="169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58" t="s">
        <v>21</v>
      </c>
      <c r="E32" s="165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8" t="s">
        <v>21</v>
      </c>
      <c r="E29" s="165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25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95" t="s">
        <v>314</v>
      </c>
      <c r="B1" s="1695"/>
      <c r="C1" s="1695"/>
      <c r="D1" s="1695"/>
      <c r="E1" s="1695"/>
      <c r="F1" s="1695"/>
      <c r="G1" s="1695"/>
      <c r="H1" s="254">
        <v>1</v>
      </c>
      <c r="I1" s="364"/>
      <c r="L1" s="1656" t="s">
        <v>346</v>
      </c>
      <c r="M1" s="1656"/>
      <c r="N1" s="1656"/>
      <c r="O1" s="1656"/>
      <c r="P1" s="1656"/>
      <c r="Q1" s="1656"/>
      <c r="R1" s="1656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2"/>
      <c r="H4" s="144"/>
      <c r="I4" s="369"/>
      <c r="L4" s="74"/>
      <c r="M4" s="502"/>
      <c r="N4" s="230"/>
      <c r="O4" s="130"/>
      <c r="P4" s="357"/>
      <c r="Q4" s="1425"/>
      <c r="R4" s="1426"/>
      <c r="S4" s="144"/>
      <c r="T4" s="369"/>
    </row>
    <row r="5" spans="1:21" ht="14.25" customHeight="1" x14ac:dyDescent="0.25">
      <c r="A5" s="1668" t="s">
        <v>97</v>
      </c>
      <c r="B5" s="169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68" t="s">
        <v>97</v>
      </c>
      <c r="M5" s="1694" t="s">
        <v>144</v>
      </c>
      <c r="N5" s="362">
        <v>350</v>
      </c>
      <c r="O5" s="130">
        <v>45131</v>
      </c>
      <c r="P5" s="85">
        <v>14400</v>
      </c>
      <c r="Q5" s="1425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68"/>
      <c r="B6" s="1694"/>
      <c r="C6" s="363"/>
      <c r="D6" s="130"/>
      <c r="E6" s="74"/>
      <c r="F6" s="72"/>
      <c r="G6" s="72"/>
      <c r="H6" s="74"/>
      <c r="I6" s="230"/>
      <c r="L6" s="1668"/>
      <c r="M6" s="1694"/>
      <c r="N6" s="363"/>
      <c r="O6" s="130"/>
      <c r="P6" s="74"/>
      <c r="Q6" s="1425"/>
      <c r="R6" s="1425"/>
      <c r="S6" s="74"/>
      <c r="T6" s="230"/>
    </row>
    <row r="7" spans="1:21" ht="15.75" thickBot="1" x14ac:dyDescent="0.3">
      <c r="A7" s="213"/>
      <c r="B7" s="1694"/>
      <c r="C7" s="363"/>
      <c r="D7" s="130"/>
      <c r="E7" s="74"/>
      <c r="F7" s="72"/>
      <c r="G7" s="72"/>
      <c r="H7" s="74"/>
      <c r="I7" s="230"/>
      <c r="L7" s="213"/>
      <c r="M7" s="1694"/>
      <c r="N7" s="363"/>
      <c r="O7" s="130"/>
      <c r="P7" s="74"/>
      <c r="Q7" s="1425"/>
      <c r="R7" s="1425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5" t="s">
        <v>57</v>
      </c>
      <c r="I8" s="986" t="s">
        <v>3</v>
      </c>
      <c r="J8" s="98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5" t="s">
        <v>57</v>
      </c>
      <c r="T8" s="986" t="s">
        <v>3</v>
      </c>
      <c r="U8" s="984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0">
        <v>45132</v>
      </c>
      <c r="Q9" s="562">
        <f>O9</f>
        <v>100</v>
      </c>
      <c r="R9" s="563" t="s">
        <v>684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2">
        <v>100</v>
      </c>
      <c r="D10" s="979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686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29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713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5">
        <f t="shared" si="0"/>
        <v>30</v>
      </c>
      <c r="E13" s="1056">
        <v>45058</v>
      </c>
      <c r="F13" s="1055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5">
        <f t="shared" si="0"/>
        <v>100</v>
      </c>
      <c r="E14" s="1056">
        <v>45059</v>
      </c>
      <c r="F14" s="1055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5">
        <f t="shared" si="0"/>
        <v>20</v>
      </c>
      <c r="E15" s="1056">
        <v>45059</v>
      </c>
      <c r="F15" s="1055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5">
        <f>10*C16</f>
        <v>50</v>
      </c>
      <c r="E16" s="1056">
        <v>45059</v>
      </c>
      <c r="F16" s="1055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5">
        <f t="shared" ref="D17:D68" si="10">10*C17</f>
        <v>100</v>
      </c>
      <c r="E17" s="1056">
        <v>45061</v>
      </c>
      <c r="F17" s="1055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5">
        <f t="shared" si="10"/>
        <v>500</v>
      </c>
      <c r="E18" s="1056">
        <v>45065</v>
      </c>
      <c r="F18" s="1055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7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7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7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7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58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3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58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3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58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3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58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3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58">
        <v>45082</v>
      </c>
      <c r="F27" s="707">
        <f t="shared" si="2"/>
        <v>100</v>
      </c>
      <c r="G27" s="709" t="s">
        <v>199</v>
      </c>
      <c r="H27" s="710">
        <v>48</v>
      </c>
      <c r="I27" s="929">
        <f t="shared" si="7"/>
        <v>2370</v>
      </c>
      <c r="J27" s="59">
        <f t="shared" si="3"/>
        <v>4800</v>
      </c>
      <c r="L27" s="973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58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2">
        <v>45084</v>
      </c>
      <c r="F29" s="705">
        <f t="shared" si="2"/>
        <v>300</v>
      </c>
      <c r="G29" s="803" t="s">
        <v>205</v>
      </c>
      <c r="H29" s="804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4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3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4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3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4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3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4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3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4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3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4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3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4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3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4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3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4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3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4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3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4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3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4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3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4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3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4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3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4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3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4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3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4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3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4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3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4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3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4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3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4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3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4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3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4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3">
        <v>45108</v>
      </c>
      <c r="F52" s="526">
        <f t="shared" si="2"/>
        <v>50</v>
      </c>
      <c r="G52" s="524" t="s">
        <v>297</v>
      </c>
      <c r="H52" s="358">
        <v>48</v>
      </c>
      <c r="I52" s="929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4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3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4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0">
        <f t="shared" si="10"/>
        <v>30</v>
      </c>
      <c r="E54" s="1271">
        <v>45110</v>
      </c>
      <c r="F54" s="1270">
        <f t="shared" si="2"/>
        <v>30</v>
      </c>
      <c r="G54" s="1272" t="s">
        <v>491</v>
      </c>
      <c r="H54" s="1273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32">
        <f t="shared" si="11"/>
        <v>0</v>
      </c>
      <c r="P54" s="1433"/>
      <c r="Q54" s="1432">
        <f t="shared" si="4"/>
        <v>0</v>
      </c>
      <c r="R54" s="1434"/>
      <c r="S54" s="1431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0">
        <f t="shared" si="10"/>
        <v>20</v>
      </c>
      <c r="E55" s="1271">
        <v>45110</v>
      </c>
      <c r="F55" s="1270">
        <f t="shared" si="2"/>
        <v>20</v>
      </c>
      <c r="G55" s="1272" t="s">
        <v>495</v>
      </c>
      <c r="H55" s="1273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32">
        <f t="shared" si="11"/>
        <v>0</v>
      </c>
      <c r="P55" s="1433"/>
      <c r="Q55" s="1432">
        <f t="shared" si="4"/>
        <v>0</v>
      </c>
      <c r="R55" s="1434"/>
      <c r="S55" s="1431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0">
        <f t="shared" si="10"/>
        <v>40</v>
      </c>
      <c r="E56" s="1271">
        <v>45114</v>
      </c>
      <c r="F56" s="1270">
        <f t="shared" si="2"/>
        <v>40</v>
      </c>
      <c r="G56" s="1272" t="s">
        <v>526</v>
      </c>
      <c r="H56" s="1273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32">
        <f t="shared" si="11"/>
        <v>0</v>
      </c>
      <c r="P56" s="1433"/>
      <c r="Q56" s="1432">
        <f t="shared" si="4"/>
        <v>0</v>
      </c>
      <c r="R56" s="1434"/>
      <c r="S56" s="1431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0">
        <f t="shared" si="10"/>
        <v>0</v>
      </c>
      <c r="E57" s="1271"/>
      <c r="F57" s="1270">
        <f t="shared" si="2"/>
        <v>0</v>
      </c>
      <c r="G57" s="1272"/>
      <c r="H57" s="1273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32">
        <f t="shared" si="11"/>
        <v>0</v>
      </c>
      <c r="P57" s="1433"/>
      <c r="Q57" s="1432">
        <f t="shared" si="4"/>
        <v>0</v>
      </c>
      <c r="R57" s="1434"/>
      <c r="S57" s="1431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0">
        <f t="shared" si="10"/>
        <v>0</v>
      </c>
      <c r="E58" s="1271"/>
      <c r="F58" s="1270">
        <f t="shared" si="2"/>
        <v>0</v>
      </c>
      <c r="G58" s="1272"/>
      <c r="H58" s="1273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32">
        <f t="shared" si="11"/>
        <v>0</v>
      </c>
      <c r="P58" s="1433"/>
      <c r="Q58" s="1432">
        <f t="shared" si="4"/>
        <v>0</v>
      </c>
      <c r="R58" s="1434"/>
      <c r="S58" s="1431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0">
        <f t="shared" si="10"/>
        <v>0</v>
      </c>
      <c r="E59" s="1271"/>
      <c r="F59" s="1270">
        <f t="shared" si="2"/>
        <v>0</v>
      </c>
      <c r="G59" s="1531"/>
      <c r="H59" s="1532"/>
      <c r="I59" s="1533">
        <f t="shared" si="12"/>
        <v>0</v>
      </c>
      <c r="J59" s="1490">
        <f t="shared" si="13"/>
        <v>0</v>
      </c>
      <c r="L59" s="594"/>
      <c r="M59" s="670">
        <f t="shared" si="8"/>
        <v>1375</v>
      </c>
      <c r="N59" s="624"/>
      <c r="O59" s="1432">
        <f t="shared" si="11"/>
        <v>0</v>
      </c>
      <c r="P59" s="1433"/>
      <c r="Q59" s="1432">
        <f t="shared" si="4"/>
        <v>0</v>
      </c>
      <c r="R59" s="1434"/>
      <c r="S59" s="1431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0">
        <f t="shared" si="10"/>
        <v>0</v>
      </c>
      <c r="E60" s="1271"/>
      <c r="F60" s="1270">
        <f t="shared" si="2"/>
        <v>0</v>
      </c>
      <c r="G60" s="1531"/>
      <c r="H60" s="1532"/>
      <c r="I60" s="1533">
        <f t="shared" si="12"/>
        <v>0</v>
      </c>
      <c r="J60" s="1490">
        <f t="shared" si="13"/>
        <v>0</v>
      </c>
      <c r="M60" s="174">
        <f t="shared" si="8"/>
        <v>1375</v>
      </c>
      <c r="N60" s="15"/>
      <c r="O60" s="1435">
        <f t="shared" si="11"/>
        <v>0</v>
      </c>
      <c r="P60" s="1436"/>
      <c r="Q60" s="1435">
        <f t="shared" si="4"/>
        <v>0</v>
      </c>
      <c r="R60" s="1437"/>
      <c r="S60" s="1273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0">
        <f t="shared" si="10"/>
        <v>0</v>
      </c>
      <c r="E61" s="1271"/>
      <c r="F61" s="1270">
        <f t="shared" si="2"/>
        <v>0</v>
      </c>
      <c r="G61" s="1531"/>
      <c r="H61" s="1532"/>
      <c r="I61" s="1533">
        <f t="shared" si="12"/>
        <v>0</v>
      </c>
      <c r="J61" s="1490">
        <f t="shared" si="13"/>
        <v>0</v>
      </c>
      <c r="M61" s="174">
        <f t="shared" si="8"/>
        <v>1375</v>
      </c>
      <c r="N61" s="15"/>
      <c r="O61" s="1435">
        <f t="shared" si="11"/>
        <v>0</v>
      </c>
      <c r="P61" s="1436"/>
      <c r="Q61" s="1435">
        <f t="shared" si="4"/>
        <v>0</v>
      </c>
      <c r="R61" s="1437"/>
      <c r="S61" s="1273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0">
        <f t="shared" si="10"/>
        <v>0</v>
      </c>
      <c r="E62" s="1271"/>
      <c r="F62" s="1270">
        <f t="shared" si="2"/>
        <v>0</v>
      </c>
      <c r="G62" s="1531"/>
      <c r="H62" s="1532"/>
      <c r="I62" s="1533">
        <f t="shared" si="12"/>
        <v>0</v>
      </c>
      <c r="J62" s="1490">
        <f t="shared" si="13"/>
        <v>0</v>
      </c>
      <c r="M62" s="174">
        <f t="shared" si="8"/>
        <v>1375</v>
      </c>
      <c r="N62" s="15"/>
      <c r="O62" s="1435">
        <f t="shared" si="11"/>
        <v>0</v>
      </c>
      <c r="P62" s="1436"/>
      <c r="Q62" s="1435">
        <f t="shared" si="4"/>
        <v>0</v>
      </c>
      <c r="R62" s="1437"/>
      <c r="S62" s="1273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0">
        <f t="shared" si="10"/>
        <v>0</v>
      </c>
      <c r="E63" s="1271"/>
      <c r="F63" s="1270">
        <f t="shared" si="2"/>
        <v>0</v>
      </c>
      <c r="G63" s="1272"/>
      <c r="H63" s="1273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35">
        <f t="shared" si="11"/>
        <v>0</v>
      </c>
      <c r="P63" s="1436"/>
      <c r="Q63" s="1435">
        <f t="shared" si="4"/>
        <v>0</v>
      </c>
      <c r="R63" s="1437"/>
      <c r="S63" s="1273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0">
        <f t="shared" si="10"/>
        <v>0</v>
      </c>
      <c r="E64" s="1271"/>
      <c r="F64" s="1270">
        <f t="shared" si="2"/>
        <v>0</v>
      </c>
      <c r="G64" s="1272"/>
      <c r="H64" s="1273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35">
        <f t="shared" si="11"/>
        <v>0</v>
      </c>
      <c r="P64" s="1436"/>
      <c r="Q64" s="1435">
        <f t="shared" si="4"/>
        <v>0</v>
      </c>
      <c r="R64" s="1437"/>
      <c r="S64" s="1273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0">
        <f t="shared" si="10"/>
        <v>0</v>
      </c>
      <c r="E65" s="1271"/>
      <c r="F65" s="1270">
        <f t="shared" si="2"/>
        <v>0</v>
      </c>
      <c r="G65" s="1272"/>
      <c r="H65" s="1273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35">
        <f t="shared" si="11"/>
        <v>0</v>
      </c>
      <c r="P65" s="1436"/>
      <c r="Q65" s="1435">
        <f t="shared" si="4"/>
        <v>0</v>
      </c>
      <c r="R65" s="1437"/>
      <c r="S65" s="1273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0">
        <f t="shared" si="10"/>
        <v>0</v>
      </c>
      <c r="E66" s="1271"/>
      <c r="F66" s="1270">
        <f t="shared" si="2"/>
        <v>0</v>
      </c>
      <c r="G66" s="1272"/>
      <c r="H66" s="1273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35">
        <f t="shared" si="11"/>
        <v>0</v>
      </c>
      <c r="P66" s="1436"/>
      <c r="Q66" s="1435">
        <f t="shared" si="4"/>
        <v>0</v>
      </c>
      <c r="R66" s="1437"/>
      <c r="S66" s="1273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4">
        <f t="shared" si="10"/>
        <v>0</v>
      </c>
      <c r="E67" s="1275"/>
      <c r="F67" s="1274">
        <f t="shared" si="2"/>
        <v>0</v>
      </c>
      <c r="G67" s="1276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4">
        <f t="shared" si="10"/>
        <v>0</v>
      </c>
      <c r="E68" s="1275"/>
      <c r="F68" s="1274">
        <f t="shared" si="2"/>
        <v>0</v>
      </c>
      <c r="G68" s="1276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3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3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3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3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3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3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0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0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25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58" t="s">
        <v>21</v>
      </c>
      <c r="E78" s="1659"/>
      <c r="F78" s="137">
        <f>G5-F76</f>
        <v>0</v>
      </c>
      <c r="M78" s="176"/>
      <c r="O78" s="1658" t="s">
        <v>21</v>
      </c>
      <c r="P78" s="1659"/>
      <c r="Q78" s="137">
        <f>R5-Q76</f>
        <v>0</v>
      </c>
    </row>
    <row r="79" spans="1:21" ht="15.75" thickBot="1" x14ac:dyDescent="0.3">
      <c r="A79" s="121"/>
      <c r="D79" s="980" t="s">
        <v>4</v>
      </c>
      <c r="E79" s="981"/>
      <c r="F79" s="49">
        <v>0</v>
      </c>
      <c r="L79" s="121"/>
      <c r="O79" s="1423" t="s">
        <v>4</v>
      </c>
      <c r="P79" s="1424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5" t="s">
        <v>315</v>
      </c>
      <c r="B1" s="1695"/>
      <c r="C1" s="1695"/>
      <c r="D1" s="1695"/>
      <c r="E1" s="1695"/>
      <c r="F1" s="1695"/>
      <c r="G1" s="169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96" t="s">
        <v>104</v>
      </c>
      <c r="C4" s="230"/>
      <c r="D4" s="130"/>
      <c r="E4" s="357">
        <v>30</v>
      </c>
      <c r="F4" s="72">
        <v>3</v>
      </c>
      <c r="G4" s="966"/>
      <c r="H4" s="144"/>
      <c r="I4" s="369"/>
    </row>
    <row r="5" spans="1:10" ht="14.25" customHeight="1" x14ac:dyDescent="0.25">
      <c r="A5" s="1668" t="s">
        <v>97</v>
      </c>
      <c r="B5" s="169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68"/>
      <c r="B6" s="169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2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29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1">
        <f t="shared" si="3"/>
        <v>50</v>
      </c>
      <c r="E19" s="1053">
        <v>45059</v>
      </c>
      <c r="F19" s="705">
        <f t="shared" si="0"/>
        <v>50</v>
      </c>
      <c r="G19" s="803" t="s">
        <v>163</v>
      </c>
      <c r="H19" s="804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1">
        <f t="shared" si="3"/>
        <v>50</v>
      </c>
      <c r="E20" s="1053">
        <v>45061</v>
      </c>
      <c r="F20" s="705">
        <f t="shared" si="0"/>
        <v>50</v>
      </c>
      <c r="G20" s="803" t="s">
        <v>164</v>
      </c>
      <c r="H20" s="804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1">
        <f t="shared" si="3"/>
        <v>50</v>
      </c>
      <c r="E21" s="1053">
        <v>45073</v>
      </c>
      <c r="F21" s="705">
        <f t="shared" si="0"/>
        <v>50</v>
      </c>
      <c r="G21" s="803" t="s">
        <v>182</v>
      </c>
      <c r="H21" s="804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1">
        <f t="shared" si="3"/>
        <v>50</v>
      </c>
      <c r="E22" s="1053">
        <v>45075</v>
      </c>
      <c r="F22" s="705">
        <f t="shared" si="0"/>
        <v>50</v>
      </c>
      <c r="G22" s="803" t="s">
        <v>176</v>
      </c>
      <c r="H22" s="804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3"/>
      <c r="B23" s="628">
        <f t="shared" si="2"/>
        <v>329</v>
      </c>
      <c r="C23" s="576">
        <v>3</v>
      </c>
      <c r="D23" s="801">
        <f t="shared" si="3"/>
        <v>30</v>
      </c>
      <c r="E23" s="1047">
        <v>45082</v>
      </c>
      <c r="F23" s="705">
        <f t="shared" si="0"/>
        <v>30</v>
      </c>
      <c r="G23" s="803" t="s">
        <v>196</v>
      </c>
      <c r="H23" s="804">
        <v>52</v>
      </c>
      <c r="I23" s="929">
        <f t="shared" si="4"/>
        <v>3290</v>
      </c>
      <c r="J23" s="595">
        <f t="shared" si="1"/>
        <v>1560</v>
      </c>
    </row>
    <row r="24" spans="1:10" s="594" customFormat="1" x14ac:dyDescent="0.25">
      <c r="A24" s="973"/>
      <c r="B24" s="670">
        <f t="shared" si="2"/>
        <v>329</v>
      </c>
      <c r="C24" s="576"/>
      <c r="D24" s="801">
        <f t="shared" si="3"/>
        <v>0</v>
      </c>
      <c r="E24" s="1047"/>
      <c r="F24" s="705">
        <f t="shared" si="0"/>
        <v>0</v>
      </c>
      <c r="G24" s="803"/>
      <c r="H24" s="804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3"/>
      <c r="B25" s="670">
        <f t="shared" si="2"/>
        <v>321</v>
      </c>
      <c r="C25" s="576">
        <v>8</v>
      </c>
      <c r="D25" s="482">
        <f t="shared" si="3"/>
        <v>80</v>
      </c>
      <c r="E25" s="969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3"/>
      <c r="B26" s="670">
        <f t="shared" si="2"/>
        <v>319</v>
      </c>
      <c r="C26" s="576">
        <v>2</v>
      </c>
      <c r="D26" s="482">
        <f t="shared" si="3"/>
        <v>20</v>
      </c>
      <c r="E26" s="969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3"/>
      <c r="B27" s="670">
        <f t="shared" si="2"/>
        <v>317</v>
      </c>
      <c r="C27" s="576">
        <v>2</v>
      </c>
      <c r="D27" s="482">
        <f t="shared" si="3"/>
        <v>20</v>
      </c>
      <c r="E27" s="969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3"/>
      <c r="B28" s="628">
        <f t="shared" si="2"/>
        <v>312</v>
      </c>
      <c r="C28" s="576">
        <v>5</v>
      </c>
      <c r="D28" s="482">
        <f t="shared" si="3"/>
        <v>50</v>
      </c>
      <c r="E28" s="969">
        <v>45108</v>
      </c>
      <c r="F28" s="707">
        <f t="shared" si="0"/>
        <v>50</v>
      </c>
      <c r="G28" s="709" t="s">
        <v>297</v>
      </c>
      <c r="H28" s="710">
        <v>52</v>
      </c>
      <c r="I28" s="929">
        <f t="shared" si="4"/>
        <v>3120</v>
      </c>
      <c r="J28" s="595">
        <f t="shared" si="1"/>
        <v>2600</v>
      </c>
    </row>
    <row r="29" spans="1:10" s="594" customFormat="1" x14ac:dyDescent="0.25">
      <c r="A29" s="973"/>
      <c r="B29" s="670">
        <f t="shared" si="2"/>
        <v>312</v>
      </c>
      <c r="C29" s="576"/>
      <c r="D29" s="482">
        <f t="shared" si="3"/>
        <v>0</v>
      </c>
      <c r="E29" s="969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3"/>
      <c r="B30" s="670">
        <f t="shared" si="2"/>
        <v>309</v>
      </c>
      <c r="C30" s="576">
        <v>3</v>
      </c>
      <c r="D30" s="1277">
        <f t="shared" si="3"/>
        <v>30</v>
      </c>
      <c r="E30" s="1278">
        <v>45110</v>
      </c>
      <c r="F30" s="706">
        <f t="shared" si="0"/>
        <v>30</v>
      </c>
      <c r="G30" s="751" t="s">
        <v>497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3"/>
      <c r="B31" s="670">
        <f t="shared" si="2"/>
        <v>307</v>
      </c>
      <c r="C31" s="576">
        <v>2</v>
      </c>
      <c r="D31" s="1277">
        <f t="shared" si="3"/>
        <v>20</v>
      </c>
      <c r="E31" s="1278">
        <v>45115</v>
      </c>
      <c r="F31" s="706">
        <f t="shared" si="0"/>
        <v>20</v>
      </c>
      <c r="G31" s="751" t="s">
        <v>544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3"/>
      <c r="B32" s="670">
        <f t="shared" si="2"/>
        <v>305</v>
      </c>
      <c r="C32" s="576">
        <v>2</v>
      </c>
      <c r="D32" s="1277">
        <f t="shared" si="3"/>
        <v>20</v>
      </c>
      <c r="E32" s="1278">
        <v>45118</v>
      </c>
      <c r="F32" s="706">
        <f t="shared" si="0"/>
        <v>20</v>
      </c>
      <c r="G32" s="751" t="s">
        <v>563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3"/>
      <c r="B33" s="670">
        <f t="shared" si="2"/>
        <v>305</v>
      </c>
      <c r="C33" s="576"/>
      <c r="D33" s="1277">
        <f t="shared" si="3"/>
        <v>0</v>
      </c>
      <c r="E33" s="1278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3"/>
      <c r="B34" s="670">
        <f t="shared" si="2"/>
        <v>303</v>
      </c>
      <c r="C34" s="576">
        <v>2</v>
      </c>
      <c r="D34" s="1277">
        <f t="shared" si="3"/>
        <v>20</v>
      </c>
      <c r="E34" s="1278">
        <v>45129</v>
      </c>
      <c r="F34" s="706">
        <f t="shared" si="0"/>
        <v>20</v>
      </c>
      <c r="G34" s="751" t="s">
        <v>671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3"/>
      <c r="B35" s="670">
        <f t="shared" si="2"/>
        <v>300</v>
      </c>
      <c r="C35" s="576">
        <v>3</v>
      </c>
      <c r="D35" s="1277">
        <f t="shared" si="3"/>
        <v>30</v>
      </c>
      <c r="E35" s="1278">
        <v>45132</v>
      </c>
      <c r="F35" s="706">
        <f t="shared" si="0"/>
        <v>30</v>
      </c>
      <c r="G35" s="751" t="s">
        <v>685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3"/>
      <c r="B36" s="670">
        <f t="shared" si="2"/>
        <v>290</v>
      </c>
      <c r="C36" s="576">
        <v>10</v>
      </c>
      <c r="D36" s="1277">
        <f t="shared" si="3"/>
        <v>100</v>
      </c>
      <c r="E36" s="1278">
        <v>45134</v>
      </c>
      <c r="F36" s="706">
        <f t="shared" si="0"/>
        <v>100</v>
      </c>
      <c r="G36" s="751" t="s">
        <v>708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3"/>
      <c r="B37" s="670">
        <f t="shared" si="2"/>
        <v>280</v>
      </c>
      <c r="C37" s="576">
        <v>10</v>
      </c>
      <c r="D37" s="1277">
        <f t="shared" si="3"/>
        <v>100</v>
      </c>
      <c r="E37" s="1278">
        <v>45135</v>
      </c>
      <c r="F37" s="706">
        <f t="shared" si="0"/>
        <v>100</v>
      </c>
      <c r="G37" s="751" t="s">
        <v>717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3"/>
      <c r="B38" s="670">
        <f t="shared" si="2"/>
        <v>280</v>
      </c>
      <c r="C38" s="576"/>
      <c r="D38" s="1277">
        <f t="shared" si="3"/>
        <v>0</v>
      </c>
      <c r="E38" s="1278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3"/>
      <c r="B39" s="670">
        <f t="shared" si="2"/>
        <v>280</v>
      </c>
      <c r="C39" s="576"/>
      <c r="D39" s="1277">
        <f t="shared" si="3"/>
        <v>0</v>
      </c>
      <c r="E39" s="1278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3"/>
      <c r="B40" s="670">
        <f t="shared" si="2"/>
        <v>280</v>
      </c>
      <c r="C40" s="576"/>
      <c r="D40" s="1277">
        <f t="shared" si="3"/>
        <v>0</v>
      </c>
      <c r="E40" s="1278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3"/>
      <c r="B41" s="670">
        <f t="shared" si="2"/>
        <v>280</v>
      </c>
      <c r="C41" s="576"/>
      <c r="D41" s="1277">
        <f t="shared" si="3"/>
        <v>0</v>
      </c>
      <c r="E41" s="1278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3"/>
      <c r="B42" s="670">
        <f t="shared" si="2"/>
        <v>280</v>
      </c>
      <c r="C42" s="576"/>
      <c r="D42" s="1277">
        <f t="shared" si="3"/>
        <v>0</v>
      </c>
      <c r="E42" s="1278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3"/>
      <c r="B43" s="670">
        <f t="shared" si="2"/>
        <v>280</v>
      </c>
      <c r="C43" s="576"/>
      <c r="D43" s="1277">
        <f t="shared" si="3"/>
        <v>0</v>
      </c>
      <c r="E43" s="1278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3"/>
      <c r="B44" s="670">
        <f t="shared" si="2"/>
        <v>280</v>
      </c>
      <c r="C44" s="576"/>
      <c r="D44" s="1277">
        <f t="shared" si="3"/>
        <v>0</v>
      </c>
      <c r="E44" s="1278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3"/>
      <c r="B45" s="670">
        <f t="shared" si="2"/>
        <v>280</v>
      </c>
      <c r="C45" s="576"/>
      <c r="D45" s="1277">
        <f t="shared" si="3"/>
        <v>0</v>
      </c>
      <c r="E45" s="1278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3"/>
      <c r="B46" s="670">
        <f t="shared" si="2"/>
        <v>280</v>
      </c>
      <c r="C46" s="624"/>
      <c r="D46" s="1277">
        <f t="shared" si="3"/>
        <v>0</v>
      </c>
      <c r="E46" s="1278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7">
        <f t="shared" si="3"/>
        <v>0</v>
      </c>
      <c r="E47" s="1279"/>
      <c r="F47" s="1274">
        <f t="shared" si="0"/>
        <v>0</v>
      </c>
      <c r="G47" s="1276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7">
        <f t="shared" si="3"/>
        <v>0</v>
      </c>
      <c r="E48" s="1279"/>
      <c r="F48" s="1274">
        <f t="shared" si="0"/>
        <v>0</v>
      </c>
      <c r="G48" s="1276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3">
        <f t="shared" si="3"/>
        <v>0</v>
      </c>
      <c r="E49" s="1280"/>
      <c r="F49" s="1284">
        <f t="shared" si="0"/>
        <v>0</v>
      </c>
      <c r="G49" s="1281"/>
      <c r="H49" s="1282"/>
      <c r="I49" s="83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58" t="s">
        <v>21</v>
      </c>
      <c r="E52" s="1659"/>
      <c r="F52" s="137">
        <f>G5-F50</f>
        <v>0</v>
      </c>
    </row>
    <row r="53" spans="1:10" ht="15.75" thickBot="1" x14ac:dyDescent="0.3">
      <c r="A53" s="121"/>
      <c r="D53" s="964" t="s">
        <v>4</v>
      </c>
      <c r="E53" s="965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69" t="s">
        <v>346</v>
      </c>
      <c r="B1" s="1669"/>
      <c r="C1" s="1669"/>
      <c r="D1" s="1669"/>
      <c r="E1" s="1669"/>
      <c r="F1" s="1669"/>
      <c r="G1" s="166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99" t="s">
        <v>438</v>
      </c>
      <c r="B5" s="169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99"/>
      <c r="B6" s="169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9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662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2">
        <v>45128</v>
      </c>
      <c r="F10" s="599">
        <f>D10</f>
        <v>951.18</v>
      </c>
      <c r="G10" s="563" t="s">
        <v>662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3">
        <v>45134</v>
      </c>
      <c r="F11" s="599">
        <f t="shared" ref="F11:F29" si="1">D11</f>
        <v>917.61</v>
      </c>
      <c r="G11" s="563" t="s">
        <v>709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3">
        <v>45134</v>
      </c>
      <c r="F12" s="599">
        <f t="shared" si="1"/>
        <v>968.41</v>
      </c>
      <c r="G12" s="563" t="s">
        <v>709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3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4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20"/>
      <c r="I15" s="1501">
        <f t="shared" si="2"/>
        <v>0</v>
      </c>
      <c r="J15" s="1520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20"/>
      <c r="I16" s="1501">
        <f t="shared" si="2"/>
        <v>0</v>
      </c>
      <c r="J16" s="1520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20"/>
      <c r="I17" s="1501">
        <f t="shared" si="2"/>
        <v>0</v>
      </c>
      <c r="J17" s="1520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20"/>
      <c r="I18" s="1501">
        <f t="shared" si="2"/>
        <v>0</v>
      </c>
      <c r="J18" s="1520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58" t="s">
        <v>21</v>
      </c>
      <c r="E32" s="1659"/>
      <c r="F32" s="137">
        <f>E5-F30+E6+E7</f>
        <v>0</v>
      </c>
    </row>
    <row r="33" spans="1:6" ht="15.75" thickBot="1" x14ac:dyDescent="0.3">
      <c r="A33" s="121"/>
      <c r="D33" s="980" t="s">
        <v>4</v>
      </c>
      <c r="E33" s="981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64" t="s">
        <v>312</v>
      </c>
      <c r="B1" s="1664"/>
      <c r="C1" s="1664"/>
      <c r="D1" s="1664"/>
      <c r="E1" s="1664"/>
      <c r="F1" s="1664"/>
      <c r="G1" s="1664"/>
      <c r="H1" s="11">
        <v>1</v>
      </c>
      <c r="K1" s="1669" t="s">
        <v>337</v>
      </c>
      <c r="L1" s="1669"/>
      <c r="M1" s="1669"/>
      <c r="N1" s="1669"/>
      <c r="O1" s="1669"/>
      <c r="P1" s="1669"/>
      <c r="Q1" s="166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68" t="s">
        <v>98</v>
      </c>
      <c r="B5" s="1700" t="s">
        <v>99</v>
      </c>
      <c r="C5" s="890">
        <v>65</v>
      </c>
      <c r="D5" s="130">
        <v>45090</v>
      </c>
      <c r="E5" s="436">
        <v>1204.5</v>
      </c>
      <c r="F5" s="1137">
        <v>35</v>
      </c>
      <c r="G5" s="1138"/>
      <c r="K5" s="1668" t="s">
        <v>98</v>
      </c>
      <c r="L5" s="1700" t="s">
        <v>99</v>
      </c>
      <c r="M5" s="890">
        <v>63</v>
      </c>
      <c r="N5" s="130">
        <v>45112</v>
      </c>
      <c r="O5" s="436">
        <v>1178.1600000000001</v>
      </c>
      <c r="P5" s="1225">
        <v>35</v>
      </c>
      <c r="Q5" s="1227"/>
    </row>
    <row r="6" spans="1:20" ht="15.75" customHeight="1" x14ac:dyDescent="0.3">
      <c r="A6" s="1668"/>
      <c r="B6" s="1700"/>
      <c r="C6" s="890"/>
      <c r="D6" s="130"/>
      <c r="E6" s="876"/>
      <c r="F6" s="1137"/>
      <c r="G6" s="87">
        <f>F39</f>
        <v>1204.5</v>
      </c>
      <c r="H6" s="7">
        <f>E6-G6+E5+E7+E4</f>
        <v>0</v>
      </c>
      <c r="K6" s="1668"/>
      <c r="L6" s="1700"/>
      <c r="M6" s="890">
        <v>63</v>
      </c>
      <c r="N6" s="130">
        <v>45133</v>
      </c>
      <c r="O6" s="876">
        <v>666.16</v>
      </c>
      <c r="P6" s="1225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7"/>
      <c r="L7" s="171"/>
      <c r="M7" s="65"/>
      <c r="N7" s="130"/>
      <c r="O7" s="85"/>
      <c r="P7" s="1225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7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544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556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563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579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588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606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5"/>
      <c r="F15" s="1286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607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5"/>
      <c r="F16" s="1500">
        <v>338.07</v>
      </c>
      <c r="G16" s="1492"/>
      <c r="H16" s="1493"/>
      <c r="I16" s="1501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610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5"/>
      <c r="F17" s="1500">
        <f t="shared" si="0"/>
        <v>0</v>
      </c>
      <c r="G17" s="1492"/>
      <c r="H17" s="1493"/>
      <c r="I17" s="1501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617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5"/>
      <c r="F18" s="1500">
        <f t="shared" si="0"/>
        <v>0</v>
      </c>
      <c r="G18" s="1492"/>
      <c r="H18" s="1493"/>
      <c r="I18" s="1501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619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5"/>
      <c r="F19" s="1500">
        <f t="shared" si="0"/>
        <v>0</v>
      </c>
      <c r="G19" s="1492"/>
      <c r="H19" s="1493"/>
      <c r="I19" s="1501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637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5"/>
      <c r="F20" s="1286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643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5"/>
      <c r="F21" s="1286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670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5"/>
      <c r="F22" s="1286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680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5"/>
      <c r="F23" s="1286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5"/>
      <c r="F24" s="1286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5"/>
      <c r="F25" s="1286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5"/>
      <c r="F26" s="1286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5"/>
      <c r="F27" s="1286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5"/>
      <c r="F28" s="1286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5"/>
      <c r="F29" s="1286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5"/>
      <c r="F30" s="1286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5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5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5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5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5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5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5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5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5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5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5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2">
        <f t="shared" si="7"/>
        <v>0</v>
      </c>
      <c r="C38" s="37"/>
      <c r="D38" s="565">
        <v>0</v>
      </c>
      <c r="E38" s="1005"/>
      <c r="F38" s="596">
        <f t="shared" si="0"/>
        <v>0</v>
      </c>
      <c r="G38" s="727"/>
      <c r="H38" s="766"/>
      <c r="I38" s="560">
        <f t="shared" si="9"/>
        <v>0</v>
      </c>
      <c r="K38" s="117"/>
      <c r="L38" s="832">
        <f t="shared" si="8"/>
        <v>7</v>
      </c>
      <c r="M38" s="37"/>
      <c r="N38" s="565">
        <v>0</v>
      </c>
      <c r="O38" s="1005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7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5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58" t="s">
        <v>21</v>
      </c>
      <c r="E41" s="1659"/>
      <c r="F41" s="137">
        <f>E5+E6-F39+E7+E4</f>
        <v>0</v>
      </c>
      <c r="L41" s="5"/>
      <c r="N41" s="1658" t="s">
        <v>21</v>
      </c>
      <c r="O41" s="1659"/>
      <c r="P41" s="137">
        <f>O5+O6-P39+O7+O4</f>
        <v>343.61999999999995</v>
      </c>
    </row>
    <row r="42" spans="1:19" ht="15.75" thickBot="1" x14ac:dyDescent="0.3">
      <c r="A42" s="121"/>
      <c r="D42" s="1135" t="s">
        <v>4</v>
      </c>
      <c r="E42" s="1136"/>
      <c r="F42" s="49">
        <f>F5+F6-C39+F7+F4</f>
        <v>0</v>
      </c>
      <c r="K42" s="121"/>
      <c r="N42" s="1221" t="s">
        <v>4</v>
      </c>
      <c r="O42" s="1222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64" t="s">
        <v>309</v>
      </c>
      <c r="B1" s="1664"/>
      <c r="C1" s="1664"/>
      <c r="D1" s="1664"/>
      <c r="E1" s="1664"/>
      <c r="F1" s="1664"/>
      <c r="G1" s="166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7"/>
      <c r="C4" s="362"/>
      <c r="D4" s="130"/>
      <c r="E4" s="197"/>
      <c r="F4" s="61"/>
      <c r="G4" s="151"/>
      <c r="H4" s="151"/>
    </row>
    <row r="5" spans="1:13" ht="15" customHeight="1" x14ac:dyDescent="0.25">
      <c r="A5" s="1668" t="s">
        <v>98</v>
      </c>
      <c r="B5" s="1665"/>
      <c r="C5" s="362">
        <v>123</v>
      </c>
      <c r="D5" s="130">
        <v>45064</v>
      </c>
      <c r="E5" s="1008">
        <v>355.43</v>
      </c>
      <c r="F5" s="664">
        <v>15</v>
      </c>
      <c r="G5" s="798"/>
      <c r="H5" s="594"/>
      <c r="I5" s="753"/>
      <c r="J5" s="594"/>
      <c r="K5" s="594"/>
      <c r="L5" s="594"/>
      <c r="M5" s="594"/>
    </row>
    <row r="6" spans="1:13" x14ac:dyDescent="0.25">
      <c r="A6" s="1668"/>
      <c r="B6" s="1665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2">
        <v>22.82</v>
      </c>
      <c r="E12" s="1052">
        <v>45103</v>
      </c>
      <c r="F12" s="802">
        <f>D12</f>
        <v>22.82</v>
      </c>
      <c r="G12" s="803" t="s">
        <v>268</v>
      </c>
      <c r="H12" s="804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2"/>
      <c r="E13" s="1052"/>
      <c r="F13" s="802">
        <f t="shared" ref="F13:F73" si="3">D13</f>
        <v>0</v>
      </c>
      <c r="G13" s="803"/>
      <c r="H13" s="804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6">
        <v>104.31</v>
      </c>
      <c r="E14" s="1247">
        <v>45110</v>
      </c>
      <c r="F14" s="1246">
        <f t="shared" si="3"/>
        <v>104.31</v>
      </c>
      <c r="G14" s="1248" t="s">
        <v>497</v>
      </c>
      <c r="H14" s="1249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6">
        <v>43.84</v>
      </c>
      <c r="E15" s="1247">
        <v>45119</v>
      </c>
      <c r="F15" s="1246">
        <f t="shared" si="3"/>
        <v>43.84</v>
      </c>
      <c r="G15" s="1248" t="s">
        <v>581</v>
      </c>
      <c r="H15" s="1249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6"/>
      <c r="E16" s="1247"/>
      <c r="F16" s="1514">
        <f t="shared" si="3"/>
        <v>0</v>
      </c>
      <c r="G16" s="1515"/>
      <c r="H16" s="1516"/>
      <c r="I16" s="1494">
        <f t="shared" si="2"/>
        <v>0</v>
      </c>
    </row>
    <row r="17" spans="1:9" x14ac:dyDescent="0.25">
      <c r="B17" s="174">
        <f t="shared" si="1"/>
        <v>0</v>
      </c>
      <c r="C17" s="624"/>
      <c r="D17" s="1246"/>
      <c r="E17" s="1247"/>
      <c r="F17" s="1514">
        <f t="shared" si="3"/>
        <v>0</v>
      </c>
      <c r="G17" s="1515"/>
      <c r="H17" s="1516"/>
      <c r="I17" s="1494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6"/>
      <c r="E18" s="1247"/>
      <c r="F18" s="1514">
        <f t="shared" si="3"/>
        <v>0</v>
      </c>
      <c r="G18" s="1515"/>
      <c r="H18" s="1516"/>
      <c r="I18" s="1494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6"/>
      <c r="E19" s="1247"/>
      <c r="F19" s="1514">
        <f t="shared" si="3"/>
        <v>0</v>
      </c>
      <c r="G19" s="1515"/>
      <c r="H19" s="1516"/>
      <c r="I19" s="1494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6"/>
      <c r="E20" s="1247"/>
      <c r="F20" s="1514">
        <f t="shared" si="3"/>
        <v>0</v>
      </c>
      <c r="G20" s="1515"/>
      <c r="H20" s="1516"/>
      <c r="I20" s="1494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6"/>
      <c r="E21" s="1247"/>
      <c r="F21" s="1246">
        <f t="shared" si="3"/>
        <v>0</v>
      </c>
      <c r="G21" s="1248"/>
      <c r="H21" s="1249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6"/>
      <c r="E22" s="1247"/>
      <c r="F22" s="1246">
        <f t="shared" si="3"/>
        <v>0</v>
      </c>
      <c r="G22" s="1248"/>
      <c r="H22" s="1249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2"/>
      <c r="E23" s="1250"/>
      <c r="F23" s="1202">
        <f t="shared" si="3"/>
        <v>0</v>
      </c>
      <c r="G23" s="1204"/>
      <c r="H23" s="1205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72"/>
      <c r="B6" s="170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72"/>
      <c r="B7" s="170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58" t="s">
        <v>21</v>
      </c>
      <c r="E30" s="165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64" t="s">
        <v>316</v>
      </c>
      <c r="B1" s="1664"/>
      <c r="C1" s="1664"/>
      <c r="D1" s="1664"/>
      <c r="E1" s="1664"/>
      <c r="F1" s="1664"/>
      <c r="G1" s="16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68" t="s">
        <v>98</v>
      </c>
      <c r="B5" s="170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7"/>
    </row>
    <row r="6" spans="1:9" x14ac:dyDescent="0.25">
      <c r="A6" s="1668"/>
      <c r="B6" s="1703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497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721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7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2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8" t="s">
        <v>21</v>
      </c>
      <c r="E29" s="1659"/>
      <c r="F29" s="137">
        <f>E5+E6-F27+E7+E4</f>
        <v>88.669999999999959</v>
      </c>
    </row>
    <row r="30" spans="1:9" ht="15.75" thickBot="1" x14ac:dyDescent="0.3">
      <c r="A30" s="121"/>
      <c r="D30" s="855" t="s">
        <v>4</v>
      </c>
      <c r="E30" s="856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04" t="s">
        <v>317</v>
      </c>
      <c r="B1" s="1704"/>
      <c r="C1" s="1704"/>
      <c r="D1" s="1704"/>
      <c r="E1" s="1704"/>
      <c r="F1" s="1704"/>
      <c r="G1" s="1704"/>
      <c r="H1" s="1704"/>
      <c r="I1" s="1704"/>
      <c r="J1" s="1704"/>
      <c r="K1" s="437">
        <v>1</v>
      </c>
      <c r="M1" s="1707" t="s">
        <v>439</v>
      </c>
      <c r="N1" s="1707"/>
      <c r="O1" s="1707"/>
      <c r="P1" s="1707"/>
      <c r="Q1" s="1707"/>
      <c r="R1" s="1707"/>
      <c r="S1" s="1707"/>
      <c r="T1" s="1707"/>
      <c r="U1" s="1707"/>
      <c r="V1" s="1707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70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705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706"/>
      <c r="B6" s="552" t="s">
        <v>87</v>
      </c>
      <c r="C6" s="663"/>
      <c r="D6" s="580"/>
      <c r="E6" s="644">
        <v>-0.12</v>
      </c>
      <c r="F6" s="664"/>
      <c r="M6" s="170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5" t="s">
        <v>58</v>
      </c>
      <c r="J8" s="1045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22" t="s">
        <v>58</v>
      </c>
      <c r="V8" s="1422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1">
        <f>E5-F9+E4+E6+E7</f>
        <v>18743.480000000003</v>
      </c>
      <c r="J9" s="932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28">
        <f>Q5-R9+Q4+Q6+Q7</f>
        <v>18468.600000000002</v>
      </c>
      <c r="V9" s="1429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2">
        <f t="shared" si="0"/>
        <v>653.28</v>
      </c>
      <c r="E10" s="1203">
        <v>45101</v>
      </c>
      <c r="F10" s="1202">
        <f t="shared" si="1"/>
        <v>653.28</v>
      </c>
      <c r="G10" s="1204" t="s">
        <v>258</v>
      </c>
      <c r="H10" s="1205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707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3">
        <f t="shared" si="0"/>
        <v>54.44</v>
      </c>
      <c r="E11" s="1192">
        <v>45101</v>
      </c>
      <c r="F11" s="1193">
        <f t="shared" si="1"/>
        <v>54.44</v>
      </c>
      <c r="G11" s="1194" t="s">
        <v>259</v>
      </c>
      <c r="H11" s="1195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705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09">
        <f t="shared" si="0"/>
        <v>81.66</v>
      </c>
      <c r="E12" s="1210">
        <v>45103</v>
      </c>
      <c r="F12" s="1193">
        <f t="shared" si="1"/>
        <v>81.66</v>
      </c>
      <c r="G12" s="1194" t="s">
        <v>266</v>
      </c>
      <c r="H12" s="1189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713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09">
        <f t="shared" si="0"/>
        <v>653.28</v>
      </c>
      <c r="E13" s="1210">
        <v>45103</v>
      </c>
      <c r="F13" s="1193">
        <f t="shared" si="1"/>
        <v>653.28</v>
      </c>
      <c r="G13" s="1194" t="s">
        <v>268</v>
      </c>
      <c r="H13" s="1189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716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09">
        <f t="shared" si="0"/>
        <v>27.22</v>
      </c>
      <c r="E14" s="1210">
        <v>45104</v>
      </c>
      <c r="F14" s="1193">
        <f t="shared" si="1"/>
        <v>27.22</v>
      </c>
      <c r="G14" s="1194" t="s">
        <v>272</v>
      </c>
      <c r="H14" s="1189">
        <v>77</v>
      </c>
      <c r="I14" s="759">
        <f t="shared" si="6"/>
        <v>17273.600000000006</v>
      </c>
      <c r="J14" s="760">
        <f t="shared" si="10"/>
        <v>635</v>
      </c>
      <c r="K14" s="851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717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1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09">
        <f t="shared" si="0"/>
        <v>27.22</v>
      </c>
      <c r="E15" s="1210">
        <v>45104</v>
      </c>
      <c r="F15" s="1193">
        <f t="shared" si="1"/>
        <v>27.22</v>
      </c>
      <c r="G15" s="1194" t="s">
        <v>272</v>
      </c>
      <c r="H15" s="1189">
        <v>77</v>
      </c>
      <c r="I15" s="759">
        <f t="shared" si="6"/>
        <v>17246.380000000005</v>
      </c>
      <c r="J15" s="760">
        <f t="shared" si="10"/>
        <v>634</v>
      </c>
      <c r="K15" s="851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725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1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09">
        <f t="shared" si="0"/>
        <v>27.22</v>
      </c>
      <c r="E16" s="1210">
        <v>45104</v>
      </c>
      <c r="F16" s="1193">
        <f t="shared" si="1"/>
        <v>27.22</v>
      </c>
      <c r="G16" s="1194" t="s">
        <v>276</v>
      </c>
      <c r="H16" s="1189">
        <v>77</v>
      </c>
      <c r="I16" s="759">
        <f t="shared" si="6"/>
        <v>17219.160000000003</v>
      </c>
      <c r="J16" s="760">
        <f t="shared" si="10"/>
        <v>633</v>
      </c>
      <c r="K16" s="851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727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1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09">
        <f t="shared" si="0"/>
        <v>27.22</v>
      </c>
      <c r="E17" s="1210">
        <v>45104</v>
      </c>
      <c r="F17" s="1193">
        <f t="shared" si="1"/>
        <v>27.22</v>
      </c>
      <c r="G17" s="1194" t="s">
        <v>277</v>
      </c>
      <c r="H17" s="1189">
        <v>77</v>
      </c>
      <c r="I17" s="759">
        <f t="shared" si="6"/>
        <v>17191.940000000002</v>
      </c>
      <c r="J17" s="760">
        <f t="shared" si="10"/>
        <v>632</v>
      </c>
      <c r="K17" s="851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731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1">
        <f t="shared" si="5"/>
        <v>2150.38</v>
      </c>
    </row>
    <row r="18" spans="1:23" x14ac:dyDescent="0.25">
      <c r="B18">
        <v>27.22</v>
      </c>
      <c r="C18" s="15">
        <v>2</v>
      </c>
      <c r="D18" s="1209">
        <f t="shared" si="0"/>
        <v>54.44</v>
      </c>
      <c r="E18" s="1210">
        <v>45105</v>
      </c>
      <c r="F18" s="1193">
        <f t="shared" si="1"/>
        <v>54.44</v>
      </c>
      <c r="G18" s="1194" t="s">
        <v>280</v>
      </c>
      <c r="H18" s="1189">
        <v>77</v>
      </c>
      <c r="I18" s="759">
        <f t="shared" si="6"/>
        <v>17137.500000000004</v>
      </c>
      <c r="J18" s="760">
        <f t="shared" si="10"/>
        <v>630</v>
      </c>
      <c r="K18" s="851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1">
        <f t="shared" si="5"/>
        <v>0</v>
      </c>
    </row>
    <row r="19" spans="1:23" x14ac:dyDescent="0.25">
      <c r="B19">
        <v>27.22</v>
      </c>
      <c r="C19" s="15">
        <v>6</v>
      </c>
      <c r="D19" s="1209">
        <f t="shared" si="0"/>
        <v>163.32</v>
      </c>
      <c r="E19" s="1210">
        <v>45105</v>
      </c>
      <c r="F19" s="1193">
        <f t="shared" si="1"/>
        <v>163.32</v>
      </c>
      <c r="G19" s="1194" t="s">
        <v>282</v>
      </c>
      <c r="H19" s="1189">
        <v>77</v>
      </c>
      <c r="I19" s="759">
        <f t="shared" si="6"/>
        <v>16974.180000000004</v>
      </c>
      <c r="J19" s="760">
        <f t="shared" si="10"/>
        <v>624</v>
      </c>
      <c r="K19" s="851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1">
        <f t="shared" si="5"/>
        <v>0</v>
      </c>
    </row>
    <row r="20" spans="1:23" x14ac:dyDescent="0.25">
      <c r="B20">
        <v>27.22</v>
      </c>
      <c r="C20" s="15">
        <v>4</v>
      </c>
      <c r="D20" s="1209">
        <f t="shared" si="0"/>
        <v>108.88</v>
      </c>
      <c r="E20" s="1210">
        <v>45105</v>
      </c>
      <c r="F20" s="1193">
        <f t="shared" si="1"/>
        <v>108.88</v>
      </c>
      <c r="G20" s="1194" t="s">
        <v>284</v>
      </c>
      <c r="H20" s="1195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09">
        <f t="shared" si="0"/>
        <v>653.28</v>
      </c>
      <c r="E21" s="1210">
        <v>45105</v>
      </c>
      <c r="F21" s="1193">
        <f t="shared" si="1"/>
        <v>653.28</v>
      </c>
      <c r="G21" s="1194" t="s">
        <v>287</v>
      </c>
      <c r="H21" s="1195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09">
        <f t="shared" si="0"/>
        <v>54.44</v>
      </c>
      <c r="E22" s="1210">
        <v>45107</v>
      </c>
      <c r="F22" s="1193">
        <f t="shared" si="1"/>
        <v>54.44</v>
      </c>
      <c r="G22" s="1194" t="s">
        <v>291</v>
      </c>
      <c r="H22" s="1195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09">
        <f t="shared" si="0"/>
        <v>81.66</v>
      </c>
      <c r="E23" s="1210">
        <v>45107</v>
      </c>
      <c r="F23" s="1193">
        <f t="shared" si="1"/>
        <v>81.66</v>
      </c>
      <c r="G23" s="1194" t="s">
        <v>292</v>
      </c>
      <c r="H23" s="1195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09">
        <f t="shared" si="0"/>
        <v>653.28</v>
      </c>
      <c r="E24" s="1210">
        <v>45107</v>
      </c>
      <c r="F24" s="1193">
        <f t="shared" si="1"/>
        <v>653.28</v>
      </c>
      <c r="G24" s="1194" t="s">
        <v>294</v>
      </c>
      <c r="H24" s="1195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09">
        <f t="shared" si="0"/>
        <v>272.2</v>
      </c>
      <c r="E25" s="1210">
        <v>45107</v>
      </c>
      <c r="F25" s="1193">
        <f t="shared" si="1"/>
        <v>272.2</v>
      </c>
      <c r="G25" s="1194" t="s">
        <v>295</v>
      </c>
      <c r="H25" s="1195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09">
        <f t="shared" si="0"/>
        <v>272.2</v>
      </c>
      <c r="E26" s="1210">
        <v>45107</v>
      </c>
      <c r="F26" s="1193">
        <f t="shared" si="1"/>
        <v>272.2</v>
      </c>
      <c r="G26" s="1194" t="s">
        <v>296</v>
      </c>
      <c r="H26" s="1195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09">
        <f t="shared" si="0"/>
        <v>108.88</v>
      </c>
      <c r="E27" s="1210">
        <v>45108</v>
      </c>
      <c r="F27" s="1193">
        <f t="shared" si="1"/>
        <v>108.88</v>
      </c>
      <c r="G27" s="1194" t="s">
        <v>297</v>
      </c>
      <c r="H27" s="1195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09">
        <f t="shared" si="0"/>
        <v>136.1</v>
      </c>
      <c r="E28" s="1210">
        <v>45108</v>
      </c>
      <c r="F28" s="1193">
        <f t="shared" si="1"/>
        <v>136.1</v>
      </c>
      <c r="G28" s="1194" t="s">
        <v>298</v>
      </c>
      <c r="H28" s="1195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09">
        <f t="shared" si="0"/>
        <v>54.44</v>
      </c>
      <c r="E29" s="1210">
        <v>45108</v>
      </c>
      <c r="F29" s="1193">
        <f t="shared" si="1"/>
        <v>54.44</v>
      </c>
      <c r="G29" s="1194" t="s">
        <v>301</v>
      </c>
      <c r="H29" s="1195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09">
        <f t="shared" si="0"/>
        <v>653.28</v>
      </c>
      <c r="E30" s="1210">
        <v>45108</v>
      </c>
      <c r="F30" s="1193">
        <f t="shared" si="1"/>
        <v>653.28</v>
      </c>
      <c r="G30" s="1194" t="s">
        <v>302</v>
      </c>
      <c r="H30" s="1195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09">
        <f t="shared" si="0"/>
        <v>0</v>
      </c>
      <c r="E31" s="1210"/>
      <c r="F31" s="1193">
        <f t="shared" si="1"/>
        <v>0</v>
      </c>
      <c r="G31" s="1194"/>
      <c r="H31" s="1195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75">
        <f t="shared" si="0"/>
        <v>81.66</v>
      </c>
      <c r="E32" s="1476">
        <v>45110</v>
      </c>
      <c r="F32" s="935">
        <f t="shared" si="1"/>
        <v>81.66</v>
      </c>
      <c r="G32" s="494" t="s">
        <v>492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75">
        <f t="shared" si="0"/>
        <v>81.66</v>
      </c>
      <c r="E33" s="1476">
        <v>45110</v>
      </c>
      <c r="F33" s="935">
        <f t="shared" si="1"/>
        <v>81.66</v>
      </c>
      <c r="G33" s="494" t="s">
        <v>492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75">
        <f t="shared" si="0"/>
        <v>653.28</v>
      </c>
      <c r="E34" s="1476">
        <v>45111</v>
      </c>
      <c r="F34" s="935">
        <f t="shared" si="1"/>
        <v>653.28</v>
      </c>
      <c r="G34" s="494" t="s">
        <v>499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75">
        <f t="shared" si="0"/>
        <v>108.88</v>
      </c>
      <c r="E35" s="1476">
        <v>45111</v>
      </c>
      <c r="F35" s="935">
        <f t="shared" si="1"/>
        <v>108.88</v>
      </c>
      <c r="G35" s="494" t="s">
        <v>500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75">
        <f t="shared" si="0"/>
        <v>272.2</v>
      </c>
      <c r="E36" s="1476">
        <v>45111</v>
      </c>
      <c r="F36" s="935">
        <f t="shared" si="1"/>
        <v>272.2</v>
      </c>
      <c r="G36" s="494" t="s">
        <v>512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5">
        <f t="shared" si="0"/>
        <v>27.22</v>
      </c>
      <c r="E37" s="1477">
        <v>45112</v>
      </c>
      <c r="F37" s="935">
        <f t="shared" si="1"/>
        <v>27.22</v>
      </c>
      <c r="G37" s="494" t="s">
        <v>513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5">
        <f t="shared" si="0"/>
        <v>136.1</v>
      </c>
      <c r="E38" s="1477">
        <v>45112</v>
      </c>
      <c r="F38" s="935">
        <f t="shared" si="1"/>
        <v>136.1</v>
      </c>
      <c r="G38" s="494" t="s">
        <v>515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5">
        <f t="shared" si="0"/>
        <v>653.28</v>
      </c>
      <c r="E39" s="1477">
        <v>45113</v>
      </c>
      <c r="F39" s="935">
        <f t="shared" si="1"/>
        <v>653.28</v>
      </c>
      <c r="G39" s="494" t="s">
        <v>518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5">
        <f t="shared" si="0"/>
        <v>27.22</v>
      </c>
      <c r="E40" s="1477">
        <v>45113</v>
      </c>
      <c r="F40" s="935">
        <f t="shared" si="1"/>
        <v>27.22</v>
      </c>
      <c r="G40" s="494" t="s">
        <v>519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5">
        <f t="shared" si="0"/>
        <v>653.28</v>
      </c>
      <c r="E41" s="1477">
        <v>45114</v>
      </c>
      <c r="F41" s="935">
        <f t="shared" si="1"/>
        <v>653.28</v>
      </c>
      <c r="G41" s="494" t="s">
        <v>525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5">
        <f t="shared" si="0"/>
        <v>81.66</v>
      </c>
      <c r="E42" s="1477">
        <v>45114</v>
      </c>
      <c r="F42" s="935">
        <f t="shared" si="1"/>
        <v>81.66</v>
      </c>
      <c r="G42" s="494" t="s">
        <v>527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5">
        <f t="shared" si="0"/>
        <v>272.2</v>
      </c>
      <c r="E43" s="1477">
        <v>45114</v>
      </c>
      <c r="F43" s="935">
        <f t="shared" si="1"/>
        <v>272.2</v>
      </c>
      <c r="G43" s="494" t="s">
        <v>535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5">
        <f t="shared" si="0"/>
        <v>54.44</v>
      </c>
      <c r="E44" s="1477">
        <v>45115</v>
      </c>
      <c r="F44" s="935">
        <f t="shared" si="1"/>
        <v>54.44</v>
      </c>
      <c r="G44" s="494" t="s">
        <v>541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5">
        <f t="shared" si="0"/>
        <v>272.2</v>
      </c>
      <c r="E45" s="1477">
        <v>45115</v>
      </c>
      <c r="F45" s="935">
        <f t="shared" si="1"/>
        <v>272.2</v>
      </c>
      <c r="G45" s="494" t="s">
        <v>533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5">
        <f t="shared" si="0"/>
        <v>653.28</v>
      </c>
      <c r="E46" s="1477">
        <v>45115</v>
      </c>
      <c r="F46" s="935">
        <f t="shared" si="1"/>
        <v>653.28</v>
      </c>
      <c r="G46" s="494" t="s">
        <v>544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5">
        <f t="shared" si="0"/>
        <v>54.44</v>
      </c>
      <c r="E47" s="1477">
        <v>45115</v>
      </c>
      <c r="F47" s="935">
        <f t="shared" si="1"/>
        <v>54.44</v>
      </c>
      <c r="G47" s="494" t="s">
        <v>545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5">
        <f t="shared" si="0"/>
        <v>81.66</v>
      </c>
      <c r="E48" s="1477">
        <v>45115</v>
      </c>
      <c r="F48" s="935">
        <f t="shared" si="1"/>
        <v>81.66</v>
      </c>
      <c r="G48" s="494" t="s">
        <v>546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5">
        <f t="shared" si="0"/>
        <v>653.28</v>
      </c>
      <c r="E49" s="1477">
        <v>45117</v>
      </c>
      <c r="F49" s="935">
        <f t="shared" si="1"/>
        <v>653.28</v>
      </c>
      <c r="G49" s="494" t="s">
        <v>552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5">
        <f t="shared" si="0"/>
        <v>190.54</v>
      </c>
      <c r="E50" s="1477">
        <v>45117</v>
      </c>
      <c r="F50" s="935">
        <f t="shared" si="1"/>
        <v>190.54</v>
      </c>
      <c r="G50" s="494" t="s">
        <v>554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5">
        <f t="shared" si="0"/>
        <v>27.22</v>
      </c>
      <c r="E51" s="1477">
        <v>45117</v>
      </c>
      <c r="F51" s="935">
        <f t="shared" si="1"/>
        <v>27.22</v>
      </c>
      <c r="G51" s="494" t="s">
        <v>555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5">
        <f t="shared" si="0"/>
        <v>27.22</v>
      </c>
      <c r="E52" s="1477">
        <v>45118</v>
      </c>
      <c r="F52" s="935">
        <f t="shared" si="1"/>
        <v>27.22</v>
      </c>
      <c r="G52" s="494" t="s">
        <v>559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5">
        <f t="shared" si="0"/>
        <v>27.22</v>
      </c>
      <c r="E53" s="1477">
        <v>45118</v>
      </c>
      <c r="F53" s="935">
        <f t="shared" si="1"/>
        <v>27.22</v>
      </c>
      <c r="G53" s="494" t="s">
        <v>560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5">
        <f t="shared" si="0"/>
        <v>27.22</v>
      </c>
      <c r="E54" s="1477">
        <v>45118</v>
      </c>
      <c r="F54" s="935">
        <f t="shared" si="1"/>
        <v>27.22</v>
      </c>
      <c r="G54" s="494" t="s">
        <v>561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5">
        <f t="shared" si="0"/>
        <v>27.22</v>
      </c>
      <c r="E55" s="1477">
        <v>45118</v>
      </c>
      <c r="F55" s="935">
        <f t="shared" si="1"/>
        <v>27.22</v>
      </c>
      <c r="G55" s="494" t="s">
        <v>562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5">
        <f t="shared" si="0"/>
        <v>190.54</v>
      </c>
      <c r="E56" s="1477">
        <v>45119</v>
      </c>
      <c r="F56" s="935">
        <f t="shared" si="1"/>
        <v>190.54</v>
      </c>
      <c r="G56" s="494" t="s">
        <v>573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5">
        <f t="shared" si="0"/>
        <v>653.28</v>
      </c>
      <c r="E57" s="1477">
        <v>45119</v>
      </c>
      <c r="F57" s="935">
        <f t="shared" si="1"/>
        <v>653.28</v>
      </c>
      <c r="G57" s="494" t="s">
        <v>576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5">
        <f t="shared" si="0"/>
        <v>81.66</v>
      </c>
      <c r="E58" s="1477">
        <v>45119</v>
      </c>
      <c r="F58" s="935">
        <f t="shared" si="1"/>
        <v>81.66</v>
      </c>
      <c r="G58" s="494" t="s">
        <v>578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5">
        <f t="shared" si="0"/>
        <v>27.22</v>
      </c>
      <c r="E59" s="1477">
        <v>45120</v>
      </c>
      <c r="F59" s="935">
        <f t="shared" si="1"/>
        <v>27.22</v>
      </c>
      <c r="G59" s="494" t="s">
        <v>586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5">
        <f t="shared" si="0"/>
        <v>653.28</v>
      </c>
      <c r="E60" s="1477">
        <v>45120</v>
      </c>
      <c r="F60" s="935">
        <f t="shared" si="1"/>
        <v>653.28</v>
      </c>
      <c r="G60" s="494" t="s">
        <v>594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5">
        <f t="shared" si="0"/>
        <v>653.28</v>
      </c>
      <c r="E61" s="1477">
        <v>45121</v>
      </c>
      <c r="F61" s="935">
        <f t="shared" si="1"/>
        <v>653.28</v>
      </c>
      <c r="G61" s="494" t="s">
        <v>596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5">
        <f t="shared" si="0"/>
        <v>27.22</v>
      </c>
      <c r="E62" s="1477">
        <v>45121</v>
      </c>
      <c r="F62" s="935">
        <f t="shared" si="1"/>
        <v>27.22</v>
      </c>
      <c r="G62" s="494" t="s">
        <v>598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5">
        <f t="shared" si="0"/>
        <v>136.1</v>
      </c>
      <c r="E63" s="1477">
        <v>45121</v>
      </c>
      <c r="F63" s="935">
        <f t="shared" si="1"/>
        <v>136.1</v>
      </c>
      <c r="G63" s="494" t="s">
        <v>600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5">
        <f t="shared" si="0"/>
        <v>272.2</v>
      </c>
      <c r="E64" s="1477">
        <v>45121</v>
      </c>
      <c r="F64" s="935">
        <f t="shared" si="1"/>
        <v>272.2</v>
      </c>
      <c r="G64" s="494" t="s">
        <v>604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5">
        <f t="shared" si="0"/>
        <v>27.22</v>
      </c>
      <c r="E65" s="1477">
        <v>45122</v>
      </c>
      <c r="F65" s="935">
        <f t="shared" si="1"/>
        <v>27.22</v>
      </c>
      <c r="G65" s="494" t="s">
        <v>605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5">
        <f t="shared" si="0"/>
        <v>27.22</v>
      </c>
      <c r="E66" s="1477">
        <v>45122</v>
      </c>
      <c r="F66" s="935">
        <f t="shared" si="1"/>
        <v>27.22</v>
      </c>
      <c r="G66" s="494" t="s">
        <v>606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5">
        <f t="shared" si="0"/>
        <v>272.2</v>
      </c>
      <c r="E67" s="1477">
        <v>45122</v>
      </c>
      <c r="F67" s="935">
        <f t="shared" si="1"/>
        <v>272.2</v>
      </c>
      <c r="G67" s="494" t="s">
        <v>610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5">
        <f t="shared" si="0"/>
        <v>1088.8</v>
      </c>
      <c r="E68" s="1477">
        <v>45124</v>
      </c>
      <c r="F68" s="935">
        <f t="shared" si="1"/>
        <v>1088.8</v>
      </c>
      <c r="G68" s="494" t="s">
        <v>617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5">
        <f t="shared" si="0"/>
        <v>108.88</v>
      </c>
      <c r="E69" s="1477">
        <v>45124</v>
      </c>
      <c r="F69" s="935">
        <f t="shared" si="1"/>
        <v>108.88</v>
      </c>
      <c r="G69" s="494" t="s">
        <v>622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5">
        <f t="shared" si="0"/>
        <v>27.22</v>
      </c>
      <c r="E70" s="1477">
        <v>45125</v>
      </c>
      <c r="F70" s="935">
        <f t="shared" si="1"/>
        <v>27.22</v>
      </c>
      <c r="G70" s="494" t="s">
        <v>625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7">
        <f t="shared" si="0"/>
        <v>27.22</v>
      </c>
      <c r="E71" s="1324">
        <v>45125</v>
      </c>
      <c r="F71" s="1277">
        <f t="shared" si="1"/>
        <v>27.22</v>
      </c>
      <c r="G71" s="1276" t="s">
        <v>627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7">
        <f t="shared" si="0"/>
        <v>27.22</v>
      </c>
      <c r="E72" s="1324">
        <v>45125</v>
      </c>
      <c r="F72" s="1277">
        <f t="shared" si="1"/>
        <v>27.22</v>
      </c>
      <c r="G72" s="1276" t="s">
        <v>628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7">
        <f t="shared" ref="D73:D114" si="12">C73*B73</f>
        <v>136.1</v>
      </c>
      <c r="E73" s="1324">
        <v>45125</v>
      </c>
      <c r="F73" s="1277">
        <f t="shared" ref="F73:F114" si="13">D73</f>
        <v>136.1</v>
      </c>
      <c r="G73" s="1276" t="s">
        <v>632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7">
        <f t="shared" si="12"/>
        <v>653.28</v>
      </c>
      <c r="E74" s="1324">
        <v>45125</v>
      </c>
      <c r="F74" s="1277">
        <f t="shared" si="13"/>
        <v>653.28</v>
      </c>
      <c r="G74" s="1276" t="s">
        <v>634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7">
        <f t="shared" si="12"/>
        <v>163.32</v>
      </c>
      <c r="E75" s="1324">
        <v>45126</v>
      </c>
      <c r="F75" s="1277">
        <f t="shared" si="13"/>
        <v>163.32</v>
      </c>
      <c r="G75" s="1276" t="s">
        <v>640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7">
        <f t="shared" si="12"/>
        <v>27.22</v>
      </c>
      <c r="E76" s="1324">
        <v>45126</v>
      </c>
      <c r="F76" s="1277">
        <f t="shared" si="13"/>
        <v>27.22</v>
      </c>
      <c r="G76" s="1276" t="s">
        <v>644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7">
        <f t="shared" si="12"/>
        <v>653.28</v>
      </c>
      <c r="E77" s="1324">
        <v>45127</v>
      </c>
      <c r="F77" s="1277">
        <f t="shared" si="13"/>
        <v>653.28</v>
      </c>
      <c r="G77" s="1276" t="s">
        <v>654</v>
      </c>
      <c r="H77" s="194">
        <v>79</v>
      </c>
      <c r="I77" s="400">
        <f t="shared" si="18"/>
        <v>2846.9999999999955</v>
      </c>
      <c r="J77" s="1546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7">
        <f t="shared" si="12"/>
        <v>27.22</v>
      </c>
      <c r="E78" s="1324">
        <v>45128</v>
      </c>
      <c r="F78" s="1277">
        <f t="shared" si="13"/>
        <v>27.22</v>
      </c>
      <c r="G78" s="1276" t="s">
        <v>660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7">
        <f t="shared" si="12"/>
        <v>27.22</v>
      </c>
      <c r="E79" s="1324">
        <v>45128</v>
      </c>
      <c r="F79" s="1277">
        <f t="shared" si="13"/>
        <v>27.22</v>
      </c>
      <c r="G79" s="1276" t="s">
        <v>663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7">
        <f t="shared" si="12"/>
        <v>27.22</v>
      </c>
      <c r="E80" s="1324">
        <v>45128</v>
      </c>
      <c r="F80" s="1277">
        <f t="shared" si="13"/>
        <v>27.22</v>
      </c>
      <c r="G80" s="1276" t="s">
        <v>664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47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7">
        <f t="shared" si="12"/>
        <v>272.2</v>
      </c>
      <c r="E82" s="1324">
        <v>45129</v>
      </c>
      <c r="F82" s="1277">
        <f t="shared" si="13"/>
        <v>272.2</v>
      </c>
      <c r="G82" s="1276" t="s">
        <v>670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7">
        <f t="shared" si="12"/>
        <v>1088.8</v>
      </c>
      <c r="E83" s="1324">
        <v>45129</v>
      </c>
      <c r="F83" s="1277">
        <f t="shared" si="13"/>
        <v>1088.8</v>
      </c>
      <c r="G83" s="1276" t="s">
        <v>671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5">
        <f t="shared" si="12"/>
        <v>27.22</v>
      </c>
      <c r="E84" s="1477">
        <v>45129</v>
      </c>
      <c r="F84" s="935">
        <f t="shared" si="13"/>
        <v>27.22</v>
      </c>
      <c r="G84" s="494" t="s">
        <v>672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5">
        <f t="shared" si="12"/>
        <v>272.2</v>
      </c>
      <c r="E85" s="1477">
        <v>45129</v>
      </c>
      <c r="F85" s="935">
        <f t="shared" si="13"/>
        <v>272.2</v>
      </c>
      <c r="G85" s="494" t="s">
        <v>677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5">
        <f t="shared" si="12"/>
        <v>136.1</v>
      </c>
      <c r="E86" s="1477">
        <v>45131</v>
      </c>
      <c r="F86" s="935">
        <f t="shared" si="13"/>
        <v>136.1</v>
      </c>
      <c r="G86" s="494" t="s">
        <v>678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5">
        <f t="shared" si="12"/>
        <v>27.22</v>
      </c>
      <c r="E87" s="1477">
        <v>45133</v>
      </c>
      <c r="F87" s="935">
        <f t="shared" si="13"/>
        <v>27.22</v>
      </c>
      <c r="G87" s="494" t="s">
        <v>696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5">
        <f t="shared" si="12"/>
        <v>653.28</v>
      </c>
      <c r="E88" s="1477">
        <v>45133</v>
      </c>
      <c r="F88" s="935">
        <f t="shared" si="13"/>
        <v>653.28</v>
      </c>
      <c r="G88" s="494" t="s">
        <v>697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5">
        <f t="shared" si="12"/>
        <v>54.44</v>
      </c>
      <c r="E89" s="1477">
        <v>45133</v>
      </c>
      <c r="F89" s="935">
        <f t="shared" si="13"/>
        <v>54.44</v>
      </c>
      <c r="G89" s="494" t="s">
        <v>698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5">
        <f t="shared" si="12"/>
        <v>0</v>
      </c>
      <c r="E90" s="1477"/>
      <c r="F90" s="935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20"/>
      <c r="I93" s="1538">
        <f t="shared" si="18"/>
        <v>-3.808509063674137E-12</v>
      </c>
      <c r="J93" s="1539">
        <f t="shared" si="20"/>
        <v>0</v>
      </c>
      <c r="K93" s="1540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0"/>
      <c r="I94" s="1538">
        <f t="shared" si="18"/>
        <v>-3.808509063674137E-12</v>
      </c>
      <c r="J94" s="1539">
        <f t="shared" si="20"/>
        <v>0</v>
      </c>
      <c r="K94" s="1540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0"/>
      <c r="I95" s="1538">
        <f t="shared" si="18"/>
        <v>-3.808509063674137E-12</v>
      </c>
      <c r="J95" s="1539">
        <f t="shared" si="20"/>
        <v>0</v>
      </c>
      <c r="K95" s="1540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0"/>
      <c r="I96" s="1538">
        <f t="shared" si="18"/>
        <v>-3.808509063674137E-12</v>
      </c>
      <c r="J96" s="1539">
        <f t="shared" si="20"/>
        <v>0</v>
      </c>
      <c r="K96" s="1540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20"/>
      <c r="I97" s="1538">
        <f t="shared" si="18"/>
        <v>-3.808509063674137E-12</v>
      </c>
      <c r="J97" s="1539">
        <f t="shared" si="20"/>
        <v>0</v>
      </c>
      <c r="K97" s="1540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20"/>
      <c r="I98" s="1538">
        <f t="shared" si="18"/>
        <v>-3.808509063674137E-12</v>
      </c>
      <c r="J98" s="1539">
        <f t="shared" si="20"/>
        <v>0</v>
      </c>
      <c r="K98" s="1540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66" t="s">
        <v>11</v>
      </c>
      <c r="D120" s="1667"/>
      <c r="E120" s="56">
        <f>E4+E5+E6-F115</f>
        <v>0</v>
      </c>
      <c r="G120" s="47"/>
      <c r="H120" s="90"/>
      <c r="O120" s="1666" t="s">
        <v>11</v>
      </c>
      <c r="P120" s="1667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64" t="s">
        <v>318</v>
      </c>
      <c r="B1" s="1664"/>
      <c r="C1" s="1664"/>
      <c r="D1" s="1664"/>
      <c r="E1" s="1664"/>
      <c r="F1" s="1664"/>
      <c r="G1" s="166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6"/>
    </row>
    <row r="5" spans="1:11" ht="15.75" customHeight="1" x14ac:dyDescent="0.25">
      <c r="A5" s="1668" t="s">
        <v>80</v>
      </c>
      <c r="B5" s="1148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68"/>
      <c r="B6" s="1708" t="s">
        <v>200</v>
      </c>
      <c r="C6" s="674"/>
      <c r="D6" s="674"/>
      <c r="E6" s="674"/>
      <c r="F6" s="673"/>
    </row>
    <row r="7" spans="1:11" ht="15.75" thickBot="1" x14ac:dyDescent="0.3">
      <c r="B7" s="1709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7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88">
        <v>45114</v>
      </c>
      <c r="F12" s="639">
        <f t="shared" si="0"/>
        <v>78.319999999999993</v>
      </c>
      <c r="G12" s="1059" t="s">
        <v>528</v>
      </c>
      <c r="H12" s="1060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88">
        <v>45115</v>
      </c>
      <c r="F13" s="639">
        <f t="shared" si="0"/>
        <v>86.97</v>
      </c>
      <c r="G13" s="1059" t="s">
        <v>544</v>
      </c>
      <c r="H13" s="1060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88">
        <v>45119</v>
      </c>
      <c r="F14" s="639">
        <f t="shared" si="0"/>
        <v>17.989999999999998</v>
      </c>
      <c r="G14" s="1059" t="s">
        <v>573</v>
      </c>
      <c r="H14" s="1060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88">
        <v>45121</v>
      </c>
      <c r="F15" s="639">
        <f t="shared" si="0"/>
        <v>34.020000000000003</v>
      </c>
      <c r="G15" s="1059" t="s">
        <v>601</v>
      </c>
      <c r="H15" s="1060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88">
        <v>45132</v>
      </c>
      <c r="F16" s="639">
        <f t="shared" si="0"/>
        <v>183.04</v>
      </c>
      <c r="G16" s="1059" t="s">
        <v>686</v>
      </c>
      <c r="H16" s="1534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88">
        <v>45134</v>
      </c>
      <c r="F17" s="639">
        <f t="shared" si="0"/>
        <v>16.329999999999998</v>
      </c>
      <c r="G17" s="1059" t="s">
        <v>710</v>
      </c>
      <c r="H17" s="1060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88"/>
      <c r="F18" s="639">
        <f t="shared" si="0"/>
        <v>0</v>
      </c>
      <c r="G18" s="1059"/>
      <c r="H18" s="1060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88"/>
      <c r="F19" s="639">
        <f t="shared" si="0"/>
        <v>0</v>
      </c>
      <c r="G19" s="1059"/>
      <c r="H19" s="1060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88"/>
      <c r="F20" s="639">
        <f t="shared" si="0"/>
        <v>0</v>
      </c>
      <c r="G20" s="1059"/>
      <c r="H20" s="1060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88"/>
      <c r="F21" s="639">
        <f t="shared" si="0"/>
        <v>0</v>
      </c>
      <c r="G21" s="1059"/>
      <c r="H21" s="1060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88"/>
      <c r="F22" s="639">
        <f t="shared" si="0"/>
        <v>0</v>
      </c>
      <c r="G22" s="1059"/>
      <c r="H22" s="1060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88"/>
      <c r="F23" s="639">
        <f t="shared" si="0"/>
        <v>0</v>
      </c>
      <c r="G23" s="1059"/>
      <c r="H23" s="1060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88"/>
      <c r="F24" s="639">
        <f t="shared" si="0"/>
        <v>0</v>
      </c>
      <c r="G24" s="1059"/>
      <c r="H24" s="1060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88"/>
      <c r="F25" s="639">
        <f t="shared" si="0"/>
        <v>0</v>
      </c>
      <c r="G25" s="1059"/>
      <c r="H25" s="1060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66" t="s">
        <v>11</v>
      </c>
      <c r="D73" s="1667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72"/>
      <c r="B5" s="171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72"/>
      <c r="B6" s="171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66" t="s">
        <v>11</v>
      </c>
      <c r="D60" s="166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72"/>
      <c r="B4" s="1711" t="s">
        <v>79</v>
      </c>
      <c r="C4" s="124"/>
      <c r="D4" s="130"/>
      <c r="E4" s="120"/>
      <c r="F4" s="72"/>
      <c r="G4" s="433"/>
      <c r="H4" s="822"/>
    </row>
    <row r="5" spans="1:10" ht="15" customHeight="1" x14ac:dyDescent="0.25">
      <c r="A5" s="1672"/>
      <c r="B5" s="1712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68"/>
      <c r="B6" s="1712"/>
      <c r="C6" s="124"/>
      <c r="D6" s="218"/>
      <c r="E6" s="77"/>
      <c r="F6" s="61"/>
    </row>
    <row r="7" spans="1:10" ht="15.75" x14ac:dyDescent="0.25">
      <c r="A7" s="1668"/>
      <c r="B7" s="783"/>
      <c r="C7" s="124"/>
      <c r="D7" s="218"/>
      <c r="E7" s="77"/>
      <c r="F7" s="61"/>
    </row>
    <row r="8" spans="1:10" ht="16.5" thickBot="1" x14ac:dyDescent="0.3">
      <c r="A8" s="1668"/>
      <c r="B8" s="783"/>
      <c r="C8" s="124"/>
      <c r="D8" s="218"/>
      <c r="E8" s="77"/>
      <c r="F8" s="61"/>
    </row>
    <row r="9" spans="1:10" ht="16.5" thickTop="1" thickBot="1" x14ac:dyDescent="0.3">
      <c r="B9" s="784" t="s">
        <v>7</v>
      </c>
      <c r="C9" s="785" t="s">
        <v>8</v>
      </c>
      <c r="D9" s="786" t="s">
        <v>3</v>
      </c>
      <c r="E9" s="787" t="s">
        <v>2</v>
      </c>
      <c r="F9" s="788" t="s">
        <v>9</v>
      </c>
      <c r="G9" s="789" t="s">
        <v>15</v>
      </c>
      <c r="H9" s="790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6" t="s">
        <v>11</v>
      </c>
      <c r="D61" s="166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69"/>
      <c r="B1" s="1669"/>
      <c r="C1" s="1669"/>
      <c r="D1" s="1669"/>
      <c r="E1" s="1669"/>
      <c r="F1" s="1669"/>
      <c r="G1" s="16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13"/>
      <c r="B5" s="1715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14"/>
      <c r="B6" s="1716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17" t="s">
        <v>11</v>
      </c>
      <c r="D56" s="171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95" t="s">
        <v>319</v>
      </c>
      <c r="B1" s="1695"/>
      <c r="C1" s="1695"/>
      <c r="D1" s="1695"/>
      <c r="E1" s="1695"/>
      <c r="F1" s="1695"/>
      <c r="G1" s="169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19" t="s">
        <v>102</v>
      </c>
      <c r="C4" s="17"/>
      <c r="E4" s="239">
        <v>0.43</v>
      </c>
      <c r="F4" s="226"/>
    </row>
    <row r="5" spans="1:10" ht="15" customHeight="1" x14ac:dyDescent="0.25">
      <c r="A5" s="1722" t="s">
        <v>101</v>
      </c>
      <c r="B5" s="1720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23"/>
      <c r="B6" s="1721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3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3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4">
        <f>I8-F9</f>
        <v>4699.37</v>
      </c>
      <c r="J9" s="835">
        <f>J8-C9</f>
        <v>207</v>
      </c>
    </row>
    <row r="10" spans="1:10" ht="15.75" x14ac:dyDescent="0.25">
      <c r="A10" s="174"/>
      <c r="B10" s="813">
        <f t="shared" ref="B10:B73" si="1">B9-C10</f>
        <v>205</v>
      </c>
      <c r="C10" s="15">
        <v>2</v>
      </c>
      <c r="D10" s="925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3">
        <f t="shared" si="1"/>
        <v>204</v>
      </c>
      <c r="C11" s="15">
        <v>1</v>
      </c>
      <c r="D11" s="925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3">
        <f t="shared" si="1"/>
        <v>203</v>
      </c>
      <c r="C12" s="15">
        <v>1</v>
      </c>
      <c r="D12" s="925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3">
        <f t="shared" si="1"/>
        <v>198</v>
      </c>
      <c r="C13" s="15">
        <v>5</v>
      </c>
      <c r="D13" s="925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3">
        <f t="shared" si="1"/>
        <v>196</v>
      </c>
      <c r="C14" s="15">
        <v>2</v>
      </c>
      <c r="D14" s="925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3">
        <f t="shared" si="1"/>
        <v>193</v>
      </c>
      <c r="C15" s="15">
        <v>3</v>
      </c>
      <c r="D15" s="925">
        <v>66.03</v>
      </c>
      <c r="E15" s="926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3">
        <f t="shared" si="1"/>
        <v>192</v>
      </c>
      <c r="C16" s="15">
        <v>1</v>
      </c>
      <c r="D16" s="925">
        <v>19.91</v>
      </c>
      <c r="E16" s="926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3">
        <f t="shared" si="1"/>
        <v>188</v>
      </c>
      <c r="C17" s="15">
        <v>4</v>
      </c>
      <c r="D17" s="925">
        <v>90.21</v>
      </c>
      <c r="E17" s="926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3">
        <f t="shared" si="1"/>
        <v>186</v>
      </c>
      <c r="C18" s="15">
        <v>2</v>
      </c>
      <c r="D18" s="925">
        <v>45.84</v>
      </c>
      <c r="E18" s="926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3">
        <f t="shared" si="1"/>
        <v>184</v>
      </c>
      <c r="C19" s="15">
        <v>2</v>
      </c>
      <c r="D19" s="925">
        <v>41.65</v>
      </c>
      <c r="E19" s="926">
        <v>45016</v>
      </c>
      <c r="F19" s="482">
        <f t="shared" si="0"/>
        <v>41.65</v>
      </c>
      <c r="G19" s="314" t="s">
        <v>126</v>
      </c>
      <c r="H19" s="315">
        <v>145</v>
      </c>
      <c r="I19" s="834">
        <f t="shared" si="2"/>
        <v>4184.0700000000006</v>
      </c>
      <c r="J19" s="835">
        <f t="shared" si="3"/>
        <v>184</v>
      </c>
    </row>
    <row r="20" spans="1:10" ht="15.75" x14ac:dyDescent="0.25">
      <c r="A20" s="2"/>
      <c r="B20" s="813">
        <f t="shared" si="1"/>
        <v>181</v>
      </c>
      <c r="C20" s="15">
        <v>3</v>
      </c>
      <c r="D20" s="933">
        <v>63.6</v>
      </c>
      <c r="E20" s="934">
        <v>45023</v>
      </c>
      <c r="F20" s="935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3">
        <f t="shared" si="1"/>
        <v>179</v>
      </c>
      <c r="C21" s="15">
        <v>2</v>
      </c>
      <c r="D21" s="933">
        <v>47.36</v>
      </c>
      <c r="E21" s="934">
        <v>45033</v>
      </c>
      <c r="F21" s="935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3">
        <f t="shared" si="1"/>
        <v>178</v>
      </c>
      <c r="C22" s="15">
        <v>1</v>
      </c>
      <c r="D22" s="933">
        <v>21.91</v>
      </c>
      <c r="E22" s="934">
        <v>45034</v>
      </c>
      <c r="F22" s="935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3">
        <f t="shared" si="1"/>
        <v>177</v>
      </c>
      <c r="C23" s="15">
        <v>1</v>
      </c>
      <c r="D23" s="933">
        <v>21.32</v>
      </c>
      <c r="E23" s="934">
        <v>45035</v>
      </c>
      <c r="F23" s="935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3">
        <f t="shared" si="1"/>
        <v>175</v>
      </c>
      <c r="C24" s="15">
        <v>2</v>
      </c>
      <c r="D24" s="933">
        <v>45.5</v>
      </c>
      <c r="E24" s="936">
        <v>45040</v>
      </c>
      <c r="F24" s="935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3">
        <f t="shared" si="1"/>
        <v>171</v>
      </c>
      <c r="C25" s="15">
        <v>4</v>
      </c>
      <c r="D25" s="933">
        <v>86.59</v>
      </c>
      <c r="E25" s="936">
        <v>45044</v>
      </c>
      <c r="F25" s="935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3">
        <f t="shared" si="1"/>
        <v>168</v>
      </c>
      <c r="C26" s="15">
        <v>3</v>
      </c>
      <c r="D26" s="933">
        <v>67.959999999999994</v>
      </c>
      <c r="E26" s="936">
        <v>45050</v>
      </c>
      <c r="F26" s="935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3">
        <f t="shared" si="1"/>
        <v>167</v>
      </c>
      <c r="C27" s="15">
        <v>1</v>
      </c>
      <c r="D27" s="933">
        <v>23.41</v>
      </c>
      <c r="E27" s="936">
        <v>45052</v>
      </c>
      <c r="F27" s="935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3">
        <f t="shared" si="1"/>
        <v>165</v>
      </c>
      <c r="C28" s="15">
        <v>2</v>
      </c>
      <c r="D28" s="933">
        <v>45.65</v>
      </c>
      <c r="E28" s="934">
        <v>45052</v>
      </c>
      <c r="F28" s="935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3">
        <f t="shared" si="1"/>
        <v>163</v>
      </c>
      <c r="C29" s="991">
        <v>2</v>
      </c>
      <c r="D29" s="995">
        <v>43.49</v>
      </c>
      <c r="E29" s="996">
        <v>45056</v>
      </c>
      <c r="F29" s="993">
        <f t="shared" si="0"/>
        <v>43.49</v>
      </c>
      <c r="G29" s="994" t="s">
        <v>153</v>
      </c>
      <c r="H29" s="977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3">
        <f t="shared" si="1"/>
        <v>162</v>
      </c>
      <c r="C30" s="991">
        <v>1</v>
      </c>
      <c r="D30" s="995">
        <v>21.88</v>
      </c>
      <c r="E30" s="996">
        <v>45056</v>
      </c>
      <c r="F30" s="993">
        <f t="shared" si="0"/>
        <v>21.88</v>
      </c>
      <c r="G30" s="994" t="s">
        <v>154</v>
      </c>
      <c r="H30" s="977">
        <v>145</v>
      </c>
      <c r="I30" s="834">
        <f t="shared" si="4"/>
        <v>3695.4</v>
      </c>
      <c r="J30" s="835">
        <f t="shared" si="3"/>
        <v>162</v>
      </c>
    </row>
    <row r="31" spans="1:10" ht="15.75" x14ac:dyDescent="0.25">
      <c r="A31" s="169"/>
      <c r="B31" s="813">
        <f t="shared" si="1"/>
        <v>160</v>
      </c>
      <c r="C31" s="15">
        <v>2</v>
      </c>
      <c r="D31" s="1048">
        <v>41.42</v>
      </c>
      <c r="E31" s="525">
        <v>45057</v>
      </c>
      <c r="F31" s="801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3">
        <f t="shared" si="1"/>
        <v>158</v>
      </c>
      <c r="C32" s="15">
        <v>2</v>
      </c>
      <c r="D32" s="1048">
        <v>46.71</v>
      </c>
      <c r="E32" s="525">
        <v>45063</v>
      </c>
      <c r="F32" s="801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3">
        <f t="shared" si="1"/>
        <v>156</v>
      </c>
      <c r="C33" s="15">
        <v>2</v>
      </c>
      <c r="D33" s="1048">
        <v>45.21</v>
      </c>
      <c r="E33" s="1051">
        <v>45066</v>
      </c>
      <c r="F33" s="801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3">
        <f t="shared" si="1"/>
        <v>155</v>
      </c>
      <c r="C34" s="15">
        <v>1</v>
      </c>
      <c r="D34" s="1048">
        <v>23.76</v>
      </c>
      <c r="E34" s="1051">
        <v>45069</v>
      </c>
      <c r="F34" s="801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3">
        <f t="shared" si="1"/>
        <v>152</v>
      </c>
      <c r="C35" s="15">
        <v>3</v>
      </c>
      <c r="D35" s="1048">
        <v>67.180000000000007</v>
      </c>
      <c r="E35" s="1051">
        <v>45071</v>
      </c>
      <c r="F35" s="801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3">
        <f t="shared" si="1"/>
        <v>151</v>
      </c>
      <c r="C36" s="15">
        <v>1</v>
      </c>
      <c r="D36" s="1048">
        <v>24.22</v>
      </c>
      <c r="E36" s="1051">
        <v>45075</v>
      </c>
      <c r="F36" s="801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3">
        <f t="shared" si="1"/>
        <v>150</v>
      </c>
      <c r="C37" s="15">
        <v>1</v>
      </c>
      <c r="D37" s="1048">
        <v>24.2</v>
      </c>
      <c r="E37" s="1051">
        <v>45075</v>
      </c>
      <c r="F37" s="801">
        <f t="shared" si="0"/>
        <v>24.2</v>
      </c>
      <c r="G37" s="524" t="s">
        <v>185</v>
      </c>
      <c r="H37" s="358">
        <v>145</v>
      </c>
      <c r="I37" s="834">
        <f t="shared" si="4"/>
        <v>3422.7000000000003</v>
      </c>
      <c r="J37" s="835">
        <f t="shared" si="3"/>
        <v>150</v>
      </c>
    </row>
    <row r="38" spans="1:10" ht="15.75" x14ac:dyDescent="0.25">
      <c r="A38" s="2"/>
      <c r="B38" s="813">
        <f t="shared" si="1"/>
        <v>150</v>
      </c>
      <c r="C38" s="15"/>
      <c r="D38" s="1048">
        <v>0</v>
      </c>
      <c r="E38" s="525"/>
      <c r="F38" s="801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3">
        <f t="shared" si="1"/>
        <v>146</v>
      </c>
      <c r="C39" s="15">
        <v>4</v>
      </c>
      <c r="D39" s="1088">
        <v>94.48</v>
      </c>
      <c r="E39" s="1089">
        <v>45085</v>
      </c>
      <c r="F39" s="58">
        <f t="shared" si="0"/>
        <v>94.48</v>
      </c>
      <c r="G39" s="1087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3">
        <f t="shared" si="1"/>
        <v>145</v>
      </c>
      <c r="C40" s="15">
        <v>1</v>
      </c>
      <c r="D40" s="1088">
        <v>23.58</v>
      </c>
      <c r="E40" s="1089">
        <v>45087</v>
      </c>
      <c r="F40" s="58">
        <f t="shared" si="0"/>
        <v>23.58</v>
      </c>
      <c r="G40" s="1087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3">
        <f t="shared" si="1"/>
        <v>143</v>
      </c>
      <c r="C41" s="15">
        <v>2</v>
      </c>
      <c r="D41" s="1088">
        <v>60.32</v>
      </c>
      <c r="E41" s="1089">
        <v>45089</v>
      </c>
      <c r="F41" s="58">
        <f t="shared" si="0"/>
        <v>60.32</v>
      </c>
      <c r="G41" s="1087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3">
        <f t="shared" si="1"/>
        <v>142</v>
      </c>
      <c r="C42" s="15">
        <v>1</v>
      </c>
      <c r="D42" s="1088">
        <v>22.02</v>
      </c>
      <c r="E42" s="1089">
        <v>45089</v>
      </c>
      <c r="F42" s="58">
        <f t="shared" si="0"/>
        <v>22.02</v>
      </c>
      <c r="G42" s="1087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3">
        <f t="shared" si="1"/>
        <v>137</v>
      </c>
      <c r="C43" s="15">
        <v>5</v>
      </c>
      <c r="D43" s="1088">
        <v>117.76</v>
      </c>
      <c r="E43" s="1089">
        <v>45092</v>
      </c>
      <c r="F43" s="58">
        <f t="shared" si="0"/>
        <v>117.76</v>
      </c>
      <c r="G43" s="1087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3">
        <f t="shared" si="1"/>
        <v>134</v>
      </c>
      <c r="C44" s="15">
        <v>3</v>
      </c>
      <c r="D44" s="1088">
        <v>68.47</v>
      </c>
      <c r="E44" s="1089">
        <v>45092</v>
      </c>
      <c r="F44" s="58">
        <f t="shared" si="0"/>
        <v>68.47</v>
      </c>
      <c r="G44" s="1087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3">
        <f t="shared" si="1"/>
        <v>132</v>
      </c>
      <c r="C45" s="15">
        <v>2</v>
      </c>
      <c r="D45" s="1088">
        <v>45.3</v>
      </c>
      <c r="E45" s="1089">
        <v>45093</v>
      </c>
      <c r="F45" s="58">
        <f t="shared" si="0"/>
        <v>45.3</v>
      </c>
      <c r="G45" s="1087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3">
        <f t="shared" si="1"/>
        <v>127</v>
      </c>
      <c r="C46" s="15">
        <v>5</v>
      </c>
      <c r="D46" s="1088">
        <v>113.03</v>
      </c>
      <c r="E46" s="1089">
        <v>45093</v>
      </c>
      <c r="F46" s="58">
        <f t="shared" si="0"/>
        <v>113.03</v>
      </c>
      <c r="G46" s="1087" t="s">
        <v>234</v>
      </c>
      <c r="H46" s="1201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3">
        <f t="shared" si="1"/>
        <v>125</v>
      </c>
      <c r="C47" s="15">
        <v>2</v>
      </c>
      <c r="D47" s="1088">
        <v>43.67</v>
      </c>
      <c r="E47" s="1089">
        <v>45096</v>
      </c>
      <c r="F47" s="58">
        <f t="shared" si="0"/>
        <v>43.67</v>
      </c>
      <c r="G47" s="1087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3">
        <f t="shared" si="1"/>
        <v>124</v>
      </c>
      <c r="C48" s="15">
        <v>1</v>
      </c>
      <c r="D48" s="1088">
        <v>22.95</v>
      </c>
      <c r="E48" s="1089">
        <v>45099</v>
      </c>
      <c r="F48" s="58">
        <f t="shared" si="0"/>
        <v>22.95</v>
      </c>
      <c r="G48" s="1087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3">
        <f t="shared" si="1"/>
        <v>117</v>
      </c>
      <c r="C49" s="15">
        <v>7</v>
      </c>
      <c r="D49" s="1088">
        <v>161.12</v>
      </c>
      <c r="E49" s="1089">
        <v>45103</v>
      </c>
      <c r="F49" s="58">
        <f t="shared" si="0"/>
        <v>161.12</v>
      </c>
      <c r="G49" s="1087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3">
        <f t="shared" si="1"/>
        <v>116</v>
      </c>
      <c r="C50" s="15">
        <v>1</v>
      </c>
      <c r="D50" s="1088">
        <v>20.309999999999999</v>
      </c>
      <c r="E50" s="1089">
        <v>45103</v>
      </c>
      <c r="F50" s="58">
        <f t="shared" si="0"/>
        <v>20.309999999999999</v>
      </c>
      <c r="G50" s="1087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3">
        <f t="shared" si="1"/>
        <v>115</v>
      </c>
      <c r="C51" s="15">
        <v>1</v>
      </c>
      <c r="D51" s="1088">
        <v>20.88</v>
      </c>
      <c r="E51" s="1089">
        <v>45104</v>
      </c>
      <c r="F51" s="58">
        <f t="shared" si="0"/>
        <v>20.88</v>
      </c>
      <c r="G51" s="1087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3">
        <f t="shared" si="1"/>
        <v>109</v>
      </c>
      <c r="C52" s="15">
        <v>6</v>
      </c>
      <c r="D52" s="1088">
        <v>135.13</v>
      </c>
      <c r="E52" s="1089">
        <v>45107</v>
      </c>
      <c r="F52" s="58">
        <f t="shared" si="0"/>
        <v>135.13</v>
      </c>
      <c r="G52" s="1087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3">
        <f t="shared" si="1"/>
        <v>107</v>
      </c>
      <c r="C53" s="15">
        <v>2</v>
      </c>
      <c r="D53" s="1088">
        <v>43.02</v>
      </c>
      <c r="E53" s="1089">
        <v>45108</v>
      </c>
      <c r="F53" s="58">
        <f t="shared" si="0"/>
        <v>43.02</v>
      </c>
      <c r="G53" s="1087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3">
        <f t="shared" si="1"/>
        <v>101</v>
      </c>
      <c r="C54" s="15">
        <v>6</v>
      </c>
      <c r="D54" s="1088">
        <v>127.93</v>
      </c>
      <c r="E54" s="1089">
        <v>45108</v>
      </c>
      <c r="F54" s="58">
        <f t="shared" si="0"/>
        <v>127.93</v>
      </c>
      <c r="G54" s="1087" t="s">
        <v>302</v>
      </c>
      <c r="H54" s="59">
        <v>145</v>
      </c>
      <c r="I54" s="834">
        <f t="shared" si="5"/>
        <v>2302.73</v>
      </c>
      <c r="J54" s="835">
        <f t="shared" si="6"/>
        <v>101</v>
      </c>
    </row>
    <row r="55" spans="1:10" ht="15.75" x14ac:dyDescent="0.25">
      <c r="A55" s="2"/>
      <c r="B55" s="813">
        <f t="shared" si="1"/>
        <v>101</v>
      </c>
      <c r="C55" s="15"/>
      <c r="D55" s="1088">
        <v>0</v>
      </c>
      <c r="E55" s="1089"/>
      <c r="F55" s="58">
        <f t="shared" si="0"/>
        <v>0</v>
      </c>
      <c r="G55" s="1087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3">
        <f t="shared" si="1"/>
        <v>96</v>
      </c>
      <c r="C56" s="15">
        <v>5</v>
      </c>
      <c r="D56" s="1289">
        <v>111.78</v>
      </c>
      <c r="E56" s="1290">
        <v>45113</v>
      </c>
      <c r="F56" s="1277">
        <f t="shared" si="0"/>
        <v>111.78</v>
      </c>
      <c r="G56" s="1276" t="s">
        <v>521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3">
        <f t="shared" si="1"/>
        <v>95</v>
      </c>
      <c r="C57" s="15">
        <v>1</v>
      </c>
      <c r="D57" s="1289">
        <v>23.06</v>
      </c>
      <c r="E57" s="1290">
        <v>45115</v>
      </c>
      <c r="F57" s="1277">
        <f t="shared" si="0"/>
        <v>23.06</v>
      </c>
      <c r="G57" s="1276" t="s">
        <v>533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3">
        <f t="shared" si="1"/>
        <v>90</v>
      </c>
      <c r="C58" s="15">
        <v>5</v>
      </c>
      <c r="D58" s="1289">
        <v>106.41</v>
      </c>
      <c r="E58" s="1290">
        <v>45115</v>
      </c>
      <c r="F58" s="1277">
        <f t="shared" si="0"/>
        <v>106.41</v>
      </c>
      <c r="G58" s="1276" t="s">
        <v>544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3">
        <f t="shared" si="1"/>
        <v>89</v>
      </c>
      <c r="C59" s="15">
        <v>1</v>
      </c>
      <c r="D59" s="1289">
        <v>23.87</v>
      </c>
      <c r="E59" s="1290">
        <v>45117</v>
      </c>
      <c r="F59" s="1277">
        <f t="shared" si="0"/>
        <v>23.87</v>
      </c>
      <c r="G59" s="1276" t="s">
        <v>553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3">
        <f t="shared" si="1"/>
        <v>88</v>
      </c>
      <c r="C60" s="15">
        <v>1</v>
      </c>
      <c r="D60" s="1289">
        <v>22.03</v>
      </c>
      <c r="E60" s="1290">
        <v>45118</v>
      </c>
      <c r="F60" s="1277">
        <f t="shared" si="0"/>
        <v>22.03</v>
      </c>
      <c r="G60" s="1276" t="s">
        <v>562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3">
        <f t="shared" si="1"/>
        <v>87</v>
      </c>
      <c r="C61" s="15">
        <v>1</v>
      </c>
      <c r="D61" s="1289">
        <v>23.14</v>
      </c>
      <c r="E61" s="1290">
        <v>45119</v>
      </c>
      <c r="F61" s="1277">
        <f t="shared" si="0"/>
        <v>23.14</v>
      </c>
      <c r="G61" s="1276" t="s">
        <v>573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3">
        <f t="shared" si="1"/>
        <v>81</v>
      </c>
      <c r="C62" s="15">
        <v>6</v>
      </c>
      <c r="D62" s="1289">
        <v>131.38999999999999</v>
      </c>
      <c r="E62" s="1290">
        <v>45120</v>
      </c>
      <c r="F62" s="1277">
        <f t="shared" si="0"/>
        <v>131.38999999999999</v>
      </c>
      <c r="G62" s="1276" t="s">
        <v>585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3">
        <f t="shared" si="1"/>
        <v>79</v>
      </c>
      <c r="C63" s="15">
        <v>2</v>
      </c>
      <c r="D63" s="1289">
        <v>48.14</v>
      </c>
      <c r="E63" s="1290">
        <v>45121</v>
      </c>
      <c r="F63" s="1277">
        <f t="shared" si="0"/>
        <v>48.14</v>
      </c>
      <c r="G63" s="1276" t="s">
        <v>600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3">
        <f t="shared" si="1"/>
        <v>78</v>
      </c>
      <c r="C64" s="15">
        <v>1</v>
      </c>
      <c r="D64" s="1289">
        <v>22.64</v>
      </c>
      <c r="E64" s="1290">
        <v>45122</v>
      </c>
      <c r="F64" s="1277">
        <f t="shared" si="0"/>
        <v>22.64</v>
      </c>
      <c r="G64" s="1276" t="s">
        <v>610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3">
        <f t="shared" si="1"/>
        <v>66</v>
      </c>
      <c r="C65" s="15">
        <v>12</v>
      </c>
      <c r="D65" s="1289">
        <v>282.13</v>
      </c>
      <c r="E65" s="1290">
        <v>45122</v>
      </c>
      <c r="F65" s="1277">
        <f t="shared" si="0"/>
        <v>282.13</v>
      </c>
      <c r="G65" s="1276" t="s">
        <v>616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3">
        <f t="shared" si="1"/>
        <v>60</v>
      </c>
      <c r="C66" s="15">
        <v>6</v>
      </c>
      <c r="D66" s="1289">
        <v>141.72999999999999</v>
      </c>
      <c r="E66" s="1290">
        <v>45125</v>
      </c>
      <c r="F66" s="1277">
        <f t="shared" si="0"/>
        <v>141.72999999999999</v>
      </c>
      <c r="G66" s="1276" t="s">
        <v>634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3">
        <f t="shared" si="1"/>
        <v>59</v>
      </c>
      <c r="C67" s="15">
        <v>1</v>
      </c>
      <c r="D67" s="1289">
        <v>23.53</v>
      </c>
      <c r="E67" s="1290">
        <v>45127</v>
      </c>
      <c r="F67" s="1277">
        <f t="shared" si="0"/>
        <v>23.53</v>
      </c>
      <c r="G67" s="1276" t="s">
        <v>656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3">
        <f t="shared" si="1"/>
        <v>56</v>
      </c>
      <c r="C68" s="15">
        <v>3</v>
      </c>
      <c r="D68" s="1289">
        <v>67.98</v>
      </c>
      <c r="E68" s="1290">
        <v>45128</v>
      </c>
      <c r="F68" s="1277">
        <f t="shared" si="0"/>
        <v>67.98</v>
      </c>
      <c r="G68" s="1276" t="s">
        <v>667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3">
        <f t="shared" si="1"/>
        <v>50</v>
      </c>
      <c r="C69" s="15">
        <v>6</v>
      </c>
      <c r="D69" s="1289">
        <v>141.61000000000001</v>
      </c>
      <c r="E69" s="1290">
        <v>45129</v>
      </c>
      <c r="F69" s="1277">
        <f t="shared" si="0"/>
        <v>141.61000000000001</v>
      </c>
      <c r="G69" s="1276" t="s">
        <v>671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3">
        <f t="shared" si="1"/>
        <v>42</v>
      </c>
      <c r="C70" s="15">
        <v>8</v>
      </c>
      <c r="D70" s="1289">
        <v>183.31</v>
      </c>
      <c r="E70" s="1290">
        <v>45135</v>
      </c>
      <c r="F70" s="1277">
        <f t="shared" si="0"/>
        <v>183.31</v>
      </c>
      <c r="G70" s="1276" t="s">
        <v>717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3">
        <f t="shared" si="1"/>
        <v>41</v>
      </c>
      <c r="C71" s="15">
        <v>1</v>
      </c>
      <c r="D71" s="1289">
        <v>21.78</v>
      </c>
      <c r="E71" s="1290">
        <v>45135</v>
      </c>
      <c r="F71" s="1277">
        <f t="shared" si="0"/>
        <v>21.78</v>
      </c>
      <c r="G71" s="1276" t="s">
        <v>714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3">
        <f t="shared" si="1"/>
        <v>39</v>
      </c>
      <c r="C72" s="15">
        <v>2</v>
      </c>
      <c r="D72" s="1289">
        <v>45.19</v>
      </c>
      <c r="E72" s="1290">
        <v>45136</v>
      </c>
      <c r="F72" s="1277">
        <f t="shared" si="0"/>
        <v>45.19</v>
      </c>
      <c r="G72" s="1276" t="s">
        <v>725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3">
        <f t="shared" si="1"/>
        <v>39</v>
      </c>
      <c r="C73" s="15"/>
      <c r="D73" s="1289"/>
      <c r="E73" s="1290"/>
      <c r="F73" s="1277">
        <f t="shared" si="0"/>
        <v>0</v>
      </c>
      <c r="G73" s="1276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3">
        <f t="shared" ref="B74:B93" si="9">B73-C74</f>
        <v>39</v>
      </c>
      <c r="C74" s="15"/>
      <c r="D74" s="1289"/>
      <c r="E74" s="1290"/>
      <c r="F74" s="1277">
        <f t="shared" si="0"/>
        <v>0</v>
      </c>
      <c r="G74" s="1276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3">
        <f t="shared" si="9"/>
        <v>39</v>
      </c>
      <c r="C75" s="15"/>
      <c r="D75" s="1289"/>
      <c r="E75" s="1290"/>
      <c r="F75" s="1277">
        <f t="shared" si="0"/>
        <v>0</v>
      </c>
      <c r="G75" s="1276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3">
        <f t="shared" si="9"/>
        <v>39</v>
      </c>
      <c r="C76" s="15"/>
      <c r="D76" s="1289"/>
      <c r="E76" s="1290"/>
      <c r="F76" s="1277">
        <f t="shared" si="0"/>
        <v>0</v>
      </c>
      <c r="G76" s="1276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3">
        <f t="shared" si="9"/>
        <v>39</v>
      </c>
      <c r="C77" s="15"/>
      <c r="D77" s="1289"/>
      <c r="E77" s="1290"/>
      <c r="F77" s="1277">
        <f t="shared" si="0"/>
        <v>0</v>
      </c>
      <c r="G77" s="1276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3">
        <f t="shared" si="9"/>
        <v>39</v>
      </c>
      <c r="C78" s="15"/>
      <c r="D78" s="1289"/>
      <c r="E78" s="1290"/>
      <c r="F78" s="1277">
        <f t="shared" si="0"/>
        <v>0</v>
      </c>
      <c r="G78" s="1276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3">
        <f t="shared" si="9"/>
        <v>39</v>
      </c>
      <c r="C79" s="15"/>
      <c r="D79" s="1289"/>
      <c r="E79" s="1290"/>
      <c r="F79" s="1277">
        <f t="shared" si="0"/>
        <v>0</v>
      </c>
      <c r="G79" s="1276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3">
        <f t="shared" si="9"/>
        <v>39</v>
      </c>
      <c r="C80" s="15"/>
      <c r="D80" s="1289"/>
      <c r="E80" s="1290"/>
      <c r="F80" s="1277">
        <f t="shared" si="0"/>
        <v>0</v>
      </c>
      <c r="G80" s="1276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3">
        <f t="shared" si="9"/>
        <v>39</v>
      </c>
      <c r="C81" s="15"/>
      <c r="D81" s="1289"/>
      <c r="E81" s="1290"/>
      <c r="F81" s="1277">
        <f t="shared" si="0"/>
        <v>0</v>
      </c>
      <c r="G81" s="1276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3">
        <f t="shared" si="9"/>
        <v>39</v>
      </c>
      <c r="C82" s="15"/>
      <c r="D82" s="1289"/>
      <c r="E82" s="1290"/>
      <c r="F82" s="1277">
        <f t="shared" si="0"/>
        <v>0</v>
      </c>
      <c r="G82" s="1276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3">
        <f t="shared" si="9"/>
        <v>39</v>
      </c>
      <c r="C83" s="15"/>
      <c r="D83" s="1289"/>
      <c r="E83" s="1290"/>
      <c r="F83" s="1277">
        <f t="shared" si="0"/>
        <v>0</v>
      </c>
      <c r="G83" s="1276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3">
        <f t="shared" si="9"/>
        <v>39</v>
      </c>
      <c r="C84" s="15"/>
      <c r="D84" s="1289"/>
      <c r="E84" s="1290"/>
      <c r="F84" s="1277">
        <f t="shared" si="0"/>
        <v>0</v>
      </c>
      <c r="G84" s="1276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3">
        <f t="shared" si="9"/>
        <v>39</v>
      </c>
      <c r="C85" s="15"/>
      <c r="D85" s="1289"/>
      <c r="E85" s="1290"/>
      <c r="F85" s="1277">
        <f t="shared" si="0"/>
        <v>0</v>
      </c>
      <c r="G85" s="1276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3">
        <f t="shared" si="9"/>
        <v>39</v>
      </c>
      <c r="C86" s="15"/>
      <c r="D86" s="1289"/>
      <c r="E86" s="1290"/>
      <c r="F86" s="1277">
        <f t="shared" si="0"/>
        <v>0</v>
      </c>
      <c r="G86" s="1276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3">
        <f t="shared" si="9"/>
        <v>39</v>
      </c>
      <c r="C87" s="15"/>
      <c r="D87" s="1289"/>
      <c r="E87" s="1290"/>
      <c r="F87" s="1277">
        <f t="shared" si="0"/>
        <v>0</v>
      </c>
      <c r="G87" s="1276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3">
        <f t="shared" si="9"/>
        <v>39</v>
      </c>
      <c r="C88" s="15"/>
      <c r="D88" s="1289"/>
      <c r="E88" s="1290"/>
      <c r="F88" s="1277">
        <f t="shared" si="0"/>
        <v>0</v>
      </c>
      <c r="G88" s="1276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3">
        <f t="shared" si="9"/>
        <v>39</v>
      </c>
      <c r="C89" s="15"/>
      <c r="D89" s="1289"/>
      <c r="E89" s="1290"/>
      <c r="F89" s="1277">
        <f t="shared" si="0"/>
        <v>0</v>
      </c>
      <c r="G89" s="1276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3">
        <f t="shared" si="9"/>
        <v>39</v>
      </c>
      <c r="C90" s="15"/>
      <c r="D90" s="1289"/>
      <c r="E90" s="1290"/>
      <c r="F90" s="1277">
        <f t="shared" si="0"/>
        <v>0</v>
      </c>
      <c r="G90" s="1276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3">
        <f t="shared" si="9"/>
        <v>39</v>
      </c>
      <c r="C91" s="15"/>
      <c r="D91" s="1289"/>
      <c r="E91" s="1290"/>
      <c r="F91" s="1277">
        <f t="shared" si="0"/>
        <v>0</v>
      </c>
      <c r="G91" s="1276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3">
        <f t="shared" si="9"/>
        <v>39</v>
      </c>
      <c r="C92" s="15"/>
      <c r="D92" s="1289"/>
      <c r="E92" s="1290"/>
      <c r="F92" s="1277">
        <f t="shared" si="0"/>
        <v>0</v>
      </c>
      <c r="G92" s="1276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3">
        <f t="shared" si="9"/>
        <v>39</v>
      </c>
      <c r="C93" s="15"/>
      <c r="D93" s="1289"/>
      <c r="E93" s="1290"/>
      <c r="F93" s="1277">
        <f t="shared" si="0"/>
        <v>0</v>
      </c>
      <c r="G93" s="1276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13">
        <f>B64-C94</f>
        <v>78</v>
      </c>
      <c r="C94" s="37"/>
      <c r="D94" s="1291">
        <v>0</v>
      </c>
      <c r="E94" s="1292"/>
      <c r="F94" s="1283">
        <f t="shared" si="0"/>
        <v>0</v>
      </c>
      <c r="G94" s="1281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3"/>
      <c r="C95" s="89">
        <f>SUM(C8:C94)</f>
        <v>176</v>
      </c>
      <c r="D95" s="1048"/>
      <c r="E95" s="38"/>
      <c r="F95" s="5">
        <f>SUM(F8:F94)</f>
        <v>3995.9100000000008</v>
      </c>
    </row>
    <row r="96" spans="1:10" ht="16.5" thickBot="1" x14ac:dyDescent="0.3">
      <c r="A96" s="51"/>
      <c r="B96" s="813"/>
      <c r="D96" s="1048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17" t="s">
        <v>11</v>
      </c>
      <c r="D98" s="1718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72"/>
      <c r="B4" s="1711" t="s">
        <v>93</v>
      </c>
      <c r="C4" s="124"/>
      <c r="D4" s="130"/>
      <c r="E4" s="120"/>
      <c r="F4" s="72"/>
      <c r="G4" s="47"/>
      <c r="H4" s="798"/>
    </row>
    <row r="5" spans="1:9" ht="15" customHeight="1" x14ac:dyDescent="0.25">
      <c r="A5" s="1672"/>
      <c r="B5" s="1712"/>
      <c r="C5" s="124"/>
      <c r="D5" s="218"/>
      <c r="E5" s="644"/>
      <c r="F5" s="664"/>
    </row>
    <row r="6" spans="1:9" ht="15" customHeight="1" x14ac:dyDescent="0.25">
      <c r="A6" s="1724"/>
      <c r="B6" s="171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24"/>
      <c r="B7" s="808"/>
      <c r="C7" s="124"/>
      <c r="D7" s="218"/>
      <c r="E7" s="77"/>
      <c r="F7" s="61"/>
    </row>
    <row r="8" spans="1:9" ht="16.5" thickBot="1" x14ac:dyDescent="0.3">
      <c r="A8" s="807"/>
      <c r="B8" s="80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3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4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6" t="s">
        <v>11</v>
      </c>
      <c r="D61" s="166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64" t="s">
        <v>320</v>
      </c>
      <c r="B1" s="1664"/>
      <c r="C1" s="1664"/>
      <c r="D1" s="1664"/>
      <c r="E1" s="1664"/>
      <c r="F1" s="1664"/>
      <c r="G1" s="1664"/>
      <c r="H1" s="1664"/>
      <c r="I1" s="1664"/>
      <c r="J1" s="11">
        <v>1</v>
      </c>
      <c r="M1" s="1669" t="s">
        <v>336</v>
      </c>
      <c r="N1" s="1669"/>
      <c r="O1" s="1669"/>
      <c r="P1" s="1669"/>
      <c r="Q1" s="1669"/>
      <c r="R1" s="1669"/>
      <c r="S1" s="1669"/>
      <c r="T1" s="1669"/>
      <c r="U1" s="1669"/>
      <c r="V1" s="11">
        <v>2</v>
      </c>
    </row>
    <row r="2" spans="1:23" ht="15.75" thickBot="1" x14ac:dyDescent="0.3">
      <c r="I2" s="128"/>
      <c r="J2" s="1070"/>
      <c r="U2" s="128"/>
      <c r="V2" s="122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0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5"/>
    </row>
    <row r="4" spans="1:23" ht="15.75" thickTop="1" x14ac:dyDescent="0.25">
      <c r="B4" s="12"/>
      <c r="C4" s="717"/>
      <c r="D4" s="718"/>
      <c r="E4" s="596"/>
      <c r="F4" s="576"/>
      <c r="G4" s="1070"/>
      <c r="I4" s="182"/>
      <c r="J4" s="1070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5"/>
      <c r="U4" s="182"/>
      <c r="V4" s="1225" t="s">
        <v>36</v>
      </c>
    </row>
    <row r="5" spans="1:23" ht="15" customHeight="1" x14ac:dyDescent="0.25">
      <c r="A5" s="1668" t="s">
        <v>92</v>
      </c>
      <c r="B5" s="1725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0"/>
      <c r="M5" s="1668" t="s">
        <v>92</v>
      </c>
      <c r="N5" s="1725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5"/>
    </row>
    <row r="6" spans="1:23" x14ac:dyDescent="0.25">
      <c r="A6" s="1668"/>
      <c r="B6" s="1725"/>
      <c r="C6" s="577">
        <v>43</v>
      </c>
      <c r="D6" s="712">
        <v>45100</v>
      </c>
      <c r="E6" s="596">
        <v>1003.34</v>
      </c>
      <c r="F6" s="576">
        <v>221</v>
      </c>
      <c r="I6" s="183"/>
      <c r="J6" s="1070"/>
      <c r="M6" s="1668"/>
      <c r="N6" s="1725"/>
      <c r="O6" s="717">
        <v>42</v>
      </c>
      <c r="P6" s="712">
        <v>45132</v>
      </c>
      <c r="Q6" s="596">
        <v>2043</v>
      </c>
      <c r="R6" s="576">
        <v>450</v>
      </c>
      <c r="U6" s="183"/>
      <c r="V6" s="1225"/>
    </row>
    <row r="7" spans="1:23" x14ac:dyDescent="0.25">
      <c r="A7" s="1069"/>
      <c r="B7" s="1071"/>
      <c r="C7" s="577"/>
      <c r="D7" s="712"/>
      <c r="E7" s="596">
        <v>22.7</v>
      </c>
      <c r="F7" s="576">
        <v>5</v>
      </c>
      <c r="I7" s="183"/>
      <c r="J7" s="1070"/>
      <c r="M7" s="1223"/>
      <c r="N7" s="1226"/>
      <c r="O7" s="577"/>
      <c r="P7" s="712"/>
      <c r="Q7" s="596">
        <v>149.82</v>
      </c>
      <c r="R7" s="576">
        <v>33</v>
      </c>
      <c r="U7" s="183"/>
      <c r="V7" s="1225"/>
    </row>
    <row r="8" spans="1:23" ht="15.75" thickBot="1" x14ac:dyDescent="0.3">
      <c r="B8" s="12"/>
      <c r="C8" s="717"/>
      <c r="D8" s="718"/>
      <c r="E8" s="596"/>
      <c r="F8" s="576"/>
      <c r="I8" s="183"/>
      <c r="J8" s="1070"/>
      <c r="N8" s="12"/>
      <c r="O8" s="717"/>
      <c r="P8" s="718"/>
      <c r="Q8" s="596"/>
      <c r="R8" s="576"/>
      <c r="U8" s="183"/>
      <c r="V8" s="122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0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5"/>
    </row>
    <row r="10" spans="1:23" ht="15.75" thickTop="1" x14ac:dyDescent="0.25">
      <c r="A10" s="1070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0">
        <f>F5-C10+F6+F4+F8+F7</f>
        <v>638</v>
      </c>
      <c r="K10" s="59">
        <f>H10*F10</f>
        <v>6809.9999999999991</v>
      </c>
      <c r="M10" s="1225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497</v>
      </c>
      <c r="T10" s="564">
        <v>50</v>
      </c>
      <c r="U10" s="182">
        <f>Q5+Q4+Q6+Q8-R10+Q7</f>
        <v>6060.9000000000005</v>
      </c>
      <c r="V10" s="1225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507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509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517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521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525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539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544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549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552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562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572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576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585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586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596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597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602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607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613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615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617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634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6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643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644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5">
        <f t="shared" si="4"/>
        <v>22.7</v>
      </c>
      <c r="E35" s="1478">
        <v>45110</v>
      </c>
      <c r="F35" s="938">
        <f t="shared" ref="F35:F109" si="14">D35</f>
        <v>22.7</v>
      </c>
      <c r="G35" s="940" t="s">
        <v>495</v>
      </c>
      <c r="H35" s="937">
        <v>50</v>
      </c>
      <c r="I35" s="1479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658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5">
        <f t="shared" si="4"/>
        <v>0</v>
      </c>
      <c r="E36" s="1478"/>
      <c r="F36" s="938">
        <f t="shared" si="14"/>
        <v>0</v>
      </c>
      <c r="G36" s="940"/>
      <c r="H36" s="937"/>
      <c r="I36" s="1479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659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5">
        <f t="shared" si="4"/>
        <v>0</v>
      </c>
      <c r="E37" s="1478"/>
      <c r="F37" s="938">
        <f t="shared" si="14"/>
        <v>0</v>
      </c>
      <c r="G37" s="940"/>
      <c r="H37" s="937"/>
      <c r="I37" s="1479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661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5">
        <f t="shared" si="4"/>
        <v>149.82</v>
      </c>
      <c r="E38" s="1478"/>
      <c r="F38" s="938">
        <f t="shared" si="14"/>
        <v>149.82</v>
      </c>
      <c r="G38" s="940"/>
      <c r="H38" s="1487"/>
      <c r="I38" s="1488">
        <f t="shared" si="8"/>
        <v>0</v>
      </c>
      <c r="J38" s="1489">
        <f t="shared" si="9"/>
        <v>0</v>
      </c>
      <c r="K38" s="1490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671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5">
        <f t="shared" si="4"/>
        <v>0</v>
      </c>
      <c r="E39" s="939"/>
      <c r="F39" s="938">
        <f t="shared" si="14"/>
        <v>0</v>
      </c>
      <c r="G39" s="940"/>
      <c r="H39" s="1487"/>
      <c r="I39" s="1488">
        <f t="shared" si="8"/>
        <v>0</v>
      </c>
      <c r="J39" s="1489">
        <f t="shared" si="9"/>
        <v>0</v>
      </c>
      <c r="K39" s="1490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680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5">
        <f t="shared" si="4"/>
        <v>0</v>
      </c>
      <c r="E40" s="1480"/>
      <c r="F40" s="935">
        <f t="shared" si="14"/>
        <v>0</v>
      </c>
      <c r="G40" s="940"/>
      <c r="H40" s="1487"/>
      <c r="I40" s="1488">
        <f t="shared" si="8"/>
        <v>0</v>
      </c>
      <c r="J40" s="1489">
        <f t="shared" si="9"/>
        <v>0</v>
      </c>
      <c r="K40" s="1490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681</v>
      </c>
      <c r="T40" s="564">
        <v>50</v>
      </c>
      <c r="U40" s="758">
        <f t="shared" si="12"/>
        <v>2419.8200000000024</v>
      </c>
      <c r="V40" s="1225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5">
        <f t="shared" si="4"/>
        <v>0</v>
      </c>
      <c r="E41" s="1480"/>
      <c r="F41" s="935">
        <f t="shared" si="14"/>
        <v>0</v>
      </c>
      <c r="G41" s="940"/>
      <c r="H41" s="1487"/>
      <c r="I41" s="1488">
        <f t="shared" si="8"/>
        <v>0</v>
      </c>
      <c r="J41" s="1489">
        <f t="shared" si="9"/>
        <v>0</v>
      </c>
      <c r="K41" s="1490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685</v>
      </c>
      <c r="T41" s="564">
        <v>50</v>
      </c>
      <c r="U41" s="758">
        <f t="shared" si="12"/>
        <v>2283.6200000000026</v>
      </c>
      <c r="V41" s="1225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5">
        <f t="shared" si="4"/>
        <v>0</v>
      </c>
      <c r="E42" s="1480"/>
      <c r="F42" s="935">
        <f t="shared" si="14"/>
        <v>0</v>
      </c>
      <c r="G42" s="940"/>
      <c r="H42" s="937"/>
      <c r="I42" s="1479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694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5">
        <f t="shared" si="4"/>
        <v>0</v>
      </c>
      <c r="E43" s="1480"/>
      <c r="F43" s="935">
        <f t="shared" si="14"/>
        <v>0</v>
      </c>
      <c r="G43" s="940"/>
      <c r="H43" s="937"/>
      <c r="I43" s="1479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696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5">
        <f t="shared" si="4"/>
        <v>0</v>
      </c>
      <c r="E44" s="1480"/>
      <c r="F44" s="935">
        <f t="shared" si="14"/>
        <v>0</v>
      </c>
      <c r="G44" s="494"/>
      <c r="H44" s="937"/>
      <c r="I44" s="1479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703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5">
        <f t="shared" si="4"/>
        <v>0</v>
      </c>
      <c r="E45" s="1480"/>
      <c r="F45" s="935">
        <f t="shared" si="14"/>
        <v>0</v>
      </c>
      <c r="G45" s="494"/>
      <c r="H45" s="937"/>
      <c r="I45" s="1479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717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5">
        <f t="shared" si="4"/>
        <v>0</v>
      </c>
      <c r="E46" s="1480"/>
      <c r="F46" s="935">
        <f t="shared" si="14"/>
        <v>0</v>
      </c>
      <c r="G46" s="494"/>
      <c r="H46" s="937"/>
      <c r="I46" s="1479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723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5">
        <f t="shared" si="4"/>
        <v>0</v>
      </c>
      <c r="E47" s="1480"/>
      <c r="F47" s="935">
        <f t="shared" si="14"/>
        <v>0</v>
      </c>
      <c r="G47" s="494"/>
      <c r="H47" s="937"/>
      <c r="I47" s="1479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723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5">
        <f t="shared" si="4"/>
        <v>0</v>
      </c>
      <c r="E48" s="1480"/>
      <c r="F48" s="935">
        <f t="shared" si="14"/>
        <v>0</v>
      </c>
      <c r="G48" s="494"/>
      <c r="H48" s="495"/>
      <c r="I48" s="1479">
        <f t="shared" si="8"/>
        <v>0</v>
      </c>
      <c r="J48" s="1070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724</v>
      </c>
      <c r="T48" s="70">
        <v>50</v>
      </c>
      <c r="U48" s="758">
        <f t="shared" si="12"/>
        <v>1666.180000000003</v>
      </c>
      <c r="V48" s="1225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5">
        <f t="shared" si="4"/>
        <v>0</v>
      </c>
      <c r="E49" s="1480"/>
      <c r="F49" s="935">
        <f t="shared" si="14"/>
        <v>0</v>
      </c>
      <c r="G49" s="494"/>
      <c r="H49" s="495"/>
      <c r="I49" s="1479">
        <f t="shared" si="8"/>
        <v>0</v>
      </c>
      <c r="J49" s="1070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731</v>
      </c>
      <c r="T49" s="70">
        <v>50</v>
      </c>
      <c r="U49" s="758">
        <f t="shared" si="12"/>
        <v>1643.480000000003</v>
      </c>
      <c r="V49" s="1225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5">
        <f t="shared" si="4"/>
        <v>0</v>
      </c>
      <c r="E50" s="1480"/>
      <c r="F50" s="935">
        <f t="shared" si="14"/>
        <v>0</v>
      </c>
      <c r="G50" s="494"/>
      <c r="H50" s="495"/>
      <c r="I50" s="1479">
        <f t="shared" si="8"/>
        <v>0</v>
      </c>
      <c r="J50" s="1070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5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5">
        <f t="shared" si="4"/>
        <v>0</v>
      </c>
      <c r="E51" s="1480"/>
      <c r="F51" s="935">
        <f t="shared" si="14"/>
        <v>0</v>
      </c>
      <c r="G51" s="494"/>
      <c r="H51" s="495"/>
      <c r="I51" s="1479">
        <f t="shared" si="8"/>
        <v>0</v>
      </c>
      <c r="J51" s="1070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5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5">
        <f t="shared" si="4"/>
        <v>0</v>
      </c>
      <c r="E52" s="1480"/>
      <c r="F52" s="935">
        <f t="shared" si="14"/>
        <v>0</v>
      </c>
      <c r="G52" s="494"/>
      <c r="H52" s="495"/>
      <c r="I52" s="1479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5">
        <f t="shared" si="4"/>
        <v>0</v>
      </c>
      <c r="E53" s="1480"/>
      <c r="F53" s="935">
        <f t="shared" si="14"/>
        <v>0</v>
      </c>
      <c r="G53" s="494"/>
      <c r="H53" s="495"/>
      <c r="I53" s="1479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5">
        <f t="shared" si="4"/>
        <v>0</v>
      </c>
      <c r="E54" s="1480"/>
      <c r="F54" s="935">
        <f t="shared" si="14"/>
        <v>0</v>
      </c>
      <c r="G54" s="494"/>
      <c r="H54" s="495"/>
      <c r="I54" s="1479">
        <f t="shared" si="8"/>
        <v>0</v>
      </c>
      <c r="J54" s="1070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5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8">
        <f t="shared" si="4"/>
        <v>0</v>
      </c>
      <c r="E55" s="939"/>
      <c r="F55" s="938">
        <f t="shared" si="14"/>
        <v>0</v>
      </c>
      <c r="G55" s="940"/>
      <c r="H55" s="937"/>
      <c r="I55" s="1479">
        <f t="shared" si="8"/>
        <v>0</v>
      </c>
      <c r="J55" s="1070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5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8">
        <f t="shared" si="4"/>
        <v>0</v>
      </c>
      <c r="E56" s="939"/>
      <c r="F56" s="938">
        <f t="shared" si="14"/>
        <v>0</v>
      </c>
      <c r="G56" s="940"/>
      <c r="H56" s="937"/>
      <c r="I56" s="1479">
        <f t="shared" si="8"/>
        <v>0</v>
      </c>
      <c r="J56" s="1070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5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5">
        <f t="shared" si="4"/>
        <v>0</v>
      </c>
      <c r="E57" s="1480"/>
      <c r="F57" s="935">
        <f t="shared" si="14"/>
        <v>0</v>
      </c>
      <c r="G57" s="494"/>
      <c r="H57" s="495"/>
      <c r="I57" s="1479">
        <f t="shared" si="8"/>
        <v>0</v>
      </c>
      <c r="J57" s="1070">
        <f t="shared" si="16"/>
        <v>0</v>
      </c>
      <c r="K57" s="59">
        <f t="shared" si="6"/>
        <v>0</v>
      </c>
      <c r="N57" s="129">
        <v>4.54</v>
      </c>
      <c r="O57" s="15"/>
      <c r="P57" s="801">
        <f t="shared" si="10"/>
        <v>0</v>
      </c>
      <c r="Q57" s="1296"/>
      <c r="R57" s="801">
        <f t="shared" si="15"/>
        <v>0</v>
      </c>
      <c r="S57" s="524"/>
      <c r="T57" s="358"/>
      <c r="U57" s="1295">
        <f t="shared" si="12"/>
        <v>1643.480000000003</v>
      </c>
      <c r="V57" s="1225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5">
        <f t="shared" si="4"/>
        <v>0</v>
      </c>
      <c r="E58" s="1480"/>
      <c r="F58" s="935">
        <f t="shared" si="14"/>
        <v>0</v>
      </c>
      <c r="G58" s="494"/>
      <c r="H58" s="495"/>
      <c r="I58" s="1479">
        <f t="shared" si="8"/>
        <v>0</v>
      </c>
      <c r="J58" s="1070">
        <f t="shared" si="16"/>
        <v>0</v>
      </c>
      <c r="K58" s="59">
        <f t="shared" si="6"/>
        <v>0</v>
      </c>
      <c r="N58" s="129">
        <v>4.54</v>
      </c>
      <c r="O58" s="15"/>
      <c r="P58" s="801">
        <f t="shared" si="10"/>
        <v>0</v>
      </c>
      <c r="Q58" s="1296"/>
      <c r="R58" s="801">
        <f t="shared" si="15"/>
        <v>0</v>
      </c>
      <c r="S58" s="524"/>
      <c r="T58" s="358"/>
      <c r="U58" s="1295">
        <f t="shared" si="12"/>
        <v>1643.480000000003</v>
      </c>
      <c r="V58" s="1225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5">
        <f t="shared" si="4"/>
        <v>0</v>
      </c>
      <c r="E59" s="1480"/>
      <c r="F59" s="935">
        <f t="shared" si="14"/>
        <v>0</v>
      </c>
      <c r="G59" s="494"/>
      <c r="H59" s="495"/>
      <c r="I59" s="1479">
        <f t="shared" si="8"/>
        <v>0</v>
      </c>
      <c r="J59" s="1070">
        <f t="shared" si="16"/>
        <v>0</v>
      </c>
      <c r="K59" s="59">
        <f t="shared" si="6"/>
        <v>0</v>
      </c>
      <c r="N59" s="129">
        <v>4.54</v>
      </c>
      <c r="O59" s="15"/>
      <c r="P59" s="801">
        <f t="shared" si="10"/>
        <v>0</v>
      </c>
      <c r="Q59" s="1296"/>
      <c r="R59" s="801">
        <f t="shared" si="15"/>
        <v>0</v>
      </c>
      <c r="S59" s="524"/>
      <c r="T59" s="358"/>
      <c r="U59" s="1295">
        <f t="shared" si="12"/>
        <v>1643.480000000003</v>
      </c>
      <c r="V59" s="1225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5">
        <f t="shared" si="4"/>
        <v>0</v>
      </c>
      <c r="E60" s="1480"/>
      <c r="F60" s="935">
        <f t="shared" si="14"/>
        <v>0</v>
      </c>
      <c r="G60" s="494"/>
      <c r="H60" s="495"/>
      <c r="I60" s="1479">
        <f t="shared" si="8"/>
        <v>0</v>
      </c>
      <c r="J60" s="1070">
        <f t="shared" si="16"/>
        <v>0</v>
      </c>
      <c r="K60" s="59">
        <f t="shared" si="6"/>
        <v>0</v>
      </c>
      <c r="N60" s="129">
        <v>4.54</v>
      </c>
      <c r="O60" s="15"/>
      <c r="P60" s="801">
        <f t="shared" si="10"/>
        <v>0</v>
      </c>
      <c r="Q60" s="1296"/>
      <c r="R60" s="801">
        <f t="shared" si="15"/>
        <v>0</v>
      </c>
      <c r="S60" s="524"/>
      <c r="T60" s="358"/>
      <c r="U60" s="1295">
        <f t="shared" si="12"/>
        <v>1643.480000000003</v>
      </c>
      <c r="V60" s="1225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5">
        <f t="shared" si="4"/>
        <v>0</v>
      </c>
      <c r="E61" s="1480"/>
      <c r="F61" s="935">
        <f t="shared" si="14"/>
        <v>0</v>
      </c>
      <c r="G61" s="494"/>
      <c r="H61" s="495"/>
      <c r="I61" s="1479">
        <f t="shared" si="8"/>
        <v>0</v>
      </c>
      <c r="J61" s="1070">
        <f t="shared" si="16"/>
        <v>0</v>
      </c>
      <c r="K61" s="59">
        <f t="shared" si="6"/>
        <v>0</v>
      </c>
      <c r="N61" s="129">
        <v>4.54</v>
      </c>
      <c r="O61" s="15"/>
      <c r="P61" s="801">
        <f t="shared" si="10"/>
        <v>0</v>
      </c>
      <c r="Q61" s="1296"/>
      <c r="R61" s="801">
        <f t="shared" si="15"/>
        <v>0</v>
      </c>
      <c r="S61" s="524"/>
      <c r="T61" s="358"/>
      <c r="U61" s="1295">
        <f t="shared" si="12"/>
        <v>1643.480000000003</v>
      </c>
      <c r="V61" s="1225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5">
        <f t="shared" si="4"/>
        <v>0</v>
      </c>
      <c r="E62" s="1480"/>
      <c r="F62" s="935">
        <f t="shared" si="14"/>
        <v>0</v>
      </c>
      <c r="G62" s="494"/>
      <c r="H62" s="495"/>
      <c r="I62" s="1479">
        <f t="shared" si="8"/>
        <v>0</v>
      </c>
      <c r="J62" s="1070">
        <f t="shared" si="16"/>
        <v>0</v>
      </c>
      <c r="K62" s="59">
        <f t="shared" si="6"/>
        <v>0</v>
      </c>
      <c r="N62" s="129">
        <v>4.54</v>
      </c>
      <c r="O62" s="15"/>
      <c r="P62" s="801">
        <f t="shared" si="10"/>
        <v>0</v>
      </c>
      <c r="Q62" s="1296"/>
      <c r="R62" s="801">
        <f t="shared" si="15"/>
        <v>0</v>
      </c>
      <c r="S62" s="524"/>
      <c r="T62" s="358"/>
      <c r="U62" s="1295">
        <f t="shared" si="12"/>
        <v>1643.480000000003</v>
      </c>
      <c r="V62" s="1225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5">
        <f t="shared" si="4"/>
        <v>0</v>
      </c>
      <c r="E63" s="1480"/>
      <c r="F63" s="935">
        <f t="shared" si="14"/>
        <v>0</v>
      </c>
      <c r="G63" s="494"/>
      <c r="H63" s="495"/>
      <c r="I63" s="1479">
        <f t="shared" si="8"/>
        <v>0</v>
      </c>
      <c r="J63" s="1070">
        <f t="shared" si="16"/>
        <v>0</v>
      </c>
      <c r="K63" s="59">
        <f t="shared" si="6"/>
        <v>0</v>
      </c>
      <c r="N63" s="129">
        <v>4.54</v>
      </c>
      <c r="O63" s="15"/>
      <c r="P63" s="801">
        <f t="shared" si="10"/>
        <v>0</v>
      </c>
      <c r="Q63" s="1296"/>
      <c r="R63" s="801">
        <f t="shared" si="15"/>
        <v>0</v>
      </c>
      <c r="S63" s="524"/>
      <c r="T63" s="358"/>
      <c r="U63" s="1295">
        <f t="shared" si="12"/>
        <v>1643.480000000003</v>
      </c>
      <c r="V63" s="1225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5">
        <f t="shared" si="4"/>
        <v>0</v>
      </c>
      <c r="E64" s="1480"/>
      <c r="F64" s="935">
        <f t="shared" si="14"/>
        <v>0</v>
      </c>
      <c r="G64" s="494"/>
      <c r="H64" s="495"/>
      <c r="I64" s="1479">
        <f t="shared" si="8"/>
        <v>0</v>
      </c>
      <c r="J64" s="1070">
        <f t="shared" si="16"/>
        <v>0</v>
      </c>
      <c r="K64" s="59">
        <f t="shared" si="6"/>
        <v>0</v>
      </c>
      <c r="N64" s="129">
        <v>4.54</v>
      </c>
      <c r="O64" s="15"/>
      <c r="P64" s="801">
        <f t="shared" si="10"/>
        <v>0</v>
      </c>
      <c r="Q64" s="1296"/>
      <c r="R64" s="801">
        <f t="shared" si="15"/>
        <v>0</v>
      </c>
      <c r="S64" s="524"/>
      <c r="T64" s="358"/>
      <c r="U64" s="1295">
        <f t="shared" si="12"/>
        <v>1643.480000000003</v>
      </c>
      <c r="V64" s="1225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5">
        <f t="shared" si="4"/>
        <v>0</v>
      </c>
      <c r="E65" s="1480"/>
      <c r="F65" s="935">
        <f t="shared" si="14"/>
        <v>0</v>
      </c>
      <c r="G65" s="494"/>
      <c r="H65" s="495"/>
      <c r="I65" s="1479">
        <f t="shared" si="8"/>
        <v>0</v>
      </c>
      <c r="J65" s="1070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0"/>
      <c r="R65" s="482">
        <f t="shared" si="15"/>
        <v>0</v>
      </c>
      <c r="S65" s="314"/>
      <c r="T65" s="315"/>
      <c r="U65" s="758">
        <f t="shared" si="12"/>
        <v>1643.480000000003</v>
      </c>
      <c r="V65" s="1225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5">
        <f t="shared" si="4"/>
        <v>0</v>
      </c>
      <c r="E66" s="1480"/>
      <c r="F66" s="935">
        <f t="shared" si="14"/>
        <v>0</v>
      </c>
      <c r="G66" s="494"/>
      <c r="H66" s="495"/>
      <c r="I66" s="1479">
        <f t="shared" si="8"/>
        <v>0</v>
      </c>
      <c r="J66" s="1070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0"/>
      <c r="R66" s="482">
        <f t="shared" si="15"/>
        <v>0</v>
      </c>
      <c r="S66" s="314"/>
      <c r="T66" s="315"/>
      <c r="U66" s="758">
        <f t="shared" si="12"/>
        <v>1643.480000000003</v>
      </c>
      <c r="V66" s="1225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5">
        <f t="shared" si="4"/>
        <v>0</v>
      </c>
      <c r="E67" s="1480"/>
      <c r="F67" s="935">
        <f t="shared" si="14"/>
        <v>0</v>
      </c>
      <c r="G67" s="494"/>
      <c r="H67" s="495"/>
      <c r="I67" s="1479">
        <f t="shared" si="8"/>
        <v>0</v>
      </c>
      <c r="J67" s="1070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0"/>
      <c r="R67" s="482">
        <f t="shared" si="15"/>
        <v>0</v>
      </c>
      <c r="S67" s="314"/>
      <c r="T67" s="315"/>
      <c r="U67" s="758">
        <f t="shared" si="12"/>
        <v>1643.480000000003</v>
      </c>
      <c r="V67" s="1225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5">
        <f t="shared" si="4"/>
        <v>0</v>
      </c>
      <c r="E68" s="1480"/>
      <c r="F68" s="935">
        <f t="shared" si="14"/>
        <v>0</v>
      </c>
      <c r="G68" s="494"/>
      <c r="H68" s="495"/>
      <c r="I68" s="1479">
        <f t="shared" si="8"/>
        <v>0</v>
      </c>
      <c r="J68" s="1070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0"/>
      <c r="R68" s="482">
        <f t="shared" si="15"/>
        <v>0</v>
      </c>
      <c r="S68" s="314"/>
      <c r="T68" s="315"/>
      <c r="U68" s="758">
        <f t="shared" si="12"/>
        <v>1643.480000000003</v>
      </c>
      <c r="V68" s="1225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5">
        <f t="shared" si="4"/>
        <v>0</v>
      </c>
      <c r="E69" s="1480"/>
      <c r="F69" s="935">
        <f t="shared" si="14"/>
        <v>0</v>
      </c>
      <c r="G69" s="494"/>
      <c r="H69" s="495"/>
      <c r="I69" s="1479">
        <f t="shared" si="8"/>
        <v>0</v>
      </c>
      <c r="J69" s="1070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0"/>
      <c r="R69" s="482">
        <f t="shared" si="15"/>
        <v>0</v>
      </c>
      <c r="S69" s="314"/>
      <c r="T69" s="315"/>
      <c r="U69" s="758">
        <f t="shared" si="12"/>
        <v>1643.480000000003</v>
      </c>
      <c r="V69" s="1225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5">
        <f t="shared" si="4"/>
        <v>0</v>
      </c>
      <c r="E70" s="1480"/>
      <c r="F70" s="935">
        <f t="shared" si="14"/>
        <v>0</v>
      </c>
      <c r="G70" s="494"/>
      <c r="H70" s="495"/>
      <c r="I70" s="1479">
        <f t="shared" si="8"/>
        <v>0</v>
      </c>
      <c r="J70" s="1070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0"/>
      <c r="R70" s="482">
        <f t="shared" si="15"/>
        <v>0</v>
      </c>
      <c r="S70" s="314"/>
      <c r="T70" s="315"/>
      <c r="U70" s="758">
        <f t="shared" si="12"/>
        <v>1643.480000000003</v>
      </c>
      <c r="V70" s="1225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5">
        <f t="shared" si="4"/>
        <v>0</v>
      </c>
      <c r="E71" s="1480"/>
      <c r="F71" s="935">
        <f t="shared" si="14"/>
        <v>0</v>
      </c>
      <c r="G71" s="494"/>
      <c r="H71" s="495"/>
      <c r="I71" s="1479">
        <f t="shared" si="8"/>
        <v>0</v>
      </c>
      <c r="J71" s="1070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0"/>
      <c r="R71" s="482">
        <f t="shared" si="15"/>
        <v>0</v>
      </c>
      <c r="S71" s="314"/>
      <c r="T71" s="315"/>
      <c r="U71" s="758">
        <f t="shared" si="12"/>
        <v>1643.480000000003</v>
      </c>
      <c r="V71" s="1225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5">
        <f t="shared" si="4"/>
        <v>0</v>
      </c>
      <c r="E72" s="1480"/>
      <c r="F72" s="935">
        <f t="shared" si="14"/>
        <v>0</v>
      </c>
      <c r="G72" s="494"/>
      <c r="H72" s="495"/>
      <c r="I72" s="1479">
        <f t="shared" si="8"/>
        <v>0</v>
      </c>
      <c r="J72" s="1070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0"/>
      <c r="R72" s="482">
        <f t="shared" si="15"/>
        <v>0</v>
      </c>
      <c r="S72" s="314"/>
      <c r="T72" s="315"/>
      <c r="U72" s="758">
        <f t="shared" si="12"/>
        <v>1643.480000000003</v>
      </c>
      <c r="V72" s="1225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5">
        <f t="shared" si="4"/>
        <v>0</v>
      </c>
      <c r="E73" s="1480"/>
      <c r="F73" s="935">
        <f t="shared" si="14"/>
        <v>0</v>
      </c>
      <c r="G73" s="494"/>
      <c r="H73" s="495"/>
      <c r="I73" s="1479">
        <f t="shared" si="8"/>
        <v>0</v>
      </c>
      <c r="J73" s="1070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0"/>
      <c r="R73" s="482">
        <f t="shared" si="15"/>
        <v>0</v>
      </c>
      <c r="S73" s="314"/>
      <c r="T73" s="315"/>
      <c r="U73" s="758">
        <f t="shared" si="12"/>
        <v>1643.480000000003</v>
      </c>
      <c r="V73" s="1225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5">
        <f t="shared" ref="D74:D109" si="18">C74*B74</f>
        <v>0</v>
      </c>
      <c r="E74" s="1480"/>
      <c r="F74" s="935">
        <f t="shared" si="14"/>
        <v>0</v>
      </c>
      <c r="G74" s="494"/>
      <c r="H74" s="495"/>
      <c r="I74" s="1479">
        <f t="shared" si="8"/>
        <v>0</v>
      </c>
      <c r="J74" s="1070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0"/>
      <c r="R74" s="482">
        <f t="shared" si="15"/>
        <v>0</v>
      </c>
      <c r="S74" s="314"/>
      <c r="T74" s="315"/>
      <c r="U74" s="758">
        <f t="shared" si="12"/>
        <v>1643.480000000003</v>
      </c>
      <c r="V74" s="1225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5">
        <f t="shared" si="18"/>
        <v>0</v>
      </c>
      <c r="E75" s="1480"/>
      <c r="F75" s="935">
        <f t="shared" si="14"/>
        <v>0</v>
      </c>
      <c r="G75" s="494"/>
      <c r="H75" s="495"/>
      <c r="I75" s="1479">
        <f t="shared" si="8"/>
        <v>0</v>
      </c>
      <c r="J75" s="1070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0"/>
      <c r="R75" s="482">
        <f t="shared" si="15"/>
        <v>0</v>
      </c>
      <c r="S75" s="314"/>
      <c r="T75" s="315"/>
      <c r="U75" s="758">
        <f t="shared" si="12"/>
        <v>1643.480000000003</v>
      </c>
      <c r="V75" s="1225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5">
        <f t="shared" si="18"/>
        <v>0</v>
      </c>
      <c r="E76" s="1480"/>
      <c r="F76" s="935">
        <f t="shared" si="14"/>
        <v>0</v>
      </c>
      <c r="G76" s="494"/>
      <c r="H76" s="495"/>
      <c r="I76" s="1479">
        <f t="shared" ref="I76:I108" si="20">I75-F76</f>
        <v>0</v>
      </c>
      <c r="J76" s="1070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0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5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5">
        <f t="shared" si="18"/>
        <v>0</v>
      </c>
      <c r="E77" s="1480"/>
      <c r="F77" s="935">
        <f t="shared" si="14"/>
        <v>0</v>
      </c>
      <c r="G77" s="494"/>
      <c r="H77" s="495"/>
      <c r="I77" s="1479">
        <f t="shared" si="20"/>
        <v>0</v>
      </c>
      <c r="J77" s="1070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0"/>
      <c r="R77" s="482">
        <f t="shared" si="15"/>
        <v>0</v>
      </c>
      <c r="S77" s="314"/>
      <c r="T77" s="315"/>
      <c r="U77" s="758">
        <f t="shared" si="21"/>
        <v>1643.480000000003</v>
      </c>
      <c r="V77" s="1225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5">
        <f t="shared" si="18"/>
        <v>0</v>
      </c>
      <c r="E78" s="1480"/>
      <c r="F78" s="935">
        <f t="shared" si="14"/>
        <v>0</v>
      </c>
      <c r="G78" s="494"/>
      <c r="H78" s="495"/>
      <c r="I78" s="1479">
        <f t="shared" si="20"/>
        <v>0</v>
      </c>
      <c r="J78" s="1070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0"/>
      <c r="R78" s="482">
        <f t="shared" si="15"/>
        <v>0</v>
      </c>
      <c r="S78" s="314"/>
      <c r="T78" s="315"/>
      <c r="U78" s="758">
        <f t="shared" si="21"/>
        <v>1643.480000000003</v>
      </c>
      <c r="V78" s="1225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5">
        <f t="shared" si="18"/>
        <v>0</v>
      </c>
      <c r="E79" s="1480"/>
      <c r="F79" s="935">
        <f t="shared" si="14"/>
        <v>0</v>
      </c>
      <c r="G79" s="494"/>
      <c r="H79" s="495"/>
      <c r="I79" s="1479">
        <f t="shared" si="20"/>
        <v>0</v>
      </c>
      <c r="J79" s="1070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0"/>
      <c r="R79" s="482">
        <f t="shared" si="15"/>
        <v>0</v>
      </c>
      <c r="S79" s="314"/>
      <c r="T79" s="315"/>
      <c r="U79" s="758">
        <f t="shared" si="21"/>
        <v>1643.480000000003</v>
      </c>
      <c r="V79" s="1225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0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5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0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5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0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5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0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5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0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5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0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5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0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5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0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5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0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5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0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5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0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5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0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5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0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5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0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5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0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5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0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5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0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5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0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5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0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5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0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5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0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5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0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5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0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5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0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5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0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5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0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5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0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5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0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5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0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5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0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5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0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0"/>
      <c r="O111" s="15"/>
      <c r="P111" s="6"/>
      <c r="Q111" s="13"/>
      <c r="R111" s="6"/>
      <c r="S111" s="31"/>
      <c r="T111" s="17"/>
      <c r="U111" s="128"/>
      <c r="V111" s="1225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0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5"/>
    </row>
    <row r="113" spans="3:22" x14ac:dyDescent="0.25">
      <c r="C113" s="1726" t="s">
        <v>19</v>
      </c>
      <c r="D113" s="1727"/>
      <c r="E113" s="39">
        <f>E4+E5-F110+E6+E8</f>
        <v>-22.699999999999704</v>
      </c>
      <c r="F113" s="6"/>
      <c r="G113" s="6"/>
      <c r="H113" s="17"/>
      <c r="I113" s="128"/>
      <c r="J113" s="1070"/>
      <c r="O113" s="1726" t="s">
        <v>19</v>
      </c>
      <c r="P113" s="1727"/>
      <c r="Q113" s="39">
        <f>Q4+Q5-R110+Q6+Q8</f>
        <v>1493.6600000000012</v>
      </c>
      <c r="R113" s="6"/>
      <c r="S113" s="6"/>
      <c r="T113" s="17"/>
      <c r="U113" s="128"/>
      <c r="V113" s="122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0"/>
      <c r="O114" s="44"/>
      <c r="P114" s="43"/>
      <c r="Q114" s="41"/>
      <c r="R114" s="6"/>
      <c r="S114" s="31"/>
      <c r="T114" s="17"/>
      <c r="U114" s="128"/>
      <c r="V114" s="1225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0"/>
      <c r="O115" s="15"/>
      <c r="P115" s="6"/>
      <c r="Q115" s="13"/>
      <c r="R115" s="6"/>
      <c r="S115" s="31"/>
      <c r="T115" s="17"/>
      <c r="U115" s="128"/>
      <c r="V115" s="1225"/>
    </row>
    <row r="116" spans="3:22" x14ac:dyDescent="0.25">
      <c r="I116" s="128"/>
      <c r="J116" s="1070"/>
      <c r="U116" s="128"/>
      <c r="V116" s="1225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2"/>
      <c r="B5" s="1662"/>
      <c r="C5" s="362"/>
      <c r="D5" s="578"/>
      <c r="E5" s="713"/>
      <c r="F5" s="664"/>
      <c r="G5" s="5"/>
    </row>
    <row r="6" spans="1:9" x14ac:dyDescent="0.25">
      <c r="A6" s="1662"/>
      <c r="B6" s="166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B22" sqref="B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64" t="s">
        <v>321</v>
      </c>
      <c r="B1" s="1664"/>
      <c r="C1" s="1664"/>
      <c r="D1" s="1664"/>
      <c r="E1" s="1664"/>
      <c r="F1" s="1664"/>
      <c r="G1" s="16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6">
        <v>115</v>
      </c>
      <c r="G4" s="1016"/>
    </row>
    <row r="5" spans="1:10" ht="15.75" customHeight="1" x14ac:dyDescent="0.25">
      <c r="A5" s="1728" t="s">
        <v>116</v>
      </c>
      <c r="B5" s="1681" t="s">
        <v>115</v>
      </c>
      <c r="C5" s="892"/>
      <c r="D5" s="893"/>
      <c r="E5" s="894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29"/>
      <c r="B6" s="1681"/>
      <c r="C6" s="190"/>
      <c r="D6" s="145"/>
      <c r="E6" s="102"/>
      <c r="F6" s="1016"/>
    </row>
    <row r="7" spans="1:10" ht="15.75" customHeight="1" thickBot="1" x14ac:dyDescent="0.3">
      <c r="B7" s="12"/>
      <c r="C7" s="190"/>
      <c r="D7" s="145"/>
      <c r="E7" s="102"/>
      <c r="F7" s="1016"/>
      <c r="I7" s="173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31"/>
    </row>
    <row r="9" spans="1:10" ht="15.75" thickTop="1" x14ac:dyDescent="0.25">
      <c r="A9" s="1016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198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199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199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199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199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199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199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198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199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536</v>
      </c>
      <c r="H18" s="593">
        <v>46</v>
      </c>
      <c r="I18" s="1199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581</v>
      </c>
      <c r="H19" s="593">
        <v>46</v>
      </c>
      <c r="I19" s="1199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589</v>
      </c>
      <c r="H20" s="593">
        <v>46</v>
      </c>
      <c r="I20" s="1199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619</v>
      </c>
      <c r="H21" s="593">
        <v>46</v>
      </c>
      <c r="I21" s="1199">
        <f t="shared" si="2"/>
        <v>1476.4900000000002</v>
      </c>
      <c r="J21" s="594"/>
    </row>
    <row r="22" spans="2:10" x14ac:dyDescent="0.25">
      <c r="B22" s="642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699</v>
      </c>
      <c r="H22" s="593">
        <v>46</v>
      </c>
      <c r="I22" s="1198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199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199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199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199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199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199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199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199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199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199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199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199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199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199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199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199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199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199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199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199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199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199">
        <f t="shared" si="2"/>
        <v>1174.9500000000003</v>
      </c>
    </row>
    <row r="45" spans="2:9" ht="15.75" thickBot="1" x14ac:dyDescent="0.3">
      <c r="B45" s="83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0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26" t="s">
        <v>19</v>
      </c>
      <c r="D49" s="172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64" t="s">
        <v>322</v>
      </c>
      <c r="B1" s="1664"/>
      <c r="C1" s="1664"/>
      <c r="D1" s="1664"/>
      <c r="E1" s="1664"/>
      <c r="F1" s="1664"/>
      <c r="G1" s="1664"/>
      <c r="H1" s="11">
        <v>1</v>
      </c>
      <c r="K1" s="1664" t="str">
        <f>A1</f>
        <v>INVENTARIO   DEL MES DE JUNIO  2023</v>
      </c>
      <c r="L1" s="1664"/>
      <c r="M1" s="1664"/>
      <c r="N1" s="1664"/>
      <c r="O1" s="1664"/>
      <c r="P1" s="1664"/>
      <c r="Q1" s="1664"/>
      <c r="R1" s="11">
        <v>2</v>
      </c>
      <c r="U1" s="1664" t="s">
        <v>311</v>
      </c>
      <c r="V1" s="1664"/>
      <c r="W1" s="1664"/>
      <c r="X1" s="1664"/>
      <c r="Y1" s="1664"/>
      <c r="Z1" s="1664"/>
      <c r="AA1" s="1664"/>
      <c r="AB1" s="11">
        <v>3</v>
      </c>
      <c r="AE1" s="1669" t="s">
        <v>346</v>
      </c>
      <c r="AF1" s="1669"/>
      <c r="AG1" s="1669"/>
      <c r="AH1" s="1669"/>
      <c r="AI1" s="1669"/>
      <c r="AJ1" s="1669"/>
      <c r="AK1" s="1669"/>
      <c r="AL1" s="11">
        <v>4</v>
      </c>
      <c r="AO1" s="1669" t="s">
        <v>346</v>
      </c>
      <c r="AP1" s="1669"/>
      <c r="AQ1" s="1669"/>
      <c r="AR1" s="1669"/>
      <c r="AS1" s="1669"/>
      <c r="AT1" s="1669"/>
      <c r="AU1" s="166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13" t="s">
        <v>94</v>
      </c>
      <c r="B5" s="1732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13" t="s">
        <v>94</v>
      </c>
      <c r="L5" s="1734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13" t="s">
        <v>94</v>
      </c>
      <c r="V5" s="1732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13" t="s">
        <v>94</v>
      </c>
      <c r="AF5" s="1732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13" t="s">
        <v>94</v>
      </c>
      <c r="AP5" s="1734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13"/>
      <c r="B6" s="1733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13"/>
      <c r="L6" s="1734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13"/>
      <c r="V6" s="1733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13"/>
      <c r="AF6" s="1733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13"/>
      <c r="AP6" s="1734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703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524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723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556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563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1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600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28"/>
      <c r="L14" s="676">
        <f t="shared" si="6"/>
        <v>14</v>
      </c>
      <c r="M14" s="624">
        <v>1</v>
      </c>
      <c r="N14" s="708">
        <v>10</v>
      </c>
      <c r="O14" s="1091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6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607</v>
      </c>
      <c r="AB14" s="564">
        <v>115</v>
      </c>
      <c r="AC14" s="596">
        <f t="shared" si="12"/>
        <v>70</v>
      </c>
      <c r="AD14" s="594"/>
      <c r="AE14" s="1392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2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28" t="s">
        <v>22</v>
      </c>
      <c r="L15" s="676">
        <f t="shared" si="6"/>
        <v>12</v>
      </c>
      <c r="M15" s="624">
        <v>2</v>
      </c>
      <c r="N15" s="708">
        <v>20</v>
      </c>
      <c r="O15" s="1091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6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624</v>
      </c>
      <c r="AB15" s="564">
        <v>115</v>
      </c>
      <c r="AC15" s="596">
        <f t="shared" si="12"/>
        <v>20</v>
      </c>
      <c r="AD15" s="594"/>
      <c r="AE15" s="1392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2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2">
        <v>10</v>
      </c>
      <c r="E16" s="1196">
        <v>45085</v>
      </c>
      <c r="F16" s="1182">
        <f t="shared" si="0"/>
        <v>10</v>
      </c>
      <c r="G16" s="1183" t="s">
        <v>207</v>
      </c>
      <c r="H16" s="1184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1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658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2"/>
      <c r="AI16" s="1196"/>
      <c r="AJ16" s="1182">
        <f t="shared" si="3"/>
        <v>0</v>
      </c>
      <c r="AK16" s="1183"/>
      <c r="AL16" s="1184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2">
        <v>20</v>
      </c>
      <c r="E17" s="1196">
        <v>45087</v>
      </c>
      <c r="F17" s="1182">
        <f t="shared" si="0"/>
        <v>20</v>
      </c>
      <c r="G17" s="1183" t="s">
        <v>213</v>
      </c>
      <c r="H17" s="1184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1">
        <v>45118</v>
      </c>
      <c r="P17" s="708">
        <f t="shared" si="1"/>
        <v>20</v>
      </c>
      <c r="Q17" s="709" t="s">
        <v>563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670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2">
        <v>30</v>
      </c>
      <c r="E18" s="1196">
        <v>45087</v>
      </c>
      <c r="F18" s="1182">
        <f t="shared" si="0"/>
        <v>30</v>
      </c>
      <c r="G18" s="1183" t="s">
        <v>214</v>
      </c>
      <c r="H18" s="1184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6">
        <v>20</v>
      </c>
      <c r="O18" s="1247">
        <v>45122</v>
      </c>
      <c r="P18" s="1246">
        <f t="shared" si="1"/>
        <v>20</v>
      </c>
      <c r="Q18" s="1248" t="s">
        <v>607</v>
      </c>
      <c r="R18" s="1249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2">
        <v>10</v>
      </c>
      <c r="E19" s="1196">
        <v>45093</v>
      </c>
      <c r="F19" s="1182">
        <f t="shared" si="0"/>
        <v>10</v>
      </c>
      <c r="G19" s="1183" t="s">
        <v>231</v>
      </c>
      <c r="H19" s="1184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6">
        <v>50</v>
      </c>
      <c r="O19" s="1247">
        <v>45125</v>
      </c>
      <c r="P19" s="1246">
        <f t="shared" si="1"/>
        <v>50</v>
      </c>
      <c r="Q19" s="1248" t="s">
        <v>624</v>
      </c>
      <c r="R19" s="1249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18">
        <f t="shared" si="2"/>
        <v>0</v>
      </c>
      <c r="AA19" s="1519"/>
      <c r="AB19" s="1520"/>
      <c r="AC19" s="1494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2">
        <v>10</v>
      </c>
      <c r="E20" s="1196">
        <v>45094</v>
      </c>
      <c r="F20" s="1182">
        <f t="shared" si="0"/>
        <v>10</v>
      </c>
      <c r="G20" s="1183" t="s">
        <v>239</v>
      </c>
      <c r="H20" s="1184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6">
        <v>10</v>
      </c>
      <c r="O20" s="1247">
        <v>45125</v>
      </c>
      <c r="P20" s="1246">
        <f t="shared" si="1"/>
        <v>10</v>
      </c>
      <c r="Q20" s="1248" t="s">
        <v>634</v>
      </c>
      <c r="R20" s="1249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18">
        <f t="shared" si="2"/>
        <v>0</v>
      </c>
      <c r="AA20" s="1519"/>
      <c r="AB20" s="1520"/>
      <c r="AC20" s="1494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2">
        <v>10</v>
      </c>
      <c r="E21" s="1196">
        <v>45096</v>
      </c>
      <c r="F21" s="1182">
        <f t="shared" si="0"/>
        <v>10</v>
      </c>
      <c r="G21" s="1183" t="s">
        <v>242</v>
      </c>
      <c r="H21" s="1184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6">
        <v>10</v>
      </c>
      <c r="O21" s="1247">
        <v>45136</v>
      </c>
      <c r="P21" s="1246">
        <f t="shared" si="1"/>
        <v>10</v>
      </c>
      <c r="Q21" s="1248" t="s">
        <v>723</v>
      </c>
      <c r="R21" s="1249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18">
        <f t="shared" si="2"/>
        <v>0</v>
      </c>
      <c r="AA21" s="1519"/>
      <c r="AB21" s="1520"/>
      <c r="AC21" s="1494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2">
        <v>10</v>
      </c>
      <c r="E22" s="1196">
        <v>45098</v>
      </c>
      <c r="F22" s="1182">
        <f t="shared" si="0"/>
        <v>10</v>
      </c>
      <c r="G22" s="1183" t="s">
        <v>245</v>
      </c>
      <c r="H22" s="1184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6"/>
      <c r="O22" s="1247"/>
      <c r="P22" s="1246">
        <f t="shared" si="1"/>
        <v>0</v>
      </c>
      <c r="Q22" s="1248"/>
      <c r="R22" s="1249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18">
        <f t="shared" si="2"/>
        <v>0</v>
      </c>
      <c r="AA22" s="1519"/>
      <c r="AB22" s="1520"/>
      <c r="AC22" s="1494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2">
        <v>20</v>
      </c>
      <c r="E23" s="1196">
        <v>45099</v>
      </c>
      <c r="F23" s="1182">
        <f t="shared" si="0"/>
        <v>20</v>
      </c>
      <c r="G23" s="1183" t="s">
        <v>221</v>
      </c>
      <c r="H23" s="1184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6"/>
      <c r="O23" s="1247"/>
      <c r="P23" s="1514">
        <f t="shared" si="1"/>
        <v>0</v>
      </c>
      <c r="Q23" s="1515"/>
      <c r="R23" s="1516"/>
      <c r="S23" s="1494">
        <f t="shared" si="11"/>
        <v>0</v>
      </c>
      <c r="U23" s="119"/>
      <c r="V23" s="719">
        <f t="shared" si="7"/>
        <v>0</v>
      </c>
      <c r="W23" s="576"/>
      <c r="X23" s="565"/>
      <c r="Y23" s="592"/>
      <c r="Z23" s="1518">
        <f t="shared" si="2"/>
        <v>0</v>
      </c>
      <c r="AA23" s="1519"/>
      <c r="AB23" s="1520"/>
      <c r="AC23" s="1494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2">
        <v>10</v>
      </c>
      <c r="E24" s="1196">
        <v>45099</v>
      </c>
      <c r="F24" s="1182">
        <f t="shared" si="0"/>
        <v>10</v>
      </c>
      <c r="G24" s="1183" t="s">
        <v>251</v>
      </c>
      <c r="H24" s="1184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6"/>
      <c r="O24" s="1247"/>
      <c r="P24" s="1514">
        <f t="shared" si="1"/>
        <v>0</v>
      </c>
      <c r="Q24" s="1515"/>
      <c r="R24" s="1516"/>
      <c r="S24" s="1494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2">
        <v>20</v>
      </c>
      <c r="E25" s="1196">
        <v>45104</v>
      </c>
      <c r="F25" s="1182">
        <f t="shared" si="0"/>
        <v>20</v>
      </c>
      <c r="G25" s="1183" t="s">
        <v>274</v>
      </c>
      <c r="H25" s="1184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6"/>
      <c r="O25" s="1247"/>
      <c r="P25" s="1514">
        <f t="shared" si="1"/>
        <v>0</v>
      </c>
      <c r="Q25" s="1515"/>
      <c r="R25" s="1516"/>
      <c r="S25" s="1494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2">
        <v>10</v>
      </c>
      <c r="E26" s="1196">
        <v>45106</v>
      </c>
      <c r="F26" s="1182">
        <f t="shared" si="0"/>
        <v>10</v>
      </c>
      <c r="G26" s="1183" t="s">
        <v>290</v>
      </c>
      <c r="H26" s="1184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6"/>
      <c r="O26" s="1247"/>
      <c r="P26" s="1514">
        <f t="shared" si="1"/>
        <v>0</v>
      </c>
      <c r="Q26" s="1515"/>
      <c r="R26" s="1516"/>
      <c r="S26" s="1494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7">
        <f t="shared" si="5"/>
        <v>1</v>
      </c>
      <c r="C27" s="624">
        <v>2</v>
      </c>
      <c r="D27" s="1182">
        <v>20</v>
      </c>
      <c r="E27" s="1196">
        <v>45108</v>
      </c>
      <c r="F27" s="1182">
        <f t="shared" si="0"/>
        <v>20</v>
      </c>
      <c r="G27" s="1183" t="s">
        <v>302</v>
      </c>
      <c r="H27" s="1184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6"/>
      <c r="O27" s="1247"/>
      <c r="P27" s="1246">
        <f t="shared" si="1"/>
        <v>0</v>
      </c>
      <c r="Q27" s="1248"/>
      <c r="R27" s="1249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2"/>
      <c r="E28" s="1196"/>
      <c r="F28" s="1182">
        <f t="shared" si="0"/>
        <v>0</v>
      </c>
      <c r="G28" s="1183"/>
      <c r="H28" s="1184"/>
      <c r="I28" s="596">
        <f t="shared" si="10"/>
        <v>10</v>
      </c>
      <c r="K28" s="118"/>
      <c r="L28" s="670">
        <f t="shared" si="6"/>
        <v>0</v>
      </c>
      <c r="M28" s="624"/>
      <c r="N28" s="1246"/>
      <c r="O28" s="1247"/>
      <c r="P28" s="1246">
        <f t="shared" si="1"/>
        <v>0</v>
      </c>
      <c r="Q28" s="1248"/>
      <c r="R28" s="1249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7">
        <v>10</v>
      </c>
      <c r="E29" s="1245">
        <v>45110</v>
      </c>
      <c r="F29" s="750">
        <f t="shared" si="0"/>
        <v>10</v>
      </c>
      <c r="G29" s="751" t="s">
        <v>491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2"/>
      <c r="O29" s="1247"/>
      <c r="P29" s="1246">
        <f t="shared" si="1"/>
        <v>0</v>
      </c>
      <c r="Q29" s="1248"/>
      <c r="R29" s="1249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7"/>
      <c r="E30" s="1245"/>
      <c r="F30" s="1491">
        <f t="shared" si="0"/>
        <v>0</v>
      </c>
      <c r="G30" s="1492"/>
      <c r="H30" s="1493"/>
      <c r="I30" s="1494">
        <f t="shared" si="10"/>
        <v>0</v>
      </c>
      <c r="K30" s="118"/>
      <c r="L30" s="219">
        <f t="shared" si="6"/>
        <v>0</v>
      </c>
      <c r="M30" s="15"/>
      <c r="N30" s="1202"/>
      <c r="O30" s="1247"/>
      <c r="P30" s="1246">
        <f t="shared" si="1"/>
        <v>0</v>
      </c>
      <c r="Q30" s="1248"/>
      <c r="R30" s="1249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7"/>
      <c r="E31" s="1298"/>
      <c r="F31" s="1491">
        <f t="shared" si="0"/>
        <v>0</v>
      </c>
      <c r="G31" s="1492"/>
      <c r="H31" s="1493"/>
      <c r="I31" s="1494">
        <f t="shared" si="10"/>
        <v>0</v>
      </c>
      <c r="K31" s="118"/>
      <c r="L31" s="219">
        <f t="shared" si="6"/>
        <v>0</v>
      </c>
      <c r="M31" s="15"/>
      <c r="N31" s="1061"/>
      <c r="O31" s="1299"/>
      <c r="P31" s="1061">
        <f t="shared" si="1"/>
        <v>0</v>
      </c>
      <c r="Q31" s="1062"/>
      <c r="R31" s="1063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7"/>
      <c r="E32" s="1298"/>
      <c r="F32" s="1491">
        <f t="shared" si="0"/>
        <v>0</v>
      </c>
      <c r="G32" s="1492"/>
      <c r="H32" s="1493"/>
      <c r="I32" s="1494">
        <f t="shared" si="10"/>
        <v>0</v>
      </c>
      <c r="K32" s="118"/>
      <c r="L32" s="219">
        <f t="shared" si="6"/>
        <v>0</v>
      </c>
      <c r="M32" s="15"/>
      <c r="N32" s="1061"/>
      <c r="O32" s="1299"/>
      <c r="P32" s="1061">
        <f t="shared" si="1"/>
        <v>0</v>
      </c>
      <c r="Q32" s="1062"/>
      <c r="R32" s="1063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7"/>
      <c r="E33" s="1298"/>
      <c r="F33" s="1491">
        <f t="shared" si="0"/>
        <v>0</v>
      </c>
      <c r="G33" s="1492"/>
      <c r="H33" s="1493"/>
      <c r="I33" s="1494">
        <f t="shared" si="10"/>
        <v>0</v>
      </c>
      <c r="K33" s="118"/>
      <c r="L33" s="219">
        <f t="shared" si="6"/>
        <v>0</v>
      </c>
      <c r="M33" s="15"/>
      <c r="N33" s="1061"/>
      <c r="O33" s="1299"/>
      <c r="P33" s="1061">
        <f t="shared" si="1"/>
        <v>0</v>
      </c>
      <c r="Q33" s="1062"/>
      <c r="R33" s="1063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7"/>
      <c r="E34" s="1298"/>
      <c r="F34" s="1491">
        <f t="shared" si="0"/>
        <v>0</v>
      </c>
      <c r="G34" s="1492"/>
      <c r="H34" s="1493"/>
      <c r="I34" s="1494">
        <f t="shared" si="10"/>
        <v>0</v>
      </c>
      <c r="K34" s="118"/>
      <c r="L34" s="219">
        <f t="shared" si="6"/>
        <v>0</v>
      </c>
      <c r="M34" s="15"/>
      <c r="N34" s="1061"/>
      <c r="O34" s="1299"/>
      <c r="P34" s="1061">
        <f t="shared" si="1"/>
        <v>0</v>
      </c>
      <c r="Q34" s="1062"/>
      <c r="R34" s="1063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7"/>
      <c r="E35" s="1298"/>
      <c r="F35" s="1491">
        <f t="shared" si="0"/>
        <v>0</v>
      </c>
      <c r="G35" s="1492"/>
      <c r="H35" s="1493"/>
      <c r="I35" s="1494">
        <f t="shared" si="10"/>
        <v>0</v>
      </c>
      <c r="K35" s="118"/>
      <c r="L35" s="219">
        <f t="shared" si="6"/>
        <v>0</v>
      </c>
      <c r="M35" s="15"/>
      <c r="N35" s="1061"/>
      <c r="O35" s="1299"/>
      <c r="P35" s="1061">
        <f t="shared" si="1"/>
        <v>0</v>
      </c>
      <c r="Q35" s="1062"/>
      <c r="R35" s="1063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7"/>
      <c r="E36" s="1298"/>
      <c r="F36" s="1277">
        <f t="shared" si="0"/>
        <v>0</v>
      </c>
      <c r="G36" s="1276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1"/>
      <c r="O36" s="1299"/>
      <c r="P36" s="1061">
        <f t="shared" si="1"/>
        <v>0</v>
      </c>
      <c r="Q36" s="1062"/>
      <c r="R36" s="1063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7"/>
      <c r="E37" s="1298"/>
      <c r="F37" s="1277">
        <f t="shared" si="0"/>
        <v>0</v>
      </c>
      <c r="G37" s="1276"/>
      <c r="H37" s="194"/>
      <c r="I37" s="102">
        <f t="shared" si="10"/>
        <v>0</v>
      </c>
      <c r="K37" s="119"/>
      <c r="L37" s="219">
        <f t="shared" si="6"/>
        <v>0</v>
      </c>
      <c r="M37" s="15"/>
      <c r="N37" s="1061"/>
      <c r="O37" s="1299"/>
      <c r="P37" s="1061">
        <f t="shared" si="1"/>
        <v>0</v>
      </c>
      <c r="Q37" s="1062"/>
      <c r="R37" s="1063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7"/>
      <c r="E38" s="1298"/>
      <c r="F38" s="1277">
        <f t="shared" si="0"/>
        <v>0</v>
      </c>
      <c r="G38" s="1276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2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7"/>
      <c r="E39" s="1298"/>
      <c r="F39" s="1277">
        <f t="shared" si="0"/>
        <v>0</v>
      </c>
      <c r="G39" s="1276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2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7"/>
      <c r="E40" s="1298"/>
      <c r="F40" s="1277">
        <f t="shared" si="0"/>
        <v>0</v>
      </c>
      <c r="G40" s="1276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2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7"/>
      <c r="E41" s="1298"/>
      <c r="F41" s="1277">
        <f t="shared" si="0"/>
        <v>0</v>
      </c>
      <c r="G41" s="1276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2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2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2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2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2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66" t="s">
        <v>11</v>
      </c>
      <c r="D83" s="1667"/>
      <c r="E83" s="56">
        <f>E5+E6-F78+E7</f>
        <v>0</v>
      </c>
      <c r="F83" s="72"/>
      <c r="M83" s="1666" t="s">
        <v>11</v>
      </c>
      <c r="N83" s="1667"/>
      <c r="O83" s="56">
        <f>O5+O6-P78+O7</f>
        <v>0</v>
      </c>
      <c r="P83" s="1028"/>
      <c r="W83" s="1666" t="s">
        <v>11</v>
      </c>
      <c r="X83" s="1667"/>
      <c r="Y83" s="56">
        <f>Y5+Y6-Z78+Y7</f>
        <v>0</v>
      </c>
      <c r="Z83" s="1146"/>
      <c r="AG83" s="1666" t="s">
        <v>11</v>
      </c>
      <c r="AH83" s="1667"/>
      <c r="AI83" s="56">
        <f>AI5+AI6-AJ78+AI7</f>
        <v>130</v>
      </c>
      <c r="AJ83" s="1392"/>
      <c r="AQ83" s="1666" t="s">
        <v>11</v>
      </c>
      <c r="AR83" s="1667"/>
      <c r="AS83" s="56">
        <f>AS5+AS6-AT78+AS7</f>
        <v>150</v>
      </c>
      <c r="AT83" s="1392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72"/>
      <c r="B5" s="168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72"/>
      <c r="B6" s="168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6"/>
      <c r="F18" s="802">
        <f t="shared" si="0"/>
        <v>0</v>
      </c>
      <c r="G18" s="803"/>
      <c r="H18" s="804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6"/>
      <c r="F19" s="802">
        <f t="shared" si="0"/>
        <v>0</v>
      </c>
      <c r="G19" s="803"/>
      <c r="H19" s="804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6"/>
      <c r="F20" s="802">
        <f t="shared" si="0"/>
        <v>0</v>
      </c>
      <c r="G20" s="803"/>
      <c r="H20" s="804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6"/>
      <c r="F21" s="802">
        <f t="shared" si="0"/>
        <v>0</v>
      </c>
      <c r="G21" s="803"/>
      <c r="H21" s="804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6"/>
      <c r="F22" s="802">
        <f t="shared" si="0"/>
        <v>0</v>
      </c>
      <c r="G22" s="803"/>
      <c r="H22" s="804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4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4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4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1"/>
      <c r="E26" s="939"/>
      <c r="F26" s="938">
        <f t="shared" si="0"/>
        <v>0</v>
      </c>
      <c r="G26" s="940"/>
      <c r="H26" s="937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1"/>
      <c r="E27" s="939"/>
      <c r="F27" s="938">
        <f t="shared" si="0"/>
        <v>0</v>
      </c>
      <c r="G27" s="940"/>
      <c r="H27" s="937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8"/>
      <c r="E28" s="939"/>
      <c r="F28" s="938">
        <f t="shared" si="0"/>
        <v>0</v>
      </c>
      <c r="G28" s="940"/>
      <c r="H28" s="937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8"/>
      <c r="E29" s="939"/>
      <c r="F29" s="938">
        <f t="shared" si="0"/>
        <v>0</v>
      </c>
      <c r="G29" s="940"/>
      <c r="H29" s="937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8"/>
      <c r="E30" s="939"/>
      <c r="F30" s="938">
        <f t="shared" si="0"/>
        <v>0</v>
      </c>
      <c r="G30" s="940"/>
      <c r="H30" s="937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8"/>
      <c r="E31" s="939"/>
      <c r="F31" s="938">
        <f t="shared" si="0"/>
        <v>0</v>
      </c>
      <c r="G31" s="940"/>
      <c r="H31" s="937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8"/>
      <c r="E32" s="939"/>
      <c r="F32" s="938">
        <f t="shared" si="0"/>
        <v>0</v>
      </c>
      <c r="G32" s="940"/>
      <c r="H32" s="937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8"/>
      <c r="E33" s="939"/>
      <c r="F33" s="938">
        <f t="shared" si="0"/>
        <v>0</v>
      </c>
      <c r="G33" s="940"/>
      <c r="H33" s="937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8"/>
      <c r="E34" s="939"/>
      <c r="F34" s="938">
        <f t="shared" si="0"/>
        <v>0</v>
      </c>
      <c r="G34" s="940"/>
      <c r="H34" s="937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8"/>
      <c r="E35" s="939"/>
      <c r="F35" s="938">
        <f t="shared" si="0"/>
        <v>0</v>
      </c>
      <c r="G35" s="940"/>
      <c r="H35" s="937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8"/>
      <c r="E36" s="939"/>
      <c r="F36" s="938">
        <f t="shared" si="0"/>
        <v>0</v>
      </c>
      <c r="G36" s="940"/>
      <c r="H36" s="937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6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35" t="s">
        <v>19</v>
      </c>
      <c r="D41" s="1736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9" t="s">
        <v>336</v>
      </c>
      <c r="B1" s="1669"/>
      <c r="C1" s="1669"/>
      <c r="D1" s="1669"/>
      <c r="E1" s="1669"/>
      <c r="F1" s="1669"/>
      <c r="G1" s="166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7"/>
      <c r="B4" s="140"/>
      <c r="C4" s="507"/>
      <c r="D4" s="130"/>
      <c r="E4" s="1163"/>
      <c r="F4" s="664"/>
    </row>
    <row r="5" spans="1:10" ht="24.75" customHeight="1" x14ac:dyDescent="0.25">
      <c r="A5" s="1744" t="s">
        <v>351</v>
      </c>
      <c r="B5" s="1739" t="s">
        <v>103</v>
      </c>
      <c r="C5" s="928">
        <v>66</v>
      </c>
      <c r="D5" s="600">
        <v>45122</v>
      </c>
      <c r="E5" s="1162">
        <v>3885.25</v>
      </c>
      <c r="F5" s="849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44"/>
      <c r="B6" s="1740"/>
      <c r="C6" s="212">
        <v>68</v>
      </c>
      <c r="D6" s="130">
        <v>45127</v>
      </c>
      <c r="E6" s="1163">
        <v>5070.68</v>
      </c>
      <c r="F6" s="226">
        <v>175</v>
      </c>
      <c r="G6" s="143"/>
      <c r="H6" s="57"/>
    </row>
    <row r="7" spans="1:10" ht="24.75" customHeight="1" thickBot="1" x14ac:dyDescent="0.3">
      <c r="A7" s="1744"/>
      <c r="B7" s="1740"/>
      <c r="C7" s="488"/>
      <c r="D7" s="326"/>
      <c r="E7" s="1164"/>
      <c r="F7" s="227"/>
      <c r="G7" s="143"/>
      <c r="H7" s="57"/>
    </row>
    <row r="8" spans="1:10" ht="24.75" customHeight="1" thickTop="1" thickBot="1" x14ac:dyDescent="0.3">
      <c r="A8" s="1358"/>
      <c r="B8" s="1741"/>
      <c r="C8" s="488"/>
      <c r="D8" s="130"/>
      <c r="E8" s="1163"/>
      <c r="F8" s="226"/>
      <c r="I8" s="1742" t="s">
        <v>3</v>
      </c>
      <c r="J8" s="173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3"/>
      <c r="J9" s="1738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607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609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655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5"/>
      <c r="B14" s="82"/>
      <c r="C14" s="15"/>
      <c r="D14" s="1300"/>
      <c r="E14" s="643"/>
      <c r="F14" s="1518">
        <f t="shared" si="0"/>
        <v>0</v>
      </c>
      <c r="G14" s="1519"/>
      <c r="H14" s="1530"/>
      <c r="I14" s="1498">
        <f t="shared" si="1"/>
        <v>0</v>
      </c>
      <c r="J14" s="1499">
        <f t="shared" si="2"/>
        <v>0</v>
      </c>
    </row>
    <row r="15" spans="1:10" x14ac:dyDescent="0.25">
      <c r="A15" s="1155"/>
      <c r="B15" s="82"/>
      <c r="C15" s="15"/>
      <c r="D15" s="1300"/>
      <c r="E15" s="640"/>
      <c r="F15" s="1518">
        <f t="shared" si="0"/>
        <v>0</v>
      </c>
      <c r="G15" s="1519"/>
      <c r="H15" s="1530"/>
      <c r="I15" s="1498">
        <f t="shared" si="1"/>
        <v>0</v>
      </c>
      <c r="J15" s="1499">
        <f t="shared" si="2"/>
        <v>0</v>
      </c>
    </row>
    <row r="16" spans="1:10" x14ac:dyDescent="0.25">
      <c r="B16" s="82"/>
      <c r="C16" s="15"/>
      <c r="D16" s="1300"/>
      <c r="E16" s="640"/>
      <c r="F16" s="1518">
        <f>D16</f>
        <v>0</v>
      </c>
      <c r="G16" s="1519"/>
      <c r="H16" s="1530"/>
      <c r="I16" s="1498">
        <f t="shared" si="1"/>
        <v>0</v>
      </c>
      <c r="J16" s="1499">
        <f t="shared" si="2"/>
        <v>0</v>
      </c>
    </row>
    <row r="17" spans="1:10" x14ac:dyDescent="0.25">
      <c r="B17" s="82"/>
      <c r="C17" s="15"/>
      <c r="D17" s="1300"/>
      <c r="E17" s="640"/>
      <c r="F17" s="1518">
        <f>D17</f>
        <v>0</v>
      </c>
      <c r="G17" s="1519"/>
      <c r="H17" s="1530"/>
      <c r="I17" s="1498">
        <f t="shared" si="1"/>
        <v>0</v>
      </c>
      <c r="J17" s="1499">
        <f t="shared" si="2"/>
        <v>0</v>
      </c>
    </row>
    <row r="18" spans="1:10" x14ac:dyDescent="0.25">
      <c r="A18" s="80"/>
      <c r="B18" s="82"/>
      <c r="C18" s="15"/>
      <c r="D18" s="1300"/>
      <c r="E18" s="646"/>
      <c r="F18" s="1518">
        <f>D18</f>
        <v>0</v>
      </c>
      <c r="G18" s="1519"/>
      <c r="H18" s="1530"/>
      <c r="I18" s="1498">
        <f t="shared" si="1"/>
        <v>0</v>
      </c>
      <c r="J18" s="1499">
        <f t="shared" si="2"/>
        <v>0</v>
      </c>
    </row>
    <row r="19" spans="1:10" x14ac:dyDescent="0.25">
      <c r="A19" s="82"/>
      <c r="B19" s="82"/>
      <c r="C19" s="15"/>
      <c r="D19" s="1300"/>
      <c r="E19" s="646"/>
      <c r="F19" s="565">
        <f t="shared" ref="F19:F43" si="3">D19</f>
        <v>0</v>
      </c>
      <c r="G19" s="838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0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0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0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0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5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5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5"/>
    </row>
    <row r="101" spans="1:10" ht="15.75" thickBot="1" x14ac:dyDescent="0.3">
      <c r="A101" s="115"/>
    </row>
    <row r="102" spans="1:10" ht="16.5" thickTop="1" thickBot="1" x14ac:dyDescent="0.3">
      <c r="A102" s="47"/>
      <c r="C102" s="1717" t="s">
        <v>11</v>
      </c>
      <c r="D102" s="1718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7" t="s">
        <v>323</v>
      </c>
      <c r="B1" s="1747"/>
      <c r="C1" s="1747"/>
      <c r="D1" s="1747"/>
      <c r="E1" s="1747"/>
      <c r="F1" s="1747"/>
      <c r="G1" s="1747"/>
      <c r="H1" s="1747"/>
      <c r="I1" s="17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5">
        <v>3332.04</v>
      </c>
      <c r="F4" s="1026">
        <v>125</v>
      </c>
      <c r="G4" s="1016"/>
    </row>
    <row r="5" spans="1:10" ht="15" customHeight="1" x14ac:dyDescent="0.25">
      <c r="A5" s="1748" t="s">
        <v>117</v>
      </c>
      <c r="B5" s="1749" t="s">
        <v>76</v>
      </c>
      <c r="C5" s="665">
        <v>65</v>
      </c>
      <c r="D5" s="578">
        <v>45070</v>
      </c>
      <c r="E5" s="1025">
        <v>1317.86</v>
      </c>
      <c r="F5" s="1026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48"/>
      <c r="B6" s="1750"/>
      <c r="C6" s="665"/>
      <c r="D6" s="578"/>
      <c r="E6" s="1025"/>
      <c r="F6" s="1026"/>
      <c r="G6" s="1016"/>
    </row>
    <row r="7" spans="1:10" ht="15.75" customHeight="1" thickBot="1" x14ac:dyDescent="0.35">
      <c r="A7" s="1748"/>
      <c r="B7" s="1751"/>
      <c r="C7" s="665"/>
      <c r="D7" s="578"/>
      <c r="E7" s="1025"/>
      <c r="F7" s="1026"/>
      <c r="G7" s="1016"/>
      <c r="I7" s="350"/>
      <c r="J7" s="350"/>
    </row>
    <row r="8" spans="1:10" ht="16.5" customHeight="1" thickTop="1" thickBot="1" x14ac:dyDescent="0.3">
      <c r="A8" s="912"/>
      <c r="B8" s="913"/>
      <c r="C8" s="665"/>
      <c r="D8" s="578"/>
      <c r="E8" s="1027"/>
      <c r="F8" s="723"/>
      <c r="G8" s="576"/>
      <c r="H8" s="594"/>
      <c r="I8" s="1752" t="s">
        <v>47</v>
      </c>
      <c r="J8" s="1745" t="s">
        <v>4</v>
      </c>
    </row>
    <row r="9" spans="1:10" ht="16.5" customHeight="1" thickTop="1" thickBot="1" x14ac:dyDescent="0.3">
      <c r="A9" s="914"/>
      <c r="B9" s="790" t="s">
        <v>7</v>
      </c>
      <c r="C9" s="915" t="s">
        <v>8</v>
      </c>
      <c r="D9" s="916" t="s">
        <v>3</v>
      </c>
      <c r="E9" s="917" t="s">
        <v>2</v>
      </c>
      <c r="F9" s="918" t="s">
        <v>9</v>
      </c>
      <c r="G9" s="919" t="s">
        <v>15</v>
      </c>
      <c r="H9" s="920"/>
      <c r="I9" s="1753"/>
      <c r="J9" s="1746"/>
    </row>
    <row r="10" spans="1:10" ht="15.75" thickTop="1" x14ac:dyDescent="0.25">
      <c r="A10" s="840"/>
      <c r="B10" s="676"/>
      <c r="C10" s="624">
        <v>45</v>
      </c>
      <c r="D10" s="837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0"/>
      <c r="B11" s="676"/>
      <c r="C11" s="624">
        <v>4</v>
      </c>
      <c r="D11" s="837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1" t="s">
        <v>32</v>
      </c>
      <c r="B12" s="676"/>
      <c r="C12" s="624">
        <v>10</v>
      </c>
      <c r="D12" s="837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2"/>
      <c r="B13" s="676"/>
      <c r="C13" s="624">
        <v>5</v>
      </c>
      <c r="D13" s="837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7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3" t="s">
        <v>33</v>
      </c>
      <c r="B15" s="676"/>
      <c r="C15" s="624">
        <v>8</v>
      </c>
      <c r="D15" s="837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2"/>
      <c r="B16" s="676"/>
      <c r="C16" s="624">
        <v>1</v>
      </c>
      <c r="D16" s="837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7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0"/>
      <c r="B18" s="676"/>
      <c r="C18" s="624">
        <v>4</v>
      </c>
      <c r="D18" s="837">
        <v>106.8</v>
      </c>
      <c r="E18" s="646">
        <v>45077</v>
      </c>
      <c r="F18" s="565">
        <f t="shared" si="3"/>
        <v>106.8</v>
      </c>
      <c r="G18" s="838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0"/>
      <c r="B19" s="676"/>
      <c r="C19" s="704">
        <v>8</v>
      </c>
      <c r="D19" s="837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0"/>
      <c r="B20" s="676"/>
      <c r="C20" s="624"/>
      <c r="D20" s="837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0"/>
      <c r="B21" s="676"/>
      <c r="C21" s="624">
        <v>2</v>
      </c>
      <c r="D21" s="1185">
        <v>48.2</v>
      </c>
      <c r="E21" s="1186">
        <v>45083</v>
      </c>
      <c r="F21" s="1187">
        <f t="shared" si="3"/>
        <v>48.2</v>
      </c>
      <c r="G21" s="1188" t="s">
        <v>204</v>
      </c>
      <c r="H21" s="1189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0"/>
      <c r="B22" s="676"/>
      <c r="C22" s="624">
        <v>4</v>
      </c>
      <c r="D22" s="1185">
        <v>106.57</v>
      </c>
      <c r="E22" s="1190">
        <v>45084</v>
      </c>
      <c r="F22" s="1187">
        <f t="shared" si="3"/>
        <v>106.57</v>
      </c>
      <c r="G22" s="1188" t="s">
        <v>206</v>
      </c>
      <c r="H22" s="1189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0"/>
      <c r="B23" s="676"/>
      <c r="C23" s="624">
        <v>5</v>
      </c>
      <c r="D23" s="1185">
        <v>116.08</v>
      </c>
      <c r="E23" s="1190">
        <v>45087</v>
      </c>
      <c r="F23" s="1187">
        <f t="shared" si="3"/>
        <v>116.08</v>
      </c>
      <c r="G23" s="1188" t="s">
        <v>213</v>
      </c>
      <c r="H23" s="1189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0"/>
      <c r="B24" s="676"/>
      <c r="C24" s="624">
        <v>7</v>
      </c>
      <c r="D24" s="1185">
        <v>155.38</v>
      </c>
      <c r="E24" s="1190">
        <v>45091</v>
      </c>
      <c r="F24" s="1187">
        <f t="shared" si="3"/>
        <v>155.38</v>
      </c>
      <c r="G24" s="1188" t="s">
        <v>226</v>
      </c>
      <c r="H24" s="1189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0"/>
      <c r="B25" s="676"/>
      <c r="C25" s="624">
        <v>1</v>
      </c>
      <c r="D25" s="1185">
        <v>25.11</v>
      </c>
      <c r="E25" s="1190">
        <v>45092</v>
      </c>
      <c r="F25" s="1187">
        <f t="shared" si="3"/>
        <v>25.11</v>
      </c>
      <c r="G25" s="1188" t="s">
        <v>228</v>
      </c>
      <c r="H25" s="1189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0"/>
      <c r="B26" s="676"/>
      <c r="C26" s="624">
        <v>6</v>
      </c>
      <c r="D26" s="1185">
        <v>143.91</v>
      </c>
      <c r="E26" s="1190">
        <v>45093</v>
      </c>
      <c r="F26" s="1187">
        <f t="shared" si="3"/>
        <v>143.91</v>
      </c>
      <c r="G26" s="1188" t="s">
        <v>231</v>
      </c>
      <c r="H26" s="1189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0"/>
      <c r="B27" s="676"/>
      <c r="C27" s="624">
        <v>5</v>
      </c>
      <c r="D27" s="1185">
        <v>112.96</v>
      </c>
      <c r="E27" s="1190">
        <v>45094</v>
      </c>
      <c r="F27" s="1187">
        <f t="shared" si="3"/>
        <v>112.96</v>
      </c>
      <c r="G27" s="1188" t="s">
        <v>238</v>
      </c>
      <c r="H27" s="1189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0"/>
      <c r="B28" s="676"/>
      <c r="C28" s="624">
        <v>2</v>
      </c>
      <c r="D28" s="1185">
        <v>52.23</v>
      </c>
      <c r="E28" s="1190">
        <v>45094</v>
      </c>
      <c r="F28" s="1187">
        <f t="shared" si="3"/>
        <v>52.23</v>
      </c>
      <c r="G28" s="1188" t="s">
        <v>240</v>
      </c>
      <c r="H28" s="1189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0"/>
      <c r="B29" s="676"/>
      <c r="C29" s="624">
        <v>1</v>
      </c>
      <c r="D29" s="1185">
        <v>27.18</v>
      </c>
      <c r="E29" s="1190">
        <v>45096</v>
      </c>
      <c r="F29" s="1187">
        <f t="shared" si="3"/>
        <v>27.18</v>
      </c>
      <c r="G29" s="1188" t="s">
        <v>216</v>
      </c>
      <c r="H29" s="1189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0"/>
      <c r="B30" s="676"/>
      <c r="C30" s="624">
        <v>3</v>
      </c>
      <c r="D30" s="1185">
        <v>62.02</v>
      </c>
      <c r="E30" s="1190">
        <v>45096</v>
      </c>
      <c r="F30" s="1187">
        <f t="shared" si="3"/>
        <v>62.02</v>
      </c>
      <c r="G30" s="1188" t="s">
        <v>241</v>
      </c>
      <c r="H30" s="1189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0"/>
      <c r="B31" s="676"/>
      <c r="C31" s="624">
        <v>10</v>
      </c>
      <c r="D31" s="1185">
        <f>79.92+188.23</f>
        <v>268.14999999999998</v>
      </c>
      <c r="E31" s="1190">
        <v>45105</v>
      </c>
      <c r="F31" s="1187">
        <f t="shared" si="3"/>
        <v>268.14999999999998</v>
      </c>
      <c r="G31" s="1188" t="s">
        <v>281</v>
      </c>
      <c r="H31" s="1189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1">
        <v>44.77</v>
      </c>
      <c r="E32" s="1192">
        <v>45108</v>
      </c>
      <c r="F32" s="1193">
        <f t="shared" si="3"/>
        <v>44.77</v>
      </c>
      <c r="G32" s="1194" t="s">
        <v>297</v>
      </c>
      <c r="H32" s="1195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1"/>
      <c r="E33" s="1192"/>
      <c r="F33" s="1193">
        <f t="shared" si="3"/>
        <v>0</v>
      </c>
      <c r="G33" s="1194"/>
      <c r="H33" s="1189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1">
        <v>110.15</v>
      </c>
      <c r="E34" s="1086">
        <v>45111</v>
      </c>
      <c r="F34" s="1061">
        <f t="shared" si="3"/>
        <v>110.15</v>
      </c>
      <c r="G34" s="1062" t="s">
        <v>507</v>
      </c>
      <c r="H34" s="1060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1">
        <v>112.05</v>
      </c>
      <c r="E35" s="1086">
        <v>45112</v>
      </c>
      <c r="F35" s="1061">
        <f t="shared" si="3"/>
        <v>112.05</v>
      </c>
      <c r="G35" s="1062" t="s">
        <v>517</v>
      </c>
      <c r="H35" s="1060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1">
        <v>87.59</v>
      </c>
      <c r="E36" s="1086">
        <v>45117</v>
      </c>
      <c r="F36" s="1061">
        <f t="shared" si="3"/>
        <v>87.59</v>
      </c>
      <c r="G36" s="1062" t="s">
        <v>557</v>
      </c>
      <c r="H36" s="1060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1">
        <v>28.72</v>
      </c>
      <c r="E37" s="1086">
        <v>45121</v>
      </c>
      <c r="F37" s="1061">
        <f t="shared" si="3"/>
        <v>28.72</v>
      </c>
      <c r="G37" s="1062" t="s">
        <v>595</v>
      </c>
      <c r="H37" s="1060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2">
        <v>215.5</v>
      </c>
      <c r="E38" s="1288">
        <v>45121</v>
      </c>
      <c r="F38" s="639">
        <f t="shared" si="3"/>
        <v>215.5</v>
      </c>
      <c r="G38" s="1059" t="s">
        <v>599</v>
      </c>
      <c r="H38" s="1060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2">
        <v>215.18</v>
      </c>
      <c r="E39" s="1288">
        <v>45122</v>
      </c>
      <c r="F39" s="639">
        <f t="shared" si="3"/>
        <v>215.18</v>
      </c>
      <c r="G39" s="1059" t="s">
        <v>607</v>
      </c>
      <c r="H39" s="1060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2">
        <v>207.44</v>
      </c>
      <c r="E40" s="1288">
        <v>45129</v>
      </c>
      <c r="F40" s="639">
        <f t="shared" si="3"/>
        <v>207.44</v>
      </c>
      <c r="G40" s="1059" t="s">
        <v>671</v>
      </c>
      <c r="H40" s="1060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2">
        <v>85.91</v>
      </c>
      <c r="E41" s="1288">
        <v>45129</v>
      </c>
      <c r="F41" s="639">
        <f t="shared" si="3"/>
        <v>85.91</v>
      </c>
      <c r="G41" s="1059" t="s">
        <v>673</v>
      </c>
      <c r="H41" s="1060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2"/>
      <c r="E42" s="1288"/>
      <c r="F42" s="639">
        <f t="shared" si="3"/>
        <v>0</v>
      </c>
      <c r="G42" s="1059"/>
      <c r="H42" s="1060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2"/>
      <c r="E43" s="1288"/>
      <c r="F43" s="639">
        <f t="shared" si="3"/>
        <v>0</v>
      </c>
      <c r="G43" s="1059"/>
      <c r="H43" s="1060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2"/>
      <c r="E44" s="1288"/>
      <c r="F44" s="639">
        <f t="shared" si="3"/>
        <v>0</v>
      </c>
      <c r="G44" s="1536"/>
      <c r="H44" s="1537"/>
      <c r="I44" s="1498">
        <f t="shared" si="1"/>
        <v>2.3299999999994441</v>
      </c>
      <c r="J44" s="1499">
        <f t="shared" si="2"/>
        <v>0</v>
      </c>
    </row>
    <row r="45" spans="1:10" x14ac:dyDescent="0.25">
      <c r="A45" s="2"/>
      <c r="B45" s="82"/>
      <c r="C45" s="576"/>
      <c r="D45" s="1302"/>
      <c r="E45" s="1288"/>
      <c r="F45" s="639">
        <f t="shared" si="3"/>
        <v>0</v>
      </c>
      <c r="G45" s="1536"/>
      <c r="H45" s="1537"/>
      <c r="I45" s="1498">
        <f t="shared" si="1"/>
        <v>2.3299999999994441</v>
      </c>
      <c r="J45" s="1499">
        <f t="shared" si="2"/>
        <v>0</v>
      </c>
    </row>
    <row r="46" spans="1:10" x14ac:dyDescent="0.25">
      <c r="A46" s="2"/>
      <c r="B46" s="82"/>
      <c r="C46" s="576"/>
      <c r="D46" s="1302"/>
      <c r="E46" s="1288"/>
      <c r="F46" s="639">
        <f t="shared" si="3"/>
        <v>0</v>
      </c>
      <c r="G46" s="1536"/>
      <c r="H46" s="1537"/>
      <c r="I46" s="1498">
        <f t="shared" si="1"/>
        <v>2.3299999999994441</v>
      </c>
      <c r="J46" s="1499">
        <f t="shared" si="2"/>
        <v>0</v>
      </c>
    </row>
    <row r="47" spans="1:10" x14ac:dyDescent="0.25">
      <c r="A47" s="2"/>
      <c r="B47" s="82"/>
      <c r="C47" s="576"/>
      <c r="D47" s="1302"/>
      <c r="E47" s="1288"/>
      <c r="F47" s="639">
        <f t="shared" si="3"/>
        <v>0</v>
      </c>
      <c r="G47" s="1536"/>
      <c r="H47" s="1537"/>
      <c r="I47" s="1498">
        <f t="shared" si="1"/>
        <v>2.3299999999994441</v>
      </c>
      <c r="J47" s="1499">
        <f t="shared" si="2"/>
        <v>0</v>
      </c>
    </row>
    <row r="48" spans="1:10" x14ac:dyDescent="0.25">
      <c r="A48" s="2"/>
      <c r="B48" s="82"/>
      <c r="C48" s="576"/>
      <c r="D48" s="1302"/>
      <c r="E48" s="1288"/>
      <c r="F48" s="639">
        <f t="shared" si="3"/>
        <v>0</v>
      </c>
      <c r="G48" s="1059"/>
      <c r="H48" s="1060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2"/>
      <c r="E49" s="1288"/>
      <c r="F49" s="639">
        <f t="shared" si="3"/>
        <v>0</v>
      </c>
      <c r="G49" s="1059"/>
      <c r="H49" s="1060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2"/>
      <c r="E50" s="1288"/>
      <c r="F50" s="639">
        <f t="shared" si="3"/>
        <v>0</v>
      </c>
      <c r="G50" s="1059"/>
      <c r="H50" s="1060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2"/>
      <c r="E51" s="1288"/>
      <c r="F51" s="639">
        <f t="shared" si="3"/>
        <v>0</v>
      </c>
      <c r="G51" s="1059"/>
      <c r="H51" s="1060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2"/>
      <c r="E52" s="1288"/>
      <c r="F52" s="639">
        <f t="shared" si="3"/>
        <v>0</v>
      </c>
      <c r="G52" s="1059"/>
      <c r="H52" s="1060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2"/>
      <c r="E53" s="1288"/>
      <c r="F53" s="639">
        <f t="shared" si="3"/>
        <v>0</v>
      </c>
      <c r="G53" s="1059"/>
      <c r="H53" s="1060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2"/>
      <c r="E54" s="1288"/>
      <c r="F54" s="639">
        <f t="shared" si="3"/>
        <v>0</v>
      </c>
      <c r="G54" s="1059"/>
      <c r="H54" s="1060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2"/>
      <c r="E55" s="1288"/>
      <c r="F55" s="639">
        <f t="shared" si="3"/>
        <v>0</v>
      </c>
      <c r="G55" s="1059"/>
      <c r="H55" s="1060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2"/>
      <c r="E56" s="1288"/>
      <c r="F56" s="639">
        <f t="shared" si="3"/>
        <v>0</v>
      </c>
      <c r="G56" s="1059"/>
      <c r="H56" s="1060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2"/>
      <c r="E57" s="1288"/>
      <c r="F57" s="639">
        <f t="shared" si="3"/>
        <v>0</v>
      </c>
      <c r="G57" s="1059"/>
      <c r="H57" s="1060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2"/>
      <c r="E58" s="1288"/>
      <c r="F58" s="639">
        <f t="shared" si="3"/>
        <v>0</v>
      </c>
      <c r="G58" s="1059"/>
      <c r="H58" s="1060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2"/>
      <c r="E59" s="1288"/>
      <c r="F59" s="639">
        <f t="shared" si="3"/>
        <v>0</v>
      </c>
      <c r="G59" s="1059"/>
      <c r="H59" s="1060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2"/>
      <c r="E60" s="1288"/>
      <c r="F60" s="639">
        <f t="shared" si="3"/>
        <v>0</v>
      </c>
      <c r="G60" s="1059"/>
      <c r="H60" s="1060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7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7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7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7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7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7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7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7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7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7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7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7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7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7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7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7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7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7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7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7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7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7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7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7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7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7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7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7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7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7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7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7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7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7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17" t="s">
        <v>11</v>
      </c>
      <c r="D105" s="1718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7" t="s">
        <v>324</v>
      </c>
      <c r="B1" s="1747"/>
      <c r="C1" s="1747"/>
      <c r="D1" s="1747"/>
      <c r="E1" s="1747"/>
      <c r="F1" s="1747"/>
      <c r="G1" s="1747"/>
      <c r="H1" s="1747"/>
      <c r="I1" s="17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7"/>
    </row>
    <row r="5" spans="1:10" ht="15" customHeight="1" x14ac:dyDescent="0.3">
      <c r="A5" s="1748" t="s">
        <v>98</v>
      </c>
      <c r="B5" s="1754" t="s">
        <v>156</v>
      </c>
      <c r="C5" s="888">
        <v>75</v>
      </c>
      <c r="D5" s="666">
        <v>45090</v>
      </c>
      <c r="E5" s="887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48"/>
      <c r="B6" s="1755"/>
      <c r="C6" s="665"/>
      <c r="D6" s="666"/>
      <c r="E6" s="667"/>
      <c r="F6" s="668"/>
      <c r="G6" s="1137"/>
    </row>
    <row r="7" spans="1:10" ht="15.75" customHeight="1" thickBot="1" x14ac:dyDescent="0.35">
      <c r="A7" s="1748"/>
      <c r="B7" s="1756"/>
      <c r="C7" s="665"/>
      <c r="D7" s="666"/>
      <c r="E7" s="667"/>
      <c r="F7" s="668"/>
      <c r="G7" s="1137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7"/>
      <c r="I8" s="1752" t="s">
        <v>47</v>
      </c>
      <c r="J8" s="174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53"/>
      <c r="J9" s="1746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3"/>
      <c r="E15" s="1066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1">
        <v>15.15</v>
      </c>
      <c r="E16" s="1287">
        <v>45111</v>
      </c>
      <c r="F16" s="1061">
        <f t="shared" si="2"/>
        <v>15.15</v>
      </c>
      <c r="G16" s="1062" t="s">
        <v>506</v>
      </c>
      <c r="H16" s="1063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1">
        <v>54.16</v>
      </c>
      <c r="E17" s="1303">
        <v>45117</v>
      </c>
      <c r="F17" s="1061">
        <f t="shared" si="2"/>
        <v>54.16</v>
      </c>
      <c r="G17" s="1062" t="s">
        <v>552</v>
      </c>
      <c r="H17" s="1063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1">
        <v>13.93</v>
      </c>
      <c r="E18" s="1303">
        <v>45120</v>
      </c>
      <c r="F18" s="1061">
        <f t="shared" si="2"/>
        <v>13.93</v>
      </c>
      <c r="G18" s="1304" t="s">
        <v>584</v>
      </c>
      <c r="H18" s="1063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1">
        <v>103.13</v>
      </c>
      <c r="E19" s="1303">
        <v>45133</v>
      </c>
      <c r="F19" s="1061">
        <f t="shared" si="2"/>
        <v>103.13</v>
      </c>
      <c r="G19" s="1062" t="s">
        <v>695</v>
      </c>
      <c r="H19" s="1063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1"/>
      <c r="E20" s="1287"/>
      <c r="F20" s="1061">
        <f t="shared" si="2"/>
        <v>0</v>
      </c>
      <c r="G20" s="1062"/>
      <c r="H20" s="1063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1"/>
      <c r="E21" s="1287"/>
      <c r="F21" s="1061">
        <f t="shared" si="2"/>
        <v>0</v>
      </c>
      <c r="G21" s="1062"/>
      <c r="H21" s="1063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1"/>
      <c r="E22" s="1086"/>
      <c r="F22" s="1535">
        <f t="shared" si="2"/>
        <v>0</v>
      </c>
      <c r="G22" s="1536"/>
      <c r="H22" s="1537"/>
      <c r="I22" s="1501">
        <f t="shared" si="0"/>
        <v>0</v>
      </c>
      <c r="J22" s="1499">
        <f t="shared" si="1"/>
        <v>0</v>
      </c>
    </row>
    <row r="23" spans="1:10" x14ac:dyDescent="0.25">
      <c r="A23" s="2"/>
      <c r="B23" s="82"/>
      <c r="C23" s="15"/>
      <c r="D23" s="1301"/>
      <c r="E23" s="1086"/>
      <c r="F23" s="1535">
        <f t="shared" si="2"/>
        <v>0</v>
      </c>
      <c r="G23" s="1536"/>
      <c r="H23" s="1537"/>
      <c r="I23" s="1501">
        <f t="shared" si="0"/>
        <v>0</v>
      </c>
      <c r="J23" s="1499">
        <f t="shared" si="1"/>
        <v>0</v>
      </c>
    </row>
    <row r="24" spans="1:10" x14ac:dyDescent="0.25">
      <c r="A24" s="2"/>
      <c r="B24" s="82"/>
      <c r="C24" s="15"/>
      <c r="D24" s="1301"/>
      <c r="E24" s="1086"/>
      <c r="F24" s="1535">
        <f t="shared" si="2"/>
        <v>0</v>
      </c>
      <c r="G24" s="1536"/>
      <c r="H24" s="1537"/>
      <c r="I24" s="1501">
        <f t="shared" si="0"/>
        <v>0</v>
      </c>
      <c r="J24" s="1499">
        <f t="shared" si="1"/>
        <v>0</v>
      </c>
    </row>
    <row r="25" spans="1:10" x14ac:dyDescent="0.25">
      <c r="A25" s="2"/>
      <c r="B25" s="82"/>
      <c r="C25" s="15"/>
      <c r="D25" s="1301"/>
      <c r="E25" s="1086"/>
      <c r="F25" s="1535">
        <f t="shared" si="2"/>
        <v>0</v>
      </c>
      <c r="G25" s="1536"/>
      <c r="H25" s="1537"/>
      <c r="I25" s="1501">
        <f t="shared" si="0"/>
        <v>0</v>
      </c>
      <c r="J25" s="1499">
        <f t="shared" si="1"/>
        <v>0</v>
      </c>
    </row>
    <row r="26" spans="1:10" x14ac:dyDescent="0.25">
      <c r="A26" s="2"/>
      <c r="B26" s="82"/>
      <c r="C26" s="15"/>
      <c r="D26" s="1301"/>
      <c r="E26" s="1086"/>
      <c r="F26" s="1535">
        <f t="shared" si="2"/>
        <v>0</v>
      </c>
      <c r="G26" s="1536"/>
      <c r="H26" s="1537"/>
      <c r="I26" s="1501">
        <f t="shared" si="0"/>
        <v>0</v>
      </c>
      <c r="J26" s="1499">
        <f t="shared" si="1"/>
        <v>0</v>
      </c>
    </row>
    <row r="27" spans="1:10" x14ac:dyDescent="0.25">
      <c r="A27" s="2"/>
      <c r="B27" s="82"/>
      <c r="C27" s="15"/>
      <c r="D27" s="1301"/>
      <c r="E27" s="1086"/>
      <c r="F27" s="1061">
        <f t="shared" si="2"/>
        <v>0</v>
      </c>
      <c r="G27" s="1062"/>
      <c r="H27" s="1063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1"/>
      <c r="E28" s="1086"/>
      <c r="F28" s="1061">
        <f t="shared" si="2"/>
        <v>0</v>
      </c>
      <c r="G28" s="1062"/>
      <c r="H28" s="1063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1"/>
      <c r="E29" s="1086"/>
      <c r="F29" s="1061">
        <f t="shared" si="2"/>
        <v>0</v>
      </c>
      <c r="G29" s="1062"/>
      <c r="H29" s="1063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1"/>
      <c r="E30" s="1086"/>
      <c r="F30" s="1061">
        <f t="shared" si="2"/>
        <v>0</v>
      </c>
      <c r="G30" s="1062"/>
      <c r="H30" s="1063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17" t="s">
        <v>11</v>
      </c>
      <c r="D46" s="1718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9" t="s">
        <v>336</v>
      </c>
      <c r="B1" s="1669"/>
      <c r="C1" s="1669"/>
      <c r="D1" s="1669"/>
      <c r="E1" s="1669"/>
      <c r="F1" s="1669"/>
      <c r="G1" s="166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57" t="s">
        <v>98</v>
      </c>
      <c r="B5" s="1754" t="s">
        <v>100</v>
      </c>
      <c r="C5" s="488">
        <v>65</v>
      </c>
      <c r="D5" s="130">
        <v>45112</v>
      </c>
      <c r="E5" s="889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58"/>
      <c r="B6" s="1756"/>
      <c r="C6" s="212"/>
      <c r="D6" s="130"/>
      <c r="E6" s="140"/>
      <c r="F6" s="227"/>
      <c r="I6" s="1742" t="s">
        <v>3</v>
      </c>
      <c r="J6" s="17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544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563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588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606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6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619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6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643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706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6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6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6"/>
    </row>
    <row r="48" spans="1:10" ht="15.75" thickBot="1" x14ac:dyDescent="0.3">
      <c r="A48" s="115"/>
    </row>
    <row r="49" spans="1:5" ht="16.5" thickTop="1" thickBot="1" x14ac:dyDescent="0.3">
      <c r="A49" s="47"/>
      <c r="C49" s="1717" t="s">
        <v>11</v>
      </c>
      <c r="D49" s="1718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64" t="s">
        <v>325</v>
      </c>
      <c r="B1" s="1664"/>
      <c r="C1" s="1664"/>
      <c r="D1" s="1664"/>
      <c r="E1" s="1664"/>
      <c r="F1" s="1664"/>
      <c r="G1" s="1664"/>
      <c r="H1" s="96">
        <v>1</v>
      </c>
      <c r="L1" s="1669" t="s">
        <v>443</v>
      </c>
      <c r="M1" s="1669"/>
      <c r="N1" s="1669"/>
      <c r="O1" s="1669"/>
      <c r="P1" s="1669"/>
      <c r="Q1" s="1669"/>
      <c r="R1" s="166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5"/>
      <c r="E4" s="225"/>
      <c r="F4" s="226"/>
      <c r="L4" s="74"/>
      <c r="M4" s="140"/>
      <c r="N4" s="488"/>
      <c r="O4" s="895"/>
      <c r="P4" s="225"/>
      <c r="Q4" s="226"/>
    </row>
    <row r="5" spans="1:21" ht="16.5" customHeight="1" thickBot="1" x14ac:dyDescent="0.3">
      <c r="A5" s="1757" t="s">
        <v>98</v>
      </c>
      <c r="B5" s="1754" t="s">
        <v>113</v>
      </c>
      <c r="C5" s="488">
        <v>228</v>
      </c>
      <c r="D5" s="895">
        <v>45099</v>
      </c>
      <c r="E5" s="889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57" t="s">
        <v>98</v>
      </c>
      <c r="M5" s="1754" t="s">
        <v>113</v>
      </c>
      <c r="N5" s="488">
        <v>228</v>
      </c>
      <c r="O5" s="895">
        <v>45133</v>
      </c>
      <c r="P5" s="889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58"/>
      <c r="B6" s="1756"/>
      <c r="C6" s="212"/>
      <c r="D6" s="895"/>
      <c r="E6" s="140"/>
      <c r="F6" s="227"/>
      <c r="I6" s="1742" t="s">
        <v>3</v>
      </c>
      <c r="J6" s="1737" t="s">
        <v>4</v>
      </c>
      <c r="L6" s="1758"/>
      <c r="M6" s="1756"/>
      <c r="N6" s="212"/>
      <c r="O6" s="895"/>
      <c r="P6" s="140"/>
      <c r="Q6" s="227"/>
      <c r="T6" s="1761" t="s">
        <v>3</v>
      </c>
      <c r="U6" s="175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62"/>
      <c r="U7" s="1760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703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48">
        <v>128.41999999999999</v>
      </c>
      <c r="E10" s="978">
        <v>45110</v>
      </c>
      <c r="F10" s="801">
        <f t="shared" ref="F10:F22" si="2">D10</f>
        <v>128.41999999999999</v>
      </c>
      <c r="G10" s="803" t="s">
        <v>497</v>
      </c>
      <c r="H10" s="1049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48">
        <v>260.06</v>
      </c>
      <c r="E11" s="978">
        <v>45122</v>
      </c>
      <c r="F11" s="801">
        <f t="shared" si="2"/>
        <v>260.06</v>
      </c>
      <c r="G11" s="803" t="s">
        <v>614</v>
      </c>
      <c r="H11" s="1049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48">
        <v>174.32</v>
      </c>
      <c r="E12" s="978">
        <v>45124</v>
      </c>
      <c r="F12" s="801">
        <f t="shared" si="2"/>
        <v>174.32</v>
      </c>
      <c r="G12" s="803" t="s">
        <v>617</v>
      </c>
      <c r="H12" s="1049">
        <v>230</v>
      </c>
      <c r="I12" s="713">
        <f t="shared" si="3"/>
        <v>0</v>
      </c>
      <c r="J12" s="723">
        <f t="shared" si="4"/>
        <v>0</v>
      </c>
      <c r="L12" s="1425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48">
        <v>0</v>
      </c>
      <c r="E13" s="978"/>
      <c r="F13" s="801">
        <f t="shared" si="2"/>
        <v>0</v>
      </c>
      <c r="G13" s="803"/>
      <c r="H13" s="1049"/>
      <c r="I13" s="713">
        <f t="shared" si="3"/>
        <v>0</v>
      </c>
      <c r="J13" s="723">
        <f t="shared" si="4"/>
        <v>0</v>
      </c>
      <c r="L13" s="1425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48">
        <v>0</v>
      </c>
      <c r="E14" s="978"/>
      <c r="F14" s="1521">
        <f t="shared" si="2"/>
        <v>0</v>
      </c>
      <c r="G14" s="1522"/>
      <c r="H14" s="1523"/>
      <c r="I14" s="1498">
        <f t="shared" si="3"/>
        <v>0</v>
      </c>
      <c r="J14" s="1499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48">
        <v>0</v>
      </c>
      <c r="E15" s="978"/>
      <c r="F15" s="1521">
        <f t="shared" si="2"/>
        <v>0</v>
      </c>
      <c r="G15" s="1522"/>
      <c r="H15" s="1523"/>
      <c r="I15" s="1498">
        <f t="shared" si="3"/>
        <v>0</v>
      </c>
      <c r="J15" s="1499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48">
        <v>0</v>
      </c>
      <c r="E16" s="978"/>
      <c r="F16" s="1521">
        <f t="shared" si="2"/>
        <v>0</v>
      </c>
      <c r="G16" s="1522"/>
      <c r="H16" s="1523"/>
      <c r="I16" s="1498">
        <f t="shared" si="3"/>
        <v>0</v>
      </c>
      <c r="J16" s="1499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48">
        <v>0</v>
      </c>
      <c r="E17" s="978"/>
      <c r="F17" s="1521">
        <f t="shared" si="2"/>
        <v>0</v>
      </c>
      <c r="G17" s="1524"/>
      <c r="H17" s="1523"/>
      <c r="I17" s="1498">
        <f t="shared" si="3"/>
        <v>0</v>
      </c>
      <c r="J17" s="1499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8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48">
        <v>0</v>
      </c>
      <c r="E18" s="978"/>
      <c r="F18" s="1521">
        <f t="shared" si="2"/>
        <v>0</v>
      </c>
      <c r="G18" s="1522"/>
      <c r="H18" s="1523"/>
      <c r="I18" s="1498">
        <f t="shared" si="3"/>
        <v>0</v>
      </c>
      <c r="J18" s="1499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48">
        <v>0</v>
      </c>
      <c r="E19" s="978"/>
      <c r="F19" s="801">
        <f t="shared" si="2"/>
        <v>0</v>
      </c>
      <c r="G19" s="524"/>
      <c r="H19" s="1050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48">
        <v>0</v>
      </c>
      <c r="E20" s="978"/>
      <c r="F20" s="801">
        <f t="shared" si="2"/>
        <v>0</v>
      </c>
      <c r="G20" s="524"/>
      <c r="H20" s="1050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48">
        <v>0</v>
      </c>
      <c r="E21" s="978"/>
      <c r="F21" s="801">
        <f t="shared" si="2"/>
        <v>0</v>
      </c>
      <c r="G21" s="524"/>
      <c r="H21" s="1050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48">
        <v>0</v>
      </c>
      <c r="E22" s="978"/>
      <c r="F22" s="801">
        <f t="shared" si="2"/>
        <v>0</v>
      </c>
      <c r="G22" s="524"/>
      <c r="H22" s="1050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48">
        <v>0</v>
      </c>
      <c r="E23" s="987"/>
      <c r="F23" s="801">
        <f t="shared" ref="F23:F29" si="7">D23</f>
        <v>0</v>
      </c>
      <c r="G23" s="524"/>
      <c r="H23" s="1050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25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25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2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17" t="s">
        <v>11</v>
      </c>
      <c r="D33" s="1718"/>
      <c r="E33" s="141">
        <f>E5+E4+E6+-F30</f>
        <v>0</v>
      </c>
      <c r="L33" s="47"/>
      <c r="N33" s="1717" t="s">
        <v>11</v>
      </c>
      <c r="O33" s="1718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63"/>
      <c r="B1" s="1763"/>
      <c r="C1" s="1763"/>
      <c r="D1" s="1763"/>
      <c r="E1" s="1763"/>
      <c r="F1" s="1763"/>
      <c r="G1" s="1763"/>
      <c r="H1" s="1763"/>
      <c r="I1" s="176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706" t="s">
        <v>110</v>
      </c>
      <c r="B5" s="176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706"/>
      <c r="B6" s="1765"/>
      <c r="C6" s="222"/>
      <c r="D6" s="320"/>
      <c r="E6" s="240"/>
      <c r="F6" s="227"/>
      <c r="G6" s="72"/>
    </row>
    <row r="7" spans="1:10" ht="15.75" customHeight="1" thickBot="1" x14ac:dyDescent="0.35">
      <c r="A7" s="1706"/>
      <c r="B7" s="176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30" t="s">
        <v>47</v>
      </c>
      <c r="J8" s="17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1"/>
      <c r="J9" s="1767"/>
    </row>
    <row r="10" spans="1:10" ht="15.75" thickTop="1" x14ac:dyDescent="0.25">
      <c r="A10" s="2"/>
      <c r="B10" s="82">
        <v>10</v>
      </c>
      <c r="C10" s="15"/>
      <c r="D10" s="837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7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7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7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7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7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7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7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7">
        <f t="shared" si="1"/>
        <v>0</v>
      </c>
      <c r="E18" s="646"/>
      <c r="F18" s="565">
        <f t="shared" si="0"/>
        <v>0</v>
      </c>
      <c r="G18" s="838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7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7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7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7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7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7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7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7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7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7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7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7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7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7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7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7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7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7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7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7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7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7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7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7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7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7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7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7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7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7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7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7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7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7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7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7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7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7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7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7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7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7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7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7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17" t="s">
        <v>11</v>
      </c>
      <c r="D74" s="171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56"/>
      <c r="B1" s="1656"/>
      <c r="C1" s="1656"/>
      <c r="D1" s="1656"/>
      <c r="E1" s="1656"/>
      <c r="F1" s="1656"/>
      <c r="G1" s="1656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68"/>
      <c r="B5" s="168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68"/>
      <c r="B6" s="176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58" t="s">
        <v>21</v>
      </c>
      <c r="E75" s="1659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9" t="s">
        <v>337</v>
      </c>
      <c r="B1" s="1669"/>
      <c r="C1" s="1669"/>
      <c r="D1" s="1669"/>
      <c r="E1" s="1669"/>
      <c r="F1" s="1669"/>
      <c r="G1" s="1669"/>
      <c r="H1" s="11">
        <v>1</v>
      </c>
      <c r="K1" s="1669" t="s">
        <v>337</v>
      </c>
      <c r="L1" s="1669"/>
      <c r="M1" s="1669"/>
      <c r="N1" s="1669"/>
      <c r="O1" s="1669"/>
      <c r="P1" s="1669"/>
      <c r="Q1" s="16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2"/>
      <c r="C4" s="362"/>
      <c r="D4" s="130"/>
      <c r="E4" s="197"/>
      <c r="F4" s="61"/>
      <c r="G4" s="151"/>
      <c r="H4" s="151"/>
      <c r="K4" s="12"/>
      <c r="L4" s="1425"/>
      <c r="M4" s="362"/>
      <c r="N4" s="130"/>
      <c r="O4" s="197"/>
      <c r="P4" s="61"/>
      <c r="Q4" s="151"/>
      <c r="R4" s="151"/>
    </row>
    <row r="5" spans="1:19" ht="15" customHeight="1" x14ac:dyDescent="0.25">
      <c r="A5" s="1668" t="s">
        <v>390</v>
      </c>
      <c r="B5" s="1670" t="s">
        <v>329</v>
      </c>
      <c r="C5" s="362"/>
      <c r="D5" s="130">
        <v>45125</v>
      </c>
      <c r="E5" s="1008">
        <v>18814.919999999998</v>
      </c>
      <c r="F5" s="664">
        <v>23</v>
      </c>
      <c r="G5" s="1494">
        <v>18906</v>
      </c>
      <c r="H5" s="594"/>
      <c r="I5" s="753"/>
      <c r="J5" s="594"/>
      <c r="K5" s="1668" t="s">
        <v>390</v>
      </c>
      <c r="L5" s="1670" t="s">
        <v>329</v>
      </c>
      <c r="M5" s="362"/>
      <c r="N5" s="130">
        <v>45132</v>
      </c>
      <c r="O5" s="1008">
        <v>18287.650000000001</v>
      </c>
      <c r="P5" s="664">
        <v>23</v>
      </c>
      <c r="Q5" s="1544">
        <v>18388</v>
      </c>
      <c r="R5" s="594"/>
      <c r="S5" s="753"/>
    </row>
    <row r="6" spans="1:19" x14ac:dyDescent="0.25">
      <c r="A6" s="1668"/>
      <c r="B6" s="1670"/>
      <c r="C6" s="230"/>
      <c r="D6" s="130"/>
      <c r="E6" s="77"/>
      <c r="F6" s="61"/>
      <c r="G6" s="47"/>
      <c r="H6" s="7">
        <f>E6-G6+E7+E5-G5</f>
        <v>-91.080000000001746</v>
      </c>
      <c r="K6" s="1668"/>
      <c r="L6" s="167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630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689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630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689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630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689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630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689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630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689</v>
      </c>
      <c r="R13" s="564">
        <v>45</v>
      </c>
      <c r="S13" s="596">
        <f t="shared" ref="S13:S33" si="3">S12-P13</f>
        <v>-2497.5</v>
      </c>
    </row>
    <row r="14" spans="1:19" x14ac:dyDescent="0.25">
      <c r="A14" s="1392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630</v>
      </c>
      <c r="H14" s="564">
        <v>44</v>
      </c>
      <c r="I14" s="596">
        <f t="shared" si="2"/>
        <v>-3052.5</v>
      </c>
      <c r="J14" s="594"/>
      <c r="K14" s="1425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689</v>
      </c>
      <c r="R14" s="564">
        <v>45</v>
      </c>
      <c r="S14" s="596">
        <f t="shared" si="3"/>
        <v>-3335</v>
      </c>
    </row>
    <row r="15" spans="1:19" x14ac:dyDescent="0.25">
      <c r="A15" s="1392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630</v>
      </c>
      <c r="H15" s="564">
        <v>44</v>
      </c>
      <c r="I15" s="596">
        <f t="shared" si="2"/>
        <v>-3926</v>
      </c>
      <c r="J15" s="594"/>
      <c r="K15" s="1425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689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630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689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630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689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630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689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630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689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630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689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631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690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631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690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631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690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631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690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631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690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631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690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631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690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631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690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631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690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631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690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631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690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66" t="s">
        <v>11</v>
      </c>
      <c r="D40" s="1667"/>
      <c r="E40" s="56">
        <f>E5+E6-F35+E7</f>
        <v>-91.080000000001746</v>
      </c>
      <c r="F40" s="1392"/>
      <c r="M40" s="1666" t="s">
        <v>11</v>
      </c>
      <c r="N40" s="1667"/>
      <c r="O40" s="56">
        <f>O5+O6-P35+O7</f>
        <v>-100.34999999999854</v>
      </c>
      <c r="P40" s="142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72"/>
      <c r="B5" s="176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72"/>
      <c r="B6" s="176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66" t="s">
        <v>11</v>
      </c>
      <c r="D60" s="166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56"/>
      <c r="B1" s="1656"/>
      <c r="C1" s="1656"/>
      <c r="D1" s="1656"/>
      <c r="E1" s="1656"/>
      <c r="F1" s="1656"/>
      <c r="G1" s="1656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5"/>
      <c r="G4" s="1156"/>
      <c r="H4" s="144"/>
      <c r="I4" s="369"/>
    </row>
    <row r="5" spans="1:19" ht="15" customHeight="1" x14ac:dyDescent="0.25">
      <c r="A5" s="1672"/>
      <c r="B5" s="169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72"/>
      <c r="B6" s="1694"/>
      <c r="C6" s="230"/>
      <c r="D6" s="578"/>
      <c r="E6" s="560"/>
      <c r="F6" s="576"/>
      <c r="G6" s="1155"/>
      <c r="H6" s="74"/>
      <c r="I6" s="230"/>
    </row>
    <row r="7" spans="1:19" ht="15.75" thickBot="1" x14ac:dyDescent="0.3">
      <c r="A7" s="213"/>
      <c r="B7" s="1694"/>
      <c r="C7" s="230"/>
      <c r="D7" s="578"/>
      <c r="E7" s="560"/>
      <c r="F7" s="576"/>
      <c r="G7" s="1155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18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5"/>
      <c r="N11" s="1305"/>
      <c r="O11" s="1305"/>
      <c r="P11" s="1305"/>
      <c r="Q11" s="1305"/>
      <c r="R11" s="1305"/>
      <c r="S11" s="1305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6"/>
      <c r="N12" s="1305"/>
      <c r="O12" s="1305"/>
      <c r="P12" s="1305"/>
      <c r="Q12" s="1305"/>
      <c r="R12" s="1305"/>
      <c r="S12" s="1305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2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6"/>
      <c r="N13" s="1305"/>
      <c r="O13" s="1307"/>
      <c r="P13" s="1305"/>
      <c r="Q13" s="1305"/>
      <c r="R13" s="1305"/>
      <c r="S13" s="1305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2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6"/>
      <c r="N14" s="1305"/>
      <c r="O14" s="1307"/>
      <c r="P14" s="1305"/>
      <c r="Q14" s="1305"/>
      <c r="R14" s="1305"/>
      <c r="S14" s="1305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2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6"/>
      <c r="N15" s="1305"/>
      <c r="O15" s="1307"/>
      <c r="P15" s="1305"/>
      <c r="Q15" s="1305"/>
      <c r="R15" s="1305"/>
      <c r="S15" s="1305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2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6"/>
      <c r="N16" s="1305"/>
      <c r="O16" s="1307"/>
      <c r="P16" s="1305"/>
      <c r="Q16" s="1305"/>
      <c r="R16" s="1305"/>
      <c r="S16" s="1305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2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6"/>
      <c r="N17" s="1305"/>
      <c r="O17" s="1305"/>
      <c r="P17" s="1305"/>
      <c r="Q17" s="1305"/>
      <c r="R17" s="1305"/>
      <c r="S17" s="1305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2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6"/>
      <c r="N18" s="1305"/>
      <c r="O18" s="1305"/>
      <c r="P18" s="1305"/>
      <c r="Q18" s="1305"/>
      <c r="R18" s="1305"/>
      <c r="S18" s="1305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2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2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2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2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5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58" t="s">
        <v>21</v>
      </c>
      <c r="E41" s="1659"/>
      <c r="F41" s="137">
        <f>G5-F39</f>
        <v>0</v>
      </c>
    </row>
    <row r="42" spans="1:10" ht="15.75" thickBot="1" x14ac:dyDescent="0.3">
      <c r="A42" s="121"/>
      <c r="D42" s="1153" t="s">
        <v>4</v>
      </c>
      <c r="E42" s="1154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69" t="s">
        <v>346</v>
      </c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70" t="s">
        <v>52</v>
      </c>
      <c r="B4" s="443"/>
      <c r="C4" s="124"/>
      <c r="D4" s="131"/>
      <c r="E4" s="85"/>
      <c r="F4" s="72"/>
      <c r="G4" s="982"/>
    </row>
    <row r="5" spans="1:9" ht="15" customHeight="1" x14ac:dyDescent="0.25">
      <c r="A5" s="1771"/>
      <c r="B5" s="1773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72"/>
      <c r="B6" s="1774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09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676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679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680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681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685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713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41">
        <f t="shared" si="0"/>
        <v>0</v>
      </c>
      <c r="G17" s="1542"/>
      <c r="H17" s="1543"/>
      <c r="I17" s="1501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41">
        <f t="shared" si="0"/>
        <v>0</v>
      </c>
      <c r="G18" s="1542"/>
      <c r="H18" s="1543"/>
      <c r="I18" s="1501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41">
        <f t="shared" si="0"/>
        <v>0</v>
      </c>
      <c r="G19" s="1542"/>
      <c r="H19" s="1543"/>
      <c r="I19" s="1501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41">
        <f t="shared" si="0"/>
        <v>0</v>
      </c>
      <c r="G20" s="1542"/>
      <c r="H20" s="1543"/>
      <c r="I20" s="1501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41">
        <f t="shared" si="0"/>
        <v>0</v>
      </c>
      <c r="G21" s="1542"/>
      <c r="H21" s="1543"/>
      <c r="I21" s="1501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64" t="s">
        <v>326</v>
      </c>
      <c r="B1" s="1664"/>
      <c r="C1" s="1664"/>
      <c r="D1" s="1664"/>
      <c r="E1" s="1664"/>
      <c r="F1" s="1664"/>
      <c r="G1" s="1664"/>
      <c r="H1" s="11">
        <v>1</v>
      </c>
      <c r="K1" s="1664" t="str">
        <f>A1</f>
        <v>INVENTARIO     DEL MES DE     JUNIO    2023</v>
      </c>
      <c r="L1" s="1664"/>
      <c r="M1" s="1664"/>
      <c r="N1" s="1664"/>
      <c r="O1" s="1664"/>
      <c r="P1" s="1664"/>
      <c r="Q1" s="1664"/>
      <c r="R1" s="11">
        <v>2</v>
      </c>
      <c r="U1" s="1664" t="s">
        <v>318</v>
      </c>
      <c r="V1" s="1664"/>
      <c r="W1" s="1664"/>
      <c r="X1" s="1664"/>
      <c r="Y1" s="1664"/>
      <c r="Z1" s="1664"/>
      <c r="AA1" s="166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75" t="s">
        <v>85</v>
      </c>
      <c r="C4" s="99"/>
      <c r="D4" s="131"/>
      <c r="E4" s="85"/>
      <c r="F4" s="72"/>
      <c r="G4" s="966"/>
      <c r="L4" s="1775" t="s">
        <v>85</v>
      </c>
      <c r="M4" s="99"/>
      <c r="N4" s="131"/>
      <c r="O4" s="85">
        <v>233.38</v>
      </c>
      <c r="P4" s="1016">
        <v>10</v>
      </c>
      <c r="Q4" s="1017"/>
      <c r="V4" s="1775" t="s">
        <v>85</v>
      </c>
      <c r="W4" s="1549"/>
      <c r="X4" s="131"/>
      <c r="Y4" s="85"/>
      <c r="Z4" s="1146"/>
      <c r="AA4" s="1147"/>
    </row>
    <row r="5" spans="1:29" x14ac:dyDescent="0.25">
      <c r="A5" s="74" t="s">
        <v>52</v>
      </c>
      <c r="B5" s="177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76"/>
      <c r="M5" s="124">
        <v>76</v>
      </c>
      <c r="N5" s="131">
        <v>45062</v>
      </c>
      <c r="O5" s="85">
        <v>1958.43</v>
      </c>
      <c r="P5" s="1016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76"/>
      <c r="W5" s="124">
        <v>70</v>
      </c>
      <c r="X5" s="131">
        <v>45096</v>
      </c>
      <c r="Y5" s="85">
        <v>978.28</v>
      </c>
      <c r="Z5" s="1146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6"/>
      <c r="Q6" s="1016"/>
      <c r="W6" s="99"/>
      <c r="X6" s="131"/>
      <c r="Y6" s="74"/>
      <c r="Z6" s="1146"/>
      <c r="AA6" s="1146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7"/>
      <c r="L7" s="1019" t="s">
        <v>7</v>
      </c>
      <c r="M7" s="1020" t="s">
        <v>8</v>
      </c>
      <c r="N7" s="1021" t="s">
        <v>17</v>
      </c>
      <c r="O7" s="1022" t="s">
        <v>2</v>
      </c>
      <c r="P7" s="1023" t="s">
        <v>18</v>
      </c>
      <c r="Q7" s="1024" t="s">
        <v>15</v>
      </c>
      <c r="R7" s="790"/>
      <c r="S7" s="581"/>
      <c r="T7" s="594"/>
      <c r="V7" s="1019" t="s">
        <v>7</v>
      </c>
      <c r="W7" s="1020" t="s">
        <v>8</v>
      </c>
      <c r="X7" s="1021" t="s">
        <v>17</v>
      </c>
      <c r="Y7" s="1022" t="s">
        <v>2</v>
      </c>
      <c r="Z7" s="1023" t="s">
        <v>18</v>
      </c>
      <c r="AA7" s="1024" t="s">
        <v>15</v>
      </c>
      <c r="AB7" s="790"/>
      <c r="AC7" s="581"/>
    </row>
    <row r="8" spans="1:29" ht="15.75" thickTop="1" x14ac:dyDescent="0.25">
      <c r="A8" s="54"/>
      <c r="B8" s="642">
        <f>F4+F5+F6-C8</f>
        <v>40</v>
      </c>
      <c r="C8" s="967">
        <v>0</v>
      </c>
      <c r="D8" s="599">
        <v>0</v>
      </c>
      <c r="E8" s="578"/>
      <c r="F8" s="562">
        <f t="shared" ref="F8:F28" si="0">D8</f>
        <v>0</v>
      </c>
      <c r="G8" s="943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7">
        <v>0</v>
      </c>
      <c r="N8" s="599">
        <v>0</v>
      </c>
      <c r="O8" s="578"/>
      <c r="P8" s="562">
        <f t="shared" ref="P8:P28" si="1">N8</f>
        <v>0</v>
      </c>
      <c r="Q8" s="943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7">
        <v>0</v>
      </c>
      <c r="X8" s="599">
        <v>0</v>
      </c>
      <c r="Y8" s="578"/>
      <c r="Z8" s="562">
        <f t="shared" ref="Z8:Z28" si="2">X8</f>
        <v>0</v>
      </c>
      <c r="AA8" s="943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7">
        <v>20</v>
      </c>
      <c r="D9" s="599">
        <v>509.35</v>
      </c>
      <c r="E9" s="578">
        <v>45057</v>
      </c>
      <c r="F9" s="562">
        <f t="shared" si="0"/>
        <v>509.35</v>
      </c>
      <c r="G9" s="943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7">
        <v>21</v>
      </c>
      <c r="N9" s="599">
        <v>489.2</v>
      </c>
      <c r="O9" s="578">
        <v>45087</v>
      </c>
      <c r="P9" s="562">
        <f t="shared" si="1"/>
        <v>489.2</v>
      </c>
      <c r="Q9" s="943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7"/>
      <c r="X9" s="599"/>
      <c r="Y9" s="578"/>
      <c r="Z9" s="562">
        <f t="shared" si="2"/>
        <v>0</v>
      </c>
      <c r="AA9" s="943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8">
        <v>1</v>
      </c>
      <c r="D10" s="599">
        <v>23.19</v>
      </c>
      <c r="E10" s="578">
        <v>45082</v>
      </c>
      <c r="F10" s="562">
        <f t="shared" si="0"/>
        <v>23.19</v>
      </c>
      <c r="G10" s="943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8">
        <v>9</v>
      </c>
      <c r="N10" s="599">
        <v>217.65</v>
      </c>
      <c r="O10" s="578">
        <v>45093</v>
      </c>
      <c r="P10" s="562">
        <f t="shared" si="1"/>
        <v>217.65</v>
      </c>
      <c r="Q10" s="943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8"/>
      <c r="X10" s="599"/>
      <c r="Y10" s="578"/>
      <c r="Z10" s="562">
        <f t="shared" si="2"/>
        <v>0</v>
      </c>
      <c r="AA10" s="943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8">
        <v>9</v>
      </c>
      <c r="D11" s="599">
        <v>211.72</v>
      </c>
      <c r="E11" s="578">
        <v>45082</v>
      </c>
      <c r="F11" s="562">
        <f t="shared" si="0"/>
        <v>211.72</v>
      </c>
      <c r="G11" s="943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48"/>
      <c r="N11" s="599"/>
      <c r="O11" s="578"/>
      <c r="P11" s="562">
        <f t="shared" si="1"/>
        <v>0</v>
      </c>
      <c r="Q11" s="943"/>
      <c r="R11" s="929"/>
      <c r="S11" s="630">
        <f t="shared" si="6"/>
        <v>1484.9599999999998</v>
      </c>
      <c r="U11" s="54"/>
      <c r="V11" s="724">
        <f t="shared" si="7"/>
        <v>42</v>
      </c>
      <c r="W11" s="968"/>
      <c r="X11" s="599"/>
      <c r="Y11" s="578"/>
      <c r="Z11" s="562">
        <f t="shared" si="2"/>
        <v>0</v>
      </c>
      <c r="AA11" s="943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8"/>
      <c r="D12" s="599"/>
      <c r="E12" s="578"/>
      <c r="F12" s="562">
        <f t="shared" si="0"/>
        <v>0</v>
      </c>
      <c r="G12" s="943"/>
      <c r="H12" s="230"/>
      <c r="I12" s="560">
        <f t="shared" si="4"/>
        <v>233.37999999999997</v>
      </c>
      <c r="K12" s="74"/>
      <c r="L12" s="724">
        <f t="shared" si="5"/>
        <v>58</v>
      </c>
      <c r="M12" s="968">
        <v>7</v>
      </c>
      <c r="N12" s="1314">
        <v>165.4</v>
      </c>
      <c r="O12" s="1278">
        <v>45111</v>
      </c>
      <c r="P12" s="706">
        <f t="shared" si="1"/>
        <v>165.4</v>
      </c>
      <c r="Q12" s="1315" t="s">
        <v>508</v>
      </c>
      <c r="R12" s="1316">
        <v>78</v>
      </c>
      <c r="S12" s="560">
        <f t="shared" si="6"/>
        <v>1319.5599999999997</v>
      </c>
      <c r="U12" s="74"/>
      <c r="V12" s="724">
        <f t="shared" si="7"/>
        <v>42</v>
      </c>
      <c r="W12" s="968"/>
      <c r="X12" s="599"/>
      <c r="Y12" s="578"/>
      <c r="Z12" s="562">
        <f t="shared" si="2"/>
        <v>0</v>
      </c>
      <c r="AA12" s="943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8"/>
      <c r="D13" s="1308"/>
      <c r="E13" s="1047"/>
      <c r="F13" s="705">
        <f t="shared" si="0"/>
        <v>0</v>
      </c>
      <c r="G13" s="1309"/>
      <c r="H13" s="1310"/>
      <c r="I13" s="560">
        <f t="shared" si="4"/>
        <v>233.37999999999997</v>
      </c>
      <c r="K13" s="74"/>
      <c r="L13" s="724">
        <f t="shared" si="5"/>
        <v>52</v>
      </c>
      <c r="M13" s="968">
        <v>6</v>
      </c>
      <c r="N13" s="1314">
        <v>145.86000000000001</v>
      </c>
      <c r="O13" s="1278">
        <v>45119</v>
      </c>
      <c r="P13" s="706">
        <f t="shared" si="1"/>
        <v>145.86000000000001</v>
      </c>
      <c r="Q13" s="1315" t="s">
        <v>574</v>
      </c>
      <c r="R13" s="1316">
        <v>78</v>
      </c>
      <c r="S13" s="560">
        <f t="shared" si="6"/>
        <v>1173.6999999999998</v>
      </c>
      <c r="U13" s="74"/>
      <c r="V13" s="724">
        <f t="shared" si="7"/>
        <v>42</v>
      </c>
      <c r="W13" s="968"/>
      <c r="X13" s="599"/>
      <c r="Y13" s="578"/>
      <c r="Z13" s="562">
        <f t="shared" si="2"/>
        <v>0</v>
      </c>
      <c r="AA13" s="943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8">
        <v>10</v>
      </c>
      <c r="D14" s="1308"/>
      <c r="E14" s="1047"/>
      <c r="F14" s="705">
        <v>233.38</v>
      </c>
      <c r="G14" s="1309"/>
      <c r="H14" s="1310"/>
      <c r="I14" s="560">
        <f t="shared" si="4"/>
        <v>0</v>
      </c>
      <c r="L14" s="724">
        <f t="shared" si="5"/>
        <v>45</v>
      </c>
      <c r="M14" s="968">
        <v>7</v>
      </c>
      <c r="N14" s="1314">
        <v>165.84</v>
      </c>
      <c r="O14" s="1278">
        <v>45124</v>
      </c>
      <c r="P14" s="706">
        <f t="shared" si="1"/>
        <v>165.84</v>
      </c>
      <c r="Q14" s="1315" t="s">
        <v>621</v>
      </c>
      <c r="R14" s="1316">
        <v>78</v>
      </c>
      <c r="S14" s="560">
        <f t="shared" si="6"/>
        <v>1007.8599999999998</v>
      </c>
      <c r="V14" s="724">
        <f t="shared" si="7"/>
        <v>42</v>
      </c>
      <c r="W14" s="968"/>
      <c r="X14" s="599"/>
      <c r="Y14" s="578"/>
      <c r="Z14" s="562">
        <f t="shared" si="2"/>
        <v>0</v>
      </c>
      <c r="AA14" s="943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8"/>
      <c r="D15" s="1308"/>
      <c r="E15" s="1047"/>
      <c r="F15" s="1550">
        <f t="shared" si="0"/>
        <v>0</v>
      </c>
      <c r="G15" s="1551"/>
      <c r="H15" s="1552"/>
      <c r="I15" s="1501">
        <f t="shared" si="4"/>
        <v>0</v>
      </c>
      <c r="L15" s="724">
        <f t="shared" si="5"/>
        <v>23</v>
      </c>
      <c r="M15" s="968">
        <v>22</v>
      </c>
      <c r="N15" s="1314">
        <v>511.28</v>
      </c>
      <c r="O15" s="1278">
        <v>45129</v>
      </c>
      <c r="P15" s="706">
        <f t="shared" si="1"/>
        <v>511.28</v>
      </c>
      <c r="Q15" s="1315" t="s">
        <v>674</v>
      </c>
      <c r="R15" s="1316">
        <v>78</v>
      </c>
      <c r="S15" s="560">
        <f t="shared" si="6"/>
        <v>496.57999999999981</v>
      </c>
      <c r="V15" s="724">
        <f t="shared" si="7"/>
        <v>42</v>
      </c>
      <c r="W15" s="968"/>
      <c r="X15" s="599"/>
      <c r="Y15" s="578"/>
      <c r="Z15" s="562">
        <f t="shared" si="2"/>
        <v>0</v>
      </c>
      <c r="AA15" s="943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8"/>
      <c r="D16" s="1308"/>
      <c r="E16" s="1047"/>
      <c r="F16" s="1550">
        <f t="shared" si="0"/>
        <v>0</v>
      </c>
      <c r="G16" s="1551"/>
      <c r="H16" s="1552"/>
      <c r="I16" s="1501">
        <f t="shared" si="4"/>
        <v>0</v>
      </c>
      <c r="L16" s="724">
        <f t="shared" si="5"/>
        <v>23</v>
      </c>
      <c r="M16" s="968"/>
      <c r="N16" s="1314"/>
      <c r="O16" s="1278"/>
      <c r="P16" s="706">
        <f t="shared" si="1"/>
        <v>0</v>
      </c>
      <c r="Q16" s="1315"/>
      <c r="R16" s="1316"/>
      <c r="S16" s="560">
        <f t="shared" si="6"/>
        <v>496.57999999999981</v>
      </c>
      <c r="V16" s="724">
        <f t="shared" si="7"/>
        <v>42</v>
      </c>
      <c r="W16" s="968"/>
      <c r="X16" s="599"/>
      <c r="Y16" s="578"/>
      <c r="Z16" s="562">
        <f t="shared" si="2"/>
        <v>0</v>
      </c>
      <c r="AA16" s="943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8"/>
      <c r="D17" s="1308"/>
      <c r="E17" s="1047"/>
      <c r="F17" s="1550">
        <f t="shared" si="0"/>
        <v>0</v>
      </c>
      <c r="G17" s="1551"/>
      <c r="H17" s="1552"/>
      <c r="I17" s="1501">
        <f t="shared" si="4"/>
        <v>0</v>
      </c>
      <c r="L17" s="724">
        <f t="shared" si="5"/>
        <v>23</v>
      </c>
      <c r="M17" s="968"/>
      <c r="N17" s="1314"/>
      <c r="O17" s="1278"/>
      <c r="P17" s="706">
        <f t="shared" si="1"/>
        <v>0</v>
      </c>
      <c r="Q17" s="1315"/>
      <c r="R17" s="1316"/>
      <c r="S17" s="560">
        <f t="shared" si="6"/>
        <v>496.57999999999981</v>
      </c>
      <c r="V17" s="724">
        <f t="shared" si="7"/>
        <v>42</v>
      </c>
      <c r="W17" s="968"/>
      <c r="X17" s="599"/>
      <c r="Y17" s="578"/>
      <c r="Z17" s="562">
        <f t="shared" si="2"/>
        <v>0</v>
      </c>
      <c r="AA17" s="943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8"/>
      <c r="D18" s="1308"/>
      <c r="E18" s="1047"/>
      <c r="F18" s="1550">
        <f t="shared" si="0"/>
        <v>0</v>
      </c>
      <c r="G18" s="1551"/>
      <c r="H18" s="1552"/>
      <c r="I18" s="1501">
        <f t="shared" si="4"/>
        <v>0</v>
      </c>
      <c r="L18" s="724">
        <f t="shared" si="5"/>
        <v>23</v>
      </c>
      <c r="M18" s="968"/>
      <c r="N18" s="1314"/>
      <c r="O18" s="1278"/>
      <c r="P18" s="706">
        <f t="shared" si="1"/>
        <v>0</v>
      </c>
      <c r="Q18" s="1315"/>
      <c r="R18" s="1316"/>
      <c r="S18" s="560">
        <f t="shared" si="6"/>
        <v>496.57999999999981</v>
      </c>
      <c r="V18" s="724">
        <f t="shared" si="7"/>
        <v>42</v>
      </c>
      <c r="W18" s="968"/>
      <c r="X18" s="599"/>
      <c r="Y18" s="578"/>
      <c r="Z18" s="562">
        <f t="shared" si="2"/>
        <v>0</v>
      </c>
      <c r="AA18" s="943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8"/>
      <c r="D19" s="1308"/>
      <c r="E19" s="1047"/>
      <c r="F19" s="705">
        <f t="shared" si="0"/>
        <v>0</v>
      </c>
      <c r="G19" s="1309"/>
      <c r="H19" s="1310"/>
      <c r="I19" s="560">
        <f t="shared" si="4"/>
        <v>0</v>
      </c>
      <c r="L19" s="724">
        <f t="shared" si="5"/>
        <v>23</v>
      </c>
      <c r="M19" s="968"/>
      <c r="N19" s="1314"/>
      <c r="O19" s="1278"/>
      <c r="P19" s="706">
        <f t="shared" si="1"/>
        <v>0</v>
      </c>
      <c r="Q19" s="1315"/>
      <c r="R19" s="1316"/>
      <c r="S19" s="560">
        <f t="shared" si="6"/>
        <v>496.57999999999981</v>
      </c>
      <c r="V19" s="724">
        <f t="shared" si="7"/>
        <v>42</v>
      </c>
      <c r="W19" s="968"/>
      <c r="X19" s="599"/>
      <c r="Y19" s="578"/>
      <c r="Z19" s="562">
        <f t="shared" si="2"/>
        <v>0</v>
      </c>
      <c r="AA19" s="943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8"/>
      <c r="D20" s="1308"/>
      <c r="E20" s="1047"/>
      <c r="F20" s="705">
        <f t="shared" si="0"/>
        <v>0</v>
      </c>
      <c r="G20" s="1309"/>
      <c r="H20" s="1310"/>
      <c r="I20" s="560">
        <f t="shared" si="4"/>
        <v>0</v>
      </c>
      <c r="L20" s="724">
        <f t="shared" si="5"/>
        <v>23</v>
      </c>
      <c r="M20" s="968"/>
      <c r="N20" s="1314"/>
      <c r="O20" s="1278"/>
      <c r="P20" s="706">
        <f t="shared" si="1"/>
        <v>0</v>
      </c>
      <c r="Q20" s="1315"/>
      <c r="R20" s="1316"/>
      <c r="S20" s="560">
        <f t="shared" si="6"/>
        <v>496.57999999999981</v>
      </c>
      <c r="V20" s="724">
        <f t="shared" si="7"/>
        <v>42</v>
      </c>
      <c r="W20" s="968"/>
      <c r="X20" s="599"/>
      <c r="Y20" s="578"/>
      <c r="Z20" s="562">
        <f t="shared" si="2"/>
        <v>0</v>
      </c>
      <c r="AA20" s="943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1"/>
      <c r="E21" s="1054"/>
      <c r="F21" s="526">
        <f t="shared" si="0"/>
        <v>0</v>
      </c>
      <c r="G21" s="1312"/>
      <c r="H21" s="1313"/>
      <c r="I21" s="128">
        <f t="shared" si="4"/>
        <v>0</v>
      </c>
      <c r="L21" s="382">
        <f t="shared" si="5"/>
        <v>23</v>
      </c>
      <c r="M21" s="521"/>
      <c r="N21" s="1317"/>
      <c r="O21" s="1279"/>
      <c r="P21" s="1274">
        <f t="shared" si="1"/>
        <v>0</v>
      </c>
      <c r="Q21" s="1318"/>
      <c r="R21" s="1319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1"/>
      <c r="E22" s="1054"/>
      <c r="F22" s="526">
        <f t="shared" si="0"/>
        <v>0</v>
      </c>
      <c r="G22" s="1312"/>
      <c r="H22" s="1313"/>
      <c r="I22" s="128">
        <f t="shared" si="4"/>
        <v>0</v>
      </c>
      <c r="L22" s="382">
        <f t="shared" si="5"/>
        <v>23</v>
      </c>
      <c r="M22" s="521"/>
      <c r="N22" s="1317"/>
      <c r="O22" s="1279"/>
      <c r="P22" s="1274">
        <f t="shared" si="1"/>
        <v>0</v>
      </c>
      <c r="Q22" s="1318"/>
      <c r="R22" s="1319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1"/>
      <c r="E23" s="1054"/>
      <c r="F23" s="526">
        <f t="shared" si="0"/>
        <v>0</v>
      </c>
      <c r="G23" s="1312"/>
      <c r="H23" s="1313"/>
      <c r="I23" s="128">
        <f t="shared" si="4"/>
        <v>0</v>
      </c>
      <c r="L23" s="382">
        <f t="shared" si="5"/>
        <v>23</v>
      </c>
      <c r="M23" s="521"/>
      <c r="N23" s="1317"/>
      <c r="O23" s="1279"/>
      <c r="P23" s="1274">
        <f t="shared" si="1"/>
        <v>0</v>
      </c>
      <c r="Q23" s="1318"/>
      <c r="R23" s="1319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4"/>
      <c r="E24" s="1084"/>
      <c r="F24" s="1055">
        <f t="shared" si="0"/>
        <v>0</v>
      </c>
      <c r="G24" s="1095"/>
      <c r="H24" s="1096"/>
      <c r="I24" s="128">
        <f t="shared" si="4"/>
        <v>0</v>
      </c>
      <c r="L24" s="382">
        <f t="shared" si="5"/>
        <v>23</v>
      </c>
      <c r="M24" s="521"/>
      <c r="N24" s="1317"/>
      <c r="O24" s="1279"/>
      <c r="P24" s="1274">
        <f t="shared" si="1"/>
        <v>0</v>
      </c>
      <c r="Q24" s="1318"/>
      <c r="R24" s="1319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4"/>
      <c r="E25" s="1084"/>
      <c r="F25" s="1055">
        <f t="shared" si="0"/>
        <v>0</v>
      </c>
      <c r="G25" s="1095"/>
      <c r="H25" s="1096"/>
      <c r="I25" s="128">
        <f t="shared" si="4"/>
        <v>0</v>
      </c>
      <c r="L25" s="382">
        <f t="shared" si="5"/>
        <v>23</v>
      </c>
      <c r="M25" s="521"/>
      <c r="N25" s="1317"/>
      <c r="O25" s="1279"/>
      <c r="P25" s="1274">
        <f t="shared" si="1"/>
        <v>0</v>
      </c>
      <c r="Q25" s="1318"/>
      <c r="R25" s="1319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4"/>
      <c r="E26" s="1084"/>
      <c r="F26" s="1055">
        <f t="shared" si="0"/>
        <v>0</v>
      </c>
      <c r="G26" s="1097"/>
      <c r="H26" s="1096"/>
      <c r="I26" s="128">
        <f t="shared" si="4"/>
        <v>0</v>
      </c>
      <c r="L26" s="382">
        <f t="shared" si="5"/>
        <v>23</v>
      </c>
      <c r="M26" s="521"/>
      <c r="N26" s="1317"/>
      <c r="O26" s="1279"/>
      <c r="P26" s="1274">
        <f t="shared" si="1"/>
        <v>0</v>
      </c>
      <c r="Q26" s="1320"/>
      <c r="R26" s="1319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098"/>
      <c r="E27" s="1084"/>
      <c r="F27" s="1055">
        <f t="shared" si="0"/>
        <v>0</v>
      </c>
      <c r="G27" s="1099"/>
      <c r="H27" s="1100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0"/>
      <c r="E29" s="764"/>
      <c r="F29" s="406"/>
      <c r="G29" s="971"/>
      <c r="H29" s="64"/>
      <c r="L29" s="383"/>
      <c r="M29" s="521"/>
      <c r="N29" s="970"/>
      <c r="O29" s="764"/>
      <c r="P29" s="406"/>
      <c r="Q29" s="971"/>
      <c r="R29" s="64"/>
      <c r="V29" s="383"/>
      <c r="W29" s="521"/>
      <c r="X29" s="970"/>
      <c r="Y29" s="764"/>
      <c r="Z29" s="406"/>
      <c r="AA29" s="971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2" t="s">
        <v>21</v>
      </c>
      <c r="E33" s="963"/>
      <c r="F33" s="137">
        <f>E5-D32</f>
        <v>937.64</v>
      </c>
      <c r="G33" s="74"/>
      <c r="H33" s="74"/>
      <c r="K33" s="74"/>
      <c r="L33" s="74"/>
      <c r="M33" s="74"/>
      <c r="N33" s="1012" t="s">
        <v>21</v>
      </c>
      <c r="O33" s="1013"/>
      <c r="P33" s="137">
        <f>O5-N32</f>
        <v>1886.43</v>
      </c>
      <c r="Q33" s="74"/>
      <c r="R33" s="74"/>
      <c r="U33" s="74"/>
      <c r="V33" s="74"/>
      <c r="W33" s="74"/>
      <c r="X33" s="1141" t="s">
        <v>21</v>
      </c>
      <c r="Y33" s="1142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4" t="s">
        <v>4</v>
      </c>
      <c r="E34" s="965"/>
      <c r="F34" s="49">
        <f>F4+F5-C32</f>
        <v>0</v>
      </c>
      <c r="G34" s="74"/>
      <c r="H34" s="74"/>
      <c r="K34" s="74"/>
      <c r="L34" s="74"/>
      <c r="M34" s="74"/>
      <c r="N34" s="1014" t="s">
        <v>4</v>
      </c>
      <c r="O34" s="1015"/>
      <c r="P34" s="49">
        <f>P4+P5-M32</f>
        <v>23</v>
      </c>
      <c r="Q34" s="74"/>
      <c r="R34" s="74"/>
      <c r="U34" s="74"/>
      <c r="V34" s="74"/>
      <c r="W34" s="74"/>
      <c r="X34" s="1143" t="s">
        <v>4</v>
      </c>
      <c r="Y34" s="1144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5" t="s">
        <v>88</v>
      </c>
      <c r="C4" s="99"/>
      <c r="D4" s="131"/>
      <c r="E4" s="85"/>
      <c r="F4" s="72"/>
      <c r="G4" s="224"/>
    </row>
    <row r="5" spans="1:9" x14ac:dyDescent="0.25">
      <c r="A5" s="1668"/>
      <c r="B5" s="177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39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2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2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3"/>
      <c r="I10" s="560">
        <f t="shared" ref="I10:I28" si="2">I9-D10</f>
        <v>0</v>
      </c>
    </row>
    <row r="11" spans="1:9" x14ac:dyDescent="0.25">
      <c r="A11" s="54"/>
      <c r="B11" s="942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2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2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2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2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2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2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2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2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2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2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2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2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2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2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2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2"/>
      <c r="C27" s="624"/>
      <c r="D27" s="562"/>
      <c r="E27" s="580"/>
      <c r="F27" s="562">
        <f t="shared" si="0"/>
        <v>0</v>
      </c>
      <c r="G27" s="693"/>
      <c r="H27" s="944"/>
      <c r="I27" s="560">
        <f t="shared" si="2"/>
        <v>0</v>
      </c>
    </row>
    <row r="28" spans="1:9" x14ac:dyDescent="0.25">
      <c r="B28" s="840"/>
      <c r="C28" s="624"/>
      <c r="D28" s="562"/>
      <c r="E28" s="580"/>
      <c r="F28" s="562">
        <f t="shared" si="0"/>
        <v>0</v>
      </c>
      <c r="G28" s="693"/>
      <c r="H28" s="944"/>
      <c r="I28" s="560">
        <f t="shared" si="2"/>
        <v>0</v>
      </c>
    </row>
    <row r="29" spans="1:9" x14ac:dyDescent="0.25">
      <c r="B29" s="840"/>
      <c r="C29" s="624"/>
      <c r="D29" s="562"/>
      <c r="E29" s="580"/>
      <c r="F29" s="841"/>
      <c r="G29" s="945"/>
      <c r="H29" s="944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64" t="s">
        <v>327</v>
      </c>
      <c r="B1" s="1664"/>
      <c r="C1" s="1664"/>
      <c r="D1" s="1664"/>
      <c r="E1" s="1664"/>
      <c r="F1" s="1664"/>
      <c r="G1" s="1664"/>
      <c r="H1" s="96">
        <v>1</v>
      </c>
      <c r="L1" s="1664" t="str">
        <f>A1</f>
        <v>INVENTARIO DEL MES DE JUNIO   2023</v>
      </c>
      <c r="M1" s="1664"/>
      <c r="N1" s="1664"/>
      <c r="O1" s="1664"/>
      <c r="P1" s="1664"/>
      <c r="Q1" s="1664"/>
      <c r="R1" s="1664"/>
      <c r="S1" s="96">
        <v>2</v>
      </c>
      <c r="W1" s="1669" t="s">
        <v>444</v>
      </c>
      <c r="X1" s="1669"/>
      <c r="Y1" s="1669"/>
      <c r="Z1" s="1669"/>
      <c r="AA1" s="1669"/>
      <c r="AB1" s="1669"/>
      <c r="AC1" s="166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57" t="s">
        <v>98</v>
      </c>
      <c r="B5" s="177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57" t="s">
        <v>98</v>
      </c>
      <c r="M5" s="177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57" t="s">
        <v>98</v>
      </c>
      <c r="X5" s="1777" t="s">
        <v>461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58"/>
      <c r="B6" s="1778"/>
      <c r="C6" s="212"/>
      <c r="D6" s="114"/>
      <c r="E6" s="140">
        <v>35.72</v>
      </c>
      <c r="F6" s="227">
        <v>1</v>
      </c>
      <c r="I6" s="1742" t="s">
        <v>3</v>
      </c>
      <c r="J6" s="1737" t="s">
        <v>4</v>
      </c>
      <c r="L6" s="1758"/>
      <c r="M6" s="1778"/>
      <c r="N6" s="212"/>
      <c r="O6" s="114"/>
      <c r="P6" s="140"/>
      <c r="Q6" s="227"/>
      <c r="T6" s="1742" t="s">
        <v>3</v>
      </c>
      <c r="U6" s="1737" t="s">
        <v>4</v>
      </c>
      <c r="W6" s="1758"/>
      <c r="X6" s="1778"/>
      <c r="Y6" s="212"/>
      <c r="Z6" s="114"/>
      <c r="AA6" s="140">
        <v>211.72</v>
      </c>
      <c r="AB6" s="227">
        <v>8</v>
      </c>
      <c r="AE6" s="1742" t="s">
        <v>3</v>
      </c>
      <c r="AF6" s="173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3"/>
      <c r="U7" s="173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43"/>
      <c r="AF7" s="1738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614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497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48">
        <v>235.02</v>
      </c>
      <c r="E9" s="978">
        <v>45027</v>
      </c>
      <c r="F9" s="802">
        <f t="shared" si="0"/>
        <v>235.02</v>
      </c>
      <c r="G9" s="803" t="s">
        <v>158</v>
      </c>
      <c r="H9" s="1049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718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558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5">
        <v>32.6</v>
      </c>
      <c r="E10" s="1064">
        <v>45075</v>
      </c>
      <c r="F10" s="708">
        <f t="shared" si="0"/>
        <v>32.6</v>
      </c>
      <c r="G10" s="709" t="s">
        <v>184</v>
      </c>
      <c r="H10" s="1065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581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5">
        <v>31.57</v>
      </c>
      <c r="E11" s="1064">
        <v>45078</v>
      </c>
      <c r="F11" s="708">
        <f t="shared" si="0"/>
        <v>31.57</v>
      </c>
      <c r="G11" s="709" t="s">
        <v>192</v>
      </c>
      <c r="H11" s="1065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721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5">
        <f t="shared" ref="D12:D28" si="9">C12*B12</f>
        <v>0</v>
      </c>
      <c r="E12" s="1064"/>
      <c r="F12" s="708">
        <f t="shared" si="0"/>
        <v>0</v>
      </c>
      <c r="G12" s="709"/>
      <c r="H12" s="1065"/>
      <c r="I12" s="713">
        <f t="shared" si="3"/>
        <v>123.43</v>
      </c>
      <c r="J12" s="723">
        <f t="shared" si="4"/>
        <v>4</v>
      </c>
      <c r="L12" s="1146"/>
      <c r="M12" s="82"/>
      <c r="N12" s="15">
        <v>8</v>
      </c>
      <c r="O12" s="168">
        <v>0</v>
      </c>
      <c r="P12" s="232"/>
      <c r="Q12" s="1518">
        <v>211.72</v>
      </c>
      <c r="R12" s="1519"/>
      <c r="S12" s="1530"/>
      <c r="T12" s="1498">
        <f t="shared" si="5"/>
        <v>0</v>
      </c>
      <c r="U12" s="1499">
        <f t="shared" si="6"/>
        <v>0</v>
      </c>
      <c r="W12" s="1425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88">
        <f t="shared" si="9"/>
        <v>0</v>
      </c>
      <c r="E13" s="1101"/>
      <c r="F13" s="692">
        <f t="shared" si="0"/>
        <v>0</v>
      </c>
      <c r="G13" s="1102"/>
      <c r="H13" s="1103"/>
      <c r="I13" s="713">
        <f t="shared" si="3"/>
        <v>123.43</v>
      </c>
      <c r="J13" s="723">
        <f t="shared" si="4"/>
        <v>4</v>
      </c>
      <c r="L13" s="1146"/>
      <c r="M13" s="82"/>
      <c r="N13" s="15"/>
      <c r="O13" s="168">
        <v>0</v>
      </c>
      <c r="P13" s="231"/>
      <c r="Q13" s="1518">
        <f t="shared" si="1"/>
        <v>0</v>
      </c>
      <c r="R13" s="1519"/>
      <c r="S13" s="1530"/>
      <c r="T13" s="1498">
        <f t="shared" si="5"/>
        <v>0</v>
      </c>
      <c r="U13" s="1499">
        <f t="shared" si="6"/>
        <v>0</v>
      </c>
      <c r="W13" s="1425"/>
      <c r="X13" s="82"/>
      <c r="Y13" s="15"/>
      <c r="Z13" s="168">
        <v>0</v>
      </c>
      <c r="AA13" s="231"/>
      <c r="AB13" s="1518">
        <f t="shared" si="2"/>
        <v>0</v>
      </c>
      <c r="AC13" s="1519"/>
      <c r="AD13" s="1530"/>
      <c r="AE13" s="1498">
        <f t="shared" si="7"/>
        <v>0</v>
      </c>
      <c r="AF13" s="1499">
        <f t="shared" si="8"/>
        <v>0</v>
      </c>
    </row>
    <row r="14" spans="1:33" x14ac:dyDescent="0.25">
      <c r="B14" s="82"/>
      <c r="C14" s="15">
        <v>2</v>
      </c>
      <c r="D14" s="1088">
        <v>58.38</v>
      </c>
      <c r="E14" s="1101">
        <v>45094</v>
      </c>
      <c r="F14" s="692">
        <f>D14</f>
        <v>58.38</v>
      </c>
      <c r="G14" s="1102" t="s">
        <v>238</v>
      </c>
      <c r="H14" s="1103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18">
        <f>O14</f>
        <v>0</v>
      </c>
      <c r="R14" s="1519"/>
      <c r="S14" s="1530"/>
      <c r="T14" s="1498">
        <f t="shared" si="5"/>
        <v>0</v>
      </c>
      <c r="U14" s="1499">
        <f t="shared" si="6"/>
        <v>0</v>
      </c>
      <c r="X14" s="82"/>
      <c r="Y14" s="15"/>
      <c r="Z14" s="168">
        <v>0</v>
      </c>
      <c r="AA14" s="231"/>
      <c r="AB14" s="1518">
        <f>Z14</f>
        <v>0</v>
      </c>
      <c r="AC14" s="1519"/>
      <c r="AD14" s="1530"/>
      <c r="AE14" s="1498">
        <f t="shared" si="7"/>
        <v>0</v>
      </c>
      <c r="AF14" s="1499">
        <f t="shared" si="8"/>
        <v>0</v>
      </c>
    </row>
    <row r="15" spans="1:33" x14ac:dyDescent="0.25">
      <c r="B15" s="82"/>
      <c r="C15" s="15">
        <v>1</v>
      </c>
      <c r="D15" s="1088">
        <v>32.36</v>
      </c>
      <c r="E15" s="1101">
        <v>45103</v>
      </c>
      <c r="F15" s="692">
        <f>D15</f>
        <v>32.36</v>
      </c>
      <c r="G15" s="1102" t="s">
        <v>268</v>
      </c>
      <c r="H15" s="1103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18">
        <f>O15</f>
        <v>0</v>
      </c>
      <c r="R15" s="1519"/>
      <c r="S15" s="1530"/>
      <c r="T15" s="1498">
        <f t="shared" si="5"/>
        <v>0</v>
      </c>
      <c r="U15" s="1499">
        <f t="shared" si="6"/>
        <v>0</v>
      </c>
      <c r="X15" s="82"/>
      <c r="Y15" s="15"/>
      <c r="Z15" s="168">
        <v>0</v>
      </c>
      <c r="AA15" s="231"/>
      <c r="AB15" s="1518">
        <f>Z15</f>
        <v>0</v>
      </c>
      <c r="AC15" s="1519"/>
      <c r="AD15" s="1530"/>
      <c r="AE15" s="1498">
        <f t="shared" si="7"/>
        <v>0</v>
      </c>
      <c r="AF15" s="1499">
        <f t="shared" si="8"/>
        <v>0</v>
      </c>
    </row>
    <row r="16" spans="1:33" x14ac:dyDescent="0.25">
      <c r="A16" s="80"/>
      <c r="B16" s="82"/>
      <c r="C16" s="15"/>
      <c r="D16" s="1088">
        <f t="shared" si="9"/>
        <v>0</v>
      </c>
      <c r="E16" s="1104"/>
      <c r="F16" s="58">
        <f>D16</f>
        <v>0</v>
      </c>
      <c r="G16" s="1087"/>
      <c r="H16" s="1105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18">
        <f>O16</f>
        <v>0</v>
      </c>
      <c r="R16" s="1519"/>
      <c r="S16" s="1530"/>
      <c r="T16" s="1498">
        <f t="shared" si="5"/>
        <v>0</v>
      </c>
      <c r="U16" s="1499">
        <f t="shared" si="6"/>
        <v>0</v>
      </c>
      <c r="W16" s="80"/>
      <c r="X16" s="82"/>
      <c r="Y16" s="15"/>
      <c r="Z16" s="168">
        <v>0</v>
      </c>
      <c r="AA16" s="238"/>
      <c r="AB16" s="1518">
        <f>Z16</f>
        <v>0</v>
      </c>
      <c r="AC16" s="1519"/>
      <c r="AD16" s="1530"/>
      <c r="AE16" s="1498">
        <f t="shared" si="7"/>
        <v>0</v>
      </c>
      <c r="AF16" s="1499">
        <f t="shared" si="8"/>
        <v>0</v>
      </c>
    </row>
    <row r="17" spans="1:32" x14ac:dyDescent="0.25">
      <c r="A17" s="82"/>
      <c r="B17" s="82"/>
      <c r="C17" s="15">
        <v>1</v>
      </c>
      <c r="D17" s="1289">
        <f t="shared" si="9"/>
        <v>0</v>
      </c>
      <c r="E17" s="1321"/>
      <c r="F17" s="1491">
        <v>32.69</v>
      </c>
      <c r="G17" s="1496"/>
      <c r="H17" s="1497"/>
      <c r="I17" s="1498">
        <f t="shared" si="3"/>
        <v>0</v>
      </c>
      <c r="J17" s="1499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18">
        <f t="shared" ref="AB17:AB29" si="11">Z17</f>
        <v>0</v>
      </c>
      <c r="AC17" s="1545"/>
      <c r="AD17" s="1530"/>
      <c r="AE17" s="1498">
        <f t="shared" si="7"/>
        <v>0</v>
      </c>
      <c r="AF17" s="1499">
        <f t="shared" si="8"/>
        <v>0</v>
      </c>
    </row>
    <row r="18" spans="1:32" x14ac:dyDescent="0.25">
      <c r="A18" s="2"/>
      <c r="B18" s="82"/>
      <c r="C18" s="15"/>
      <c r="D18" s="1289">
        <f t="shared" si="9"/>
        <v>0</v>
      </c>
      <c r="E18" s="1321"/>
      <c r="F18" s="1491">
        <f t="shared" ref="F18:F29" si="12">D18</f>
        <v>0</v>
      </c>
      <c r="G18" s="1492"/>
      <c r="H18" s="1497"/>
      <c r="I18" s="1498">
        <f t="shared" si="3"/>
        <v>0</v>
      </c>
      <c r="J18" s="1499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89">
        <f t="shared" si="9"/>
        <v>0</v>
      </c>
      <c r="E19" s="1321"/>
      <c r="F19" s="1491">
        <f t="shared" si="12"/>
        <v>0</v>
      </c>
      <c r="G19" s="1492"/>
      <c r="H19" s="1497"/>
      <c r="I19" s="1498">
        <f t="shared" si="3"/>
        <v>0</v>
      </c>
      <c r="J19" s="1499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89">
        <f t="shared" si="9"/>
        <v>0</v>
      </c>
      <c r="E20" s="1323"/>
      <c r="F20" s="1277">
        <f t="shared" si="12"/>
        <v>0</v>
      </c>
      <c r="G20" s="1276"/>
      <c r="H20" s="132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89">
        <f t="shared" si="9"/>
        <v>0</v>
      </c>
      <c r="E21" s="1323"/>
      <c r="F21" s="1277">
        <f t="shared" si="12"/>
        <v>0</v>
      </c>
      <c r="G21" s="1276"/>
      <c r="H21" s="132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89">
        <f t="shared" si="9"/>
        <v>0</v>
      </c>
      <c r="E22" s="1323"/>
      <c r="F22" s="1277">
        <f t="shared" si="12"/>
        <v>0</v>
      </c>
      <c r="G22" s="1276"/>
      <c r="H22" s="132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89">
        <f t="shared" si="9"/>
        <v>0</v>
      </c>
      <c r="E23" s="1323"/>
      <c r="F23" s="1277">
        <f t="shared" si="12"/>
        <v>0</v>
      </c>
      <c r="G23" s="1276"/>
      <c r="H23" s="132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89">
        <f t="shared" si="9"/>
        <v>0</v>
      </c>
      <c r="E24" s="1321"/>
      <c r="F24" s="1277">
        <f t="shared" si="12"/>
        <v>0</v>
      </c>
      <c r="G24" s="1276"/>
      <c r="H24" s="1322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89">
        <f t="shared" si="9"/>
        <v>0</v>
      </c>
      <c r="E25" s="1321"/>
      <c r="F25" s="1277">
        <f t="shared" si="12"/>
        <v>0</v>
      </c>
      <c r="G25" s="1276"/>
      <c r="H25" s="1322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89">
        <f t="shared" si="9"/>
        <v>0</v>
      </c>
      <c r="E26" s="1324"/>
      <c r="F26" s="1277">
        <f t="shared" si="12"/>
        <v>0</v>
      </c>
      <c r="G26" s="1276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89">
        <f t="shared" si="9"/>
        <v>0</v>
      </c>
      <c r="E27" s="1324"/>
      <c r="F27" s="1277">
        <f t="shared" si="12"/>
        <v>0</v>
      </c>
      <c r="G27" s="1276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6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25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6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25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6"/>
      <c r="W31" s="51"/>
      <c r="Z31" s="110" t="s">
        <v>4</v>
      </c>
      <c r="AA31" s="67">
        <f>AB4+AB5+AB6-+Y30</f>
        <v>0</v>
      </c>
      <c r="AF31" s="1425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17" t="s">
        <v>11</v>
      </c>
      <c r="D33" s="1718"/>
      <c r="E33" s="141">
        <f>E5+E4+E6+-F30</f>
        <v>0</v>
      </c>
      <c r="L33" s="47"/>
      <c r="N33" s="1717" t="s">
        <v>11</v>
      </c>
      <c r="O33" s="1718"/>
      <c r="P33" s="141">
        <f>P5+P4+P6+-Q30</f>
        <v>0</v>
      </c>
      <c r="W33" s="47"/>
      <c r="Y33" s="1717" t="s">
        <v>11</v>
      </c>
      <c r="Z33" s="1718"/>
      <c r="AA33" s="141">
        <f>AA5+AA4+AA6+-AB30</f>
        <v>0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5" t="s">
        <v>82</v>
      </c>
      <c r="C4" s="99"/>
      <c r="D4" s="131"/>
      <c r="E4" s="85"/>
      <c r="F4" s="72"/>
      <c r="G4" s="224"/>
    </row>
    <row r="5" spans="1:9" x14ac:dyDescent="0.25">
      <c r="A5" s="1672"/>
      <c r="B5" s="177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7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79" t="s">
        <v>83</v>
      </c>
      <c r="C4" s="99"/>
      <c r="D4" s="131"/>
      <c r="E4" s="85"/>
      <c r="F4" s="72"/>
      <c r="G4" s="224"/>
    </row>
    <row r="5" spans="1:10" x14ac:dyDescent="0.25">
      <c r="A5" s="1672"/>
      <c r="B5" s="178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7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39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0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0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0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0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0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0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0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0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0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0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0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0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0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0">
        <f t="shared" si="1"/>
        <v>0</v>
      </c>
      <c r="C22" s="624"/>
      <c r="D22" s="841"/>
      <c r="E22" s="842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0">
        <f t="shared" si="1"/>
        <v>0</v>
      </c>
      <c r="C23" s="624"/>
      <c r="D23" s="841"/>
      <c r="E23" s="842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69"/>
      <c r="B1" s="1669"/>
      <c r="C1" s="1669"/>
      <c r="D1" s="1669"/>
      <c r="E1" s="1669"/>
      <c r="F1" s="1669"/>
      <c r="G1" s="16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57"/>
      <c r="B5" s="1777" t="s">
        <v>267</v>
      </c>
      <c r="C5" s="488"/>
      <c r="D5" s="114"/>
      <c r="E5" s="88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58"/>
      <c r="B6" s="1778"/>
      <c r="C6" s="212"/>
      <c r="D6" s="114"/>
      <c r="E6" s="140"/>
      <c r="F6" s="227"/>
      <c r="I6" s="1742" t="s">
        <v>3</v>
      </c>
      <c r="J6" s="17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3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7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7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8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7"/>
    </row>
    <row r="32" spans="1:11" ht="15.75" thickBot="1" x14ac:dyDescent="0.3">
      <c r="A32" s="115"/>
    </row>
    <row r="33" spans="1:5" ht="16.5" thickTop="1" thickBot="1" x14ac:dyDescent="0.3">
      <c r="A33" s="47"/>
      <c r="C33" s="1717" t="s">
        <v>11</v>
      </c>
      <c r="D33" s="171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9" t="s">
        <v>337</v>
      </c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72" t="s">
        <v>52</v>
      </c>
      <c r="B5" s="167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72"/>
      <c r="B6" s="1671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620</v>
      </c>
      <c r="H9" s="564">
        <v>68</v>
      </c>
      <c r="I9" s="8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18">
        <f>D11</f>
        <v>0</v>
      </c>
      <c r="G11" s="1519"/>
      <c r="H11" s="1520"/>
      <c r="I11" s="149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18">
        <f>D12</f>
        <v>0</v>
      </c>
      <c r="G12" s="1519"/>
      <c r="H12" s="1520"/>
      <c r="I12" s="149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18">
        <f t="shared" ref="F13:F73" si="3">D13</f>
        <v>0</v>
      </c>
      <c r="G13" s="1519"/>
      <c r="H13" s="1520"/>
      <c r="I13" s="149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18">
        <f t="shared" si="3"/>
        <v>0</v>
      </c>
      <c r="G14" s="1519"/>
      <c r="H14" s="1520"/>
      <c r="I14" s="149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9" t="s">
        <v>337</v>
      </c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62" t="s">
        <v>352</v>
      </c>
      <c r="B5" s="166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62"/>
      <c r="B6" s="1662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3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607</v>
      </c>
      <c r="H9" s="564">
        <v>68</v>
      </c>
      <c r="I9" s="822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18">
        <f>D12</f>
        <v>0</v>
      </c>
      <c r="G12" s="1519"/>
      <c r="H12" s="1520"/>
      <c r="I12" s="149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18">
        <f t="shared" ref="F13:F73" si="3">D13</f>
        <v>0</v>
      </c>
      <c r="G13" s="1519"/>
      <c r="H13" s="1520"/>
      <c r="I13" s="1494">
        <f t="shared" si="2"/>
        <v>0</v>
      </c>
    </row>
    <row r="14" spans="1:9" x14ac:dyDescent="0.25">
      <c r="A14" s="1155"/>
      <c r="B14" s="82">
        <f t="shared" si="1"/>
        <v>0</v>
      </c>
      <c r="C14" s="15"/>
      <c r="D14" s="565"/>
      <c r="E14" s="592"/>
      <c r="F14" s="1518">
        <f t="shared" si="3"/>
        <v>0</v>
      </c>
      <c r="G14" s="1519"/>
      <c r="H14" s="1520"/>
      <c r="I14" s="1494">
        <f t="shared" si="2"/>
        <v>0</v>
      </c>
    </row>
    <row r="15" spans="1:9" x14ac:dyDescent="0.25">
      <c r="A15" s="1155"/>
      <c r="B15" s="82">
        <f t="shared" si="1"/>
        <v>0</v>
      </c>
      <c r="C15" s="15"/>
      <c r="D15" s="565"/>
      <c r="E15" s="592"/>
      <c r="F15" s="1518">
        <f t="shared" si="3"/>
        <v>0</v>
      </c>
      <c r="G15" s="1519"/>
      <c r="H15" s="1520"/>
      <c r="I15" s="149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18">
        <f t="shared" si="3"/>
        <v>0</v>
      </c>
      <c r="G16" s="1519"/>
      <c r="H16" s="1520"/>
      <c r="I16" s="149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6" t="s">
        <v>11</v>
      </c>
      <c r="D83" s="1667"/>
      <c r="E83" s="56">
        <f>E5+E6-F78+E7</f>
        <v>0</v>
      </c>
      <c r="F83" s="115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64" t="s">
        <v>310</v>
      </c>
      <c r="B1" s="1664"/>
      <c r="C1" s="1664"/>
      <c r="D1" s="1664"/>
      <c r="E1" s="1664"/>
      <c r="F1" s="1664"/>
      <c r="G1" s="1664"/>
      <c r="H1" s="11">
        <v>1</v>
      </c>
      <c r="K1" s="1669" t="s">
        <v>346</v>
      </c>
      <c r="L1" s="1669"/>
      <c r="M1" s="1669"/>
      <c r="N1" s="1669"/>
      <c r="O1" s="1669"/>
      <c r="P1" s="1669"/>
      <c r="Q1" s="166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6"/>
      <c r="G4" s="151"/>
      <c r="H4" s="151"/>
      <c r="K4" s="12"/>
      <c r="L4" s="12"/>
      <c r="M4" s="216"/>
      <c r="N4" s="130"/>
      <c r="O4" s="68"/>
      <c r="P4" s="1225"/>
      <c r="Q4" s="151"/>
      <c r="R4" s="151"/>
    </row>
    <row r="5" spans="1:21" ht="15" customHeight="1" x14ac:dyDescent="0.25">
      <c r="A5" s="1672" t="s">
        <v>107</v>
      </c>
      <c r="B5" s="167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72" t="s">
        <v>107</v>
      </c>
      <c r="L5" s="167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72"/>
      <c r="B6" s="1673"/>
      <c r="C6" s="442">
        <v>88</v>
      </c>
      <c r="D6" s="130">
        <v>45103</v>
      </c>
      <c r="E6" s="68">
        <v>305.32</v>
      </c>
      <c r="F6" s="1146">
        <v>26</v>
      </c>
      <c r="G6" s="47">
        <f>F48</f>
        <v>808.77</v>
      </c>
      <c r="H6" s="7">
        <f>E6-G6+E7+E5-G5</f>
        <v>0</v>
      </c>
      <c r="K6" s="1672"/>
      <c r="L6" s="1673"/>
      <c r="M6" s="442"/>
      <c r="N6" s="130"/>
      <c r="O6" s="68"/>
      <c r="P6" s="1225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7">
        <v>10</v>
      </c>
      <c r="D9" s="1041">
        <v>117.78</v>
      </c>
      <c r="E9" s="1042">
        <v>45098</v>
      </c>
      <c r="F9" s="1041">
        <f t="shared" ref="F9:F10" si="0">D9</f>
        <v>117.78</v>
      </c>
      <c r="G9" s="1043" t="s">
        <v>217</v>
      </c>
      <c r="H9" s="1044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7">
        <v>5</v>
      </c>
      <c r="N9" s="1041">
        <v>57.25</v>
      </c>
      <c r="O9" s="1042">
        <v>45120</v>
      </c>
      <c r="P9" s="1041">
        <f t="shared" ref="P9:P10" si="1">N9</f>
        <v>57.25</v>
      </c>
      <c r="Q9" s="1043" t="s">
        <v>587</v>
      </c>
      <c r="R9" s="1044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7">
        <v>1</v>
      </c>
      <c r="D10" s="1041">
        <v>12.89</v>
      </c>
      <c r="E10" s="1042">
        <v>45099</v>
      </c>
      <c r="F10" s="1041">
        <f t="shared" si="0"/>
        <v>12.89</v>
      </c>
      <c r="G10" s="1043" t="s">
        <v>249</v>
      </c>
      <c r="H10" s="1044">
        <v>90</v>
      </c>
      <c r="I10" s="596">
        <f>I9-F10</f>
        <v>678.1</v>
      </c>
      <c r="J10" s="594"/>
      <c r="K10" s="185"/>
      <c r="L10" s="676">
        <f>L9-M10</f>
        <v>78</v>
      </c>
      <c r="M10" s="1207">
        <v>1</v>
      </c>
      <c r="N10" s="1041">
        <v>11.87</v>
      </c>
      <c r="O10" s="1042">
        <v>45121</v>
      </c>
      <c r="P10" s="1041">
        <f t="shared" si="1"/>
        <v>11.87</v>
      </c>
      <c r="Q10" s="1043" t="s">
        <v>600</v>
      </c>
      <c r="R10" s="1044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7">
        <v>15</v>
      </c>
      <c r="D11" s="1041">
        <v>181.08</v>
      </c>
      <c r="E11" s="1042">
        <v>45099</v>
      </c>
      <c r="F11" s="1041">
        <f>D11</f>
        <v>181.08</v>
      </c>
      <c r="G11" s="1043" t="s">
        <v>250</v>
      </c>
      <c r="H11" s="1044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7">
        <v>1</v>
      </c>
      <c r="N11" s="1041">
        <v>10.82</v>
      </c>
      <c r="O11" s="1042">
        <v>45121</v>
      </c>
      <c r="P11" s="1041">
        <f>N11</f>
        <v>10.82</v>
      </c>
      <c r="Q11" s="1043" t="s">
        <v>602</v>
      </c>
      <c r="R11" s="1044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7">
        <v>8</v>
      </c>
      <c r="D12" s="1041">
        <v>93.45</v>
      </c>
      <c r="E12" s="1042">
        <v>45101</v>
      </c>
      <c r="F12" s="1041">
        <f t="shared" ref="F12:F46" si="6">D12</f>
        <v>93.45</v>
      </c>
      <c r="G12" s="1043" t="s">
        <v>257</v>
      </c>
      <c r="H12" s="1044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7">
        <v>6</v>
      </c>
      <c r="N12" s="1041">
        <v>68.180000000000007</v>
      </c>
      <c r="O12" s="1042">
        <v>45122</v>
      </c>
      <c r="P12" s="1041">
        <f t="shared" ref="P12:P46" si="7">N12</f>
        <v>68.180000000000007</v>
      </c>
      <c r="Q12" s="1043" t="s">
        <v>613</v>
      </c>
      <c r="R12" s="1044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8">
        <f t="shared" si="2"/>
        <v>26</v>
      </c>
      <c r="C13" s="1207">
        <v>8</v>
      </c>
      <c r="D13" s="1041">
        <v>98.25</v>
      </c>
      <c r="E13" s="1042">
        <v>45101</v>
      </c>
      <c r="F13" s="1041">
        <f t="shared" si="6"/>
        <v>98.25</v>
      </c>
      <c r="G13" s="1043" t="s">
        <v>262</v>
      </c>
      <c r="H13" s="1044">
        <v>90</v>
      </c>
      <c r="I13" s="959">
        <f t="shared" si="3"/>
        <v>305.32</v>
      </c>
      <c r="J13" s="594"/>
      <c r="K13" s="81" t="s">
        <v>33</v>
      </c>
      <c r="L13" s="958">
        <f t="shared" si="4"/>
        <v>66</v>
      </c>
      <c r="M13" s="1207">
        <v>5</v>
      </c>
      <c r="N13" s="1041">
        <v>56.84</v>
      </c>
      <c r="O13" s="1042">
        <v>45125</v>
      </c>
      <c r="P13" s="1041">
        <f t="shared" si="7"/>
        <v>56.84</v>
      </c>
      <c r="Q13" s="1043" t="s">
        <v>634</v>
      </c>
      <c r="R13" s="1044">
        <v>90</v>
      </c>
      <c r="S13" s="959">
        <f t="shared" si="5"/>
        <v>788.16</v>
      </c>
      <c r="T13" s="594"/>
      <c r="U13" s="594"/>
    </row>
    <row r="14" spans="1:21" x14ac:dyDescent="0.25">
      <c r="A14" s="1146"/>
      <c r="B14" s="1252">
        <f t="shared" si="2"/>
        <v>11</v>
      </c>
      <c r="C14" s="1207">
        <v>15</v>
      </c>
      <c r="D14" s="1041">
        <v>176.81</v>
      </c>
      <c r="E14" s="1042">
        <v>45103</v>
      </c>
      <c r="F14" s="1041">
        <f t="shared" si="6"/>
        <v>176.81</v>
      </c>
      <c r="G14" s="1043" t="s">
        <v>268</v>
      </c>
      <c r="H14" s="1044">
        <v>90</v>
      </c>
      <c r="I14" s="1251">
        <f t="shared" si="3"/>
        <v>128.51</v>
      </c>
      <c r="J14" s="594"/>
      <c r="K14" s="1225"/>
      <c r="L14" s="958">
        <f t="shared" si="4"/>
        <v>56</v>
      </c>
      <c r="M14" s="1207">
        <v>10</v>
      </c>
      <c r="N14" s="1041">
        <v>116.24</v>
      </c>
      <c r="O14" s="1042">
        <v>45126</v>
      </c>
      <c r="P14" s="1041">
        <f t="shared" si="7"/>
        <v>116.24</v>
      </c>
      <c r="Q14" s="1043" t="s">
        <v>643</v>
      </c>
      <c r="R14" s="1044">
        <v>90</v>
      </c>
      <c r="S14" s="959">
        <f t="shared" si="5"/>
        <v>671.92</v>
      </c>
      <c r="T14" s="594"/>
      <c r="U14" s="594"/>
    </row>
    <row r="15" spans="1:21" x14ac:dyDescent="0.25">
      <c r="A15" s="1146"/>
      <c r="B15" s="958">
        <f t="shared" si="2"/>
        <v>11</v>
      </c>
      <c r="C15" s="1207"/>
      <c r="D15" s="1041"/>
      <c r="E15" s="1042"/>
      <c r="F15" s="1041">
        <f t="shared" si="6"/>
        <v>0</v>
      </c>
      <c r="G15" s="1043"/>
      <c r="H15" s="1044"/>
      <c r="I15" s="959">
        <f t="shared" si="3"/>
        <v>128.51</v>
      </c>
      <c r="J15" s="594"/>
      <c r="K15" s="1225"/>
      <c r="L15" s="958">
        <f t="shared" si="4"/>
        <v>50</v>
      </c>
      <c r="M15" s="1207">
        <v>6</v>
      </c>
      <c r="N15" s="1041">
        <v>71.8</v>
      </c>
      <c r="O15" s="1042">
        <v>45129</v>
      </c>
      <c r="P15" s="1041">
        <f t="shared" si="7"/>
        <v>71.8</v>
      </c>
      <c r="Q15" s="1043" t="s">
        <v>671</v>
      </c>
      <c r="R15" s="1044">
        <v>90</v>
      </c>
      <c r="S15" s="959">
        <f t="shared" si="5"/>
        <v>600.12</v>
      </c>
      <c r="T15" s="594"/>
      <c r="U15" s="594"/>
    </row>
    <row r="16" spans="1:21" x14ac:dyDescent="0.25">
      <c r="B16" s="958">
        <f t="shared" si="2"/>
        <v>1</v>
      </c>
      <c r="C16" s="1207">
        <v>10</v>
      </c>
      <c r="D16" s="1325">
        <v>116.51</v>
      </c>
      <c r="E16" s="1326">
        <v>45117</v>
      </c>
      <c r="F16" s="1325">
        <f t="shared" si="6"/>
        <v>116.51</v>
      </c>
      <c r="G16" s="1327" t="s">
        <v>552</v>
      </c>
      <c r="H16" s="1328">
        <v>90</v>
      </c>
      <c r="I16" s="959">
        <f t="shared" si="3"/>
        <v>11.999999999999986</v>
      </c>
      <c r="J16" s="594"/>
      <c r="L16" s="958">
        <f t="shared" si="4"/>
        <v>44</v>
      </c>
      <c r="M16" s="1207">
        <v>6</v>
      </c>
      <c r="N16" s="1041">
        <v>73.319999999999993</v>
      </c>
      <c r="O16" s="1042">
        <v>45131</v>
      </c>
      <c r="P16" s="1041">
        <f t="shared" si="7"/>
        <v>73.319999999999993</v>
      </c>
      <c r="Q16" s="1043" t="s">
        <v>679</v>
      </c>
      <c r="R16" s="1044">
        <v>90</v>
      </c>
      <c r="S16" s="959">
        <f t="shared" si="5"/>
        <v>526.79999999999995</v>
      </c>
      <c r="T16" s="594"/>
      <c r="U16" s="594"/>
    </row>
    <row r="17" spans="1:21" x14ac:dyDescent="0.25">
      <c r="B17" s="958">
        <f t="shared" si="2"/>
        <v>0</v>
      </c>
      <c r="C17" s="1207">
        <v>1</v>
      </c>
      <c r="D17" s="1325">
        <v>12</v>
      </c>
      <c r="E17" s="1326">
        <v>45118</v>
      </c>
      <c r="F17" s="1325">
        <f t="shared" si="6"/>
        <v>12</v>
      </c>
      <c r="G17" s="1327" t="s">
        <v>571</v>
      </c>
      <c r="H17" s="1328">
        <v>90</v>
      </c>
      <c r="I17" s="959">
        <f t="shared" si="3"/>
        <v>-1.4210854715202004E-14</v>
      </c>
      <c r="L17" s="958">
        <f t="shared" si="4"/>
        <v>34</v>
      </c>
      <c r="M17" s="1207">
        <v>10</v>
      </c>
      <c r="N17" s="1041">
        <v>120.22</v>
      </c>
      <c r="O17" s="1042">
        <v>45136</v>
      </c>
      <c r="P17" s="1041">
        <f t="shared" si="7"/>
        <v>120.22</v>
      </c>
      <c r="Q17" s="1043" t="s">
        <v>727</v>
      </c>
      <c r="R17" s="1044">
        <v>90</v>
      </c>
      <c r="S17" s="959">
        <f t="shared" si="5"/>
        <v>406.57999999999993</v>
      </c>
      <c r="T17" s="594"/>
      <c r="U17" s="594"/>
    </row>
    <row r="18" spans="1:21" x14ac:dyDescent="0.25">
      <c r="A18" s="118"/>
      <c r="B18" s="958">
        <f t="shared" si="2"/>
        <v>0</v>
      </c>
      <c r="C18" s="1207"/>
      <c r="D18" s="1325"/>
      <c r="E18" s="1326"/>
      <c r="F18" s="1506">
        <v>0</v>
      </c>
      <c r="G18" s="1507"/>
      <c r="H18" s="1508"/>
      <c r="I18" s="1509">
        <f t="shared" si="3"/>
        <v>-1.4210854715202004E-14</v>
      </c>
      <c r="K18" s="118"/>
      <c r="L18" s="958">
        <f t="shared" si="4"/>
        <v>34</v>
      </c>
      <c r="M18" s="1207"/>
      <c r="N18" s="1041"/>
      <c r="O18" s="1042"/>
      <c r="P18" s="1041">
        <f t="shared" si="7"/>
        <v>0</v>
      </c>
      <c r="Q18" s="1043"/>
      <c r="R18" s="1044"/>
      <c r="S18" s="959">
        <f t="shared" si="5"/>
        <v>406.57999999999993</v>
      </c>
      <c r="T18" s="594"/>
      <c r="U18" s="594"/>
    </row>
    <row r="19" spans="1:21" x14ac:dyDescent="0.25">
      <c r="A19" s="118"/>
      <c r="B19" s="958">
        <f t="shared" si="2"/>
        <v>0</v>
      </c>
      <c r="C19" s="1207"/>
      <c r="D19" s="1325"/>
      <c r="E19" s="1326"/>
      <c r="F19" s="1506">
        <f t="shared" si="6"/>
        <v>0</v>
      </c>
      <c r="G19" s="1507"/>
      <c r="H19" s="1508"/>
      <c r="I19" s="1509">
        <f t="shared" si="3"/>
        <v>-1.4210854715202004E-14</v>
      </c>
      <c r="K19" s="118"/>
      <c r="L19" s="958">
        <f t="shared" si="4"/>
        <v>34</v>
      </c>
      <c r="M19" s="1207"/>
      <c r="N19" s="1041"/>
      <c r="O19" s="1042"/>
      <c r="P19" s="1041">
        <f t="shared" si="7"/>
        <v>0</v>
      </c>
      <c r="Q19" s="1043"/>
      <c r="R19" s="1044"/>
      <c r="S19" s="959">
        <f t="shared" si="5"/>
        <v>406.57999999999993</v>
      </c>
      <c r="T19" s="594"/>
      <c r="U19" s="594"/>
    </row>
    <row r="20" spans="1:21" x14ac:dyDescent="0.25">
      <c r="A20" s="118"/>
      <c r="B20" s="958">
        <f t="shared" si="2"/>
        <v>0</v>
      </c>
      <c r="C20" s="1207"/>
      <c r="D20" s="1325"/>
      <c r="E20" s="1326"/>
      <c r="F20" s="1506">
        <f t="shared" si="6"/>
        <v>0</v>
      </c>
      <c r="G20" s="1507"/>
      <c r="H20" s="1508"/>
      <c r="I20" s="1509">
        <f t="shared" si="3"/>
        <v>-1.4210854715202004E-14</v>
      </c>
      <c r="K20" s="118"/>
      <c r="L20" s="958">
        <f t="shared" si="4"/>
        <v>34</v>
      </c>
      <c r="M20" s="1207"/>
      <c r="N20" s="1041"/>
      <c r="O20" s="1042"/>
      <c r="P20" s="1041">
        <f t="shared" si="7"/>
        <v>0</v>
      </c>
      <c r="Q20" s="1043"/>
      <c r="R20" s="1044"/>
      <c r="S20" s="959">
        <f t="shared" si="5"/>
        <v>406.57999999999993</v>
      </c>
    </row>
    <row r="21" spans="1:21" x14ac:dyDescent="0.25">
      <c r="A21" s="118"/>
      <c r="B21" s="676">
        <f t="shared" si="2"/>
        <v>0</v>
      </c>
      <c r="C21" s="1207"/>
      <c r="D21" s="1325"/>
      <c r="E21" s="1326"/>
      <c r="F21" s="1506">
        <f t="shared" si="6"/>
        <v>0</v>
      </c>
      <c r="G21" s="1507"/>
      <c r="H21" s="1508"/>
      <c r="I21" s="1494">
        <f t="shared" si="3"/>
        <v>-1.4210854715202004E-14</v>
      </c>
      <c r="K21" s="118"/>
      <c r="L21" s="676">
        <f t="shared" si="4"/>
        <v>34</v>
      </c>
      <c r="M21" s="1207"/>
      <c r="N21" s="1041"/>
      <c r="O21" s="1042"/>
      <c r="P21" s="1041">
        <f t="shared" si="7"/>
        <v>0</v>
      </c>
      <c r="Q21" s="1043"/>
      <c r="R21" s="1044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7"/>
      <c r="D22" s="1325"/>
      <c r="E22" s="1326"/>
      <c r="F22" s="1506">
        <f t="shared" si="6"/>
        <v>0</v>
      </c>
      <c r="G22" s="1507"/>
      <c r="H22" s="1508"/>
      <c r="I22" s="1494">
        <f t="shared" si="3"/>
        <v>-1.4210854715202004E-14</v>
      </c>
      <c r="K22" s="118"/>
      <c r="L22" s="719">
        <f t="shared" si="4"/>
        <v>34</v>
      </c>
      <c r="M22" s="1207"/>
      <c r="N22" s="1041"/>
      <c r="O22" s="1042"/>
      <c r="P22" s="1041">
        <f t="shared" si="7"/>
        <v>0</v>
      </c>
      <c r="Q22" s="1043"/>
      <c r="R22" s="1044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08"/>
      <c r="D23" s="1329"/>
      <c r="E23" s="1330"/>
      <c r="F23" s="1325">
        <f t="shared" si="6"/>
        <v>0</v>
      </c>
      <c r="G23" s="1331"/>
      <c r="H23" s="1332"/>
      <c r="I23" s="596">
        <f t="shared" si="3"/>
        <v>-1.4210854715202004E-14</v>
      </c>
      <c r="K23" s="119"/>
      <c r="L23" s="219">
        <f t="shared" si="4"/>
        <v>34</v>
      </c>
      <c r="M23" s="1208"/>
      <c r="N23" s="1527"/>
      <c r="O23" s="1528"/>
      <c r="P23" s="1041">
        <f t="shared" si="7"/>
        <v>0</v>
      </c>
      <c r="Q23" s="1529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08"/>
      <c r="D24" s="1329"/>
      <c r="E24" s="1330"/>
      <c r="F24" s="1325">
        <f t="shared" si="6"/>
        <v>0</v>
      </c>
      <c r="G24" s="1331"/>
      <c r="H24" s="1332"/>
      <c r="I24" s="596">
        <f t="shared" si="3"/>
        <v>-1.4210854715202004E-14</v>
      </c>
      <c r="K24" s="118"/>
      <c r="L24" s="219">
        <f t="shared" si="4"/>
        <v>34</v>
      </c>
      <c r="M24" s="1208"/>
      <c r="N24" s="1527"/>
      <c r="O24" s="1528"/>
      <c r="P24" s="1041">
        <f t="shared" si="7"/>
        <v>0</v>
      </c>
      <c r="Q24" s="1529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08"/>
      <c r="D25" s="1329"/>
      <c r="E25" s="1330"/>
      <c r="F25" s="1325">
        <f t="shared" si="6"/>
        <v>0</v>
      </c>
      <c r="G25" s="1331"/>
      <c r="H25" s="1332"/>
      <c r="I25" s="596">
        <f t="shared" si="3"/>
        <v>-1.4210854715202004E-14</v>
      </c>
      <c r="K25" s="118"/>
      <c r="L25" s="219">
        <f t="shared" si="4"/>
        <v>34</v>
      </c>
      <c r="M25" s="1208"/>
      <c r="N25" s="1527"/>
      <c r="O25" s="1528"/>
      <c r="P25" s="1041">
        <f t="shared" si="7"/>
        <v>0</v>
      </c>
      <c r="Q25" s="1529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08"/>
      <c r="D26" s="1329"/>
      <c r="E26" s="1330"/>
      <c r="F26" s="1325">
        <f t="shared" si="6"/>
        <v>0</v>
      </c>
      <c r="G26" s="1331"/>
      <c r="H26" s="1332"/>
      <c r="I26" s="596">
        <f t="shared" si="3"/>
        <v>-1.4210854715202004E-14</v>
      </c>
      <c r="K26" s="118"/>
      <c r="L26" s="174">
        <f t="shared" si="4"/>
        <v>34</v>
      </c>
      <c r="M26" s="1208"/>
      <c r="N26" s="1527"/>
      <c r="O26" s="1528"/>
      <c r="P26" s="1041">
        <f t="shared" si="7"/>
        <v>0</v>
      </c>
      <c r="Q26" s="1529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08"/>
      <c r="D27" s="1329"/>
      <c r="E27" s="1330"/>
      <c r="F27" s="1325">
        <f t="shared" si="6"/>
        <v>0</v>
      </c>
      <c r="G27" s="1331"/>
      <c r="H27" s="1332"/>
      <c r="I27" s="596">
        <f t="shared" si="3"/>
        <v>-1.4210854715202004E-14</v>
      </c>
      <c r="K27" s="118"/>
      <c r="L27" s="219">
        <f t="shared" si="4"/>
        <v>34</v>
      </c>
      <c r="M27" s="1208"/>
      <c r="N27" s="1527"/>
      <c r="O27" s="1528"/>
      <c r="P27" s="1041">
        <f t="shared" si="7"/>
        <v>0</v>
      </c>
      <c r="Q27" s="1529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08"/>
      <c r="D28" s="1329"/>
      <c r="E28" s="1330"/>
      <c r="F28" s="1325">
        <f t="shared" si="6"/>
        <v>0</v>
      </c>
      <c r="G28" s="1331"/>
      <c r="H28" s="1332"/>
      <c r="I28" s="596">
        <f t="shared" si="3"/>
        <v>-1.4210854715202004E-14</v>
      </c>
      <c r="K28" s="118"/>
      <c r="L28" s="174">
        <f t="shared" si="4"/>
        <v>34</v>
      </c>
      <c r="M28" s="1208"/>
      <c r="N28" s="1527"/>
      <c r="O28" s="1528"/>
      <c r="P28" s="1041">
        <f t="shared" si="7"/>
        <v>0</v>
      </c>
      <c r="Q28" s="1529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08"/>
      <c r="D29" s="1329"/>
      <c r="E29" s="1330"/>
      <c r="F29" s="1325">
        <f t="shared" si="6"/>
        <v>0</v>
      </c>
      <c r="G29" s="1331"/>
      <c r="H29" s="1332"/>
      <c r="I29" s="596">
        <f t="shared" si="3"/>
        <v>-1.4210854715202004E-14</v>
      </c>
      <c r="K29" s="118"/>
      <c r="L29" s="219">
        <f t="shared" si="4"/>
        <v>34</v>
      </c>
      <c r="M29" s="1208"/>
      <c r="N29" s="1527"/>
      <c r="O29" s="1528"/>
      <c r="P29" s="1041">
        <f t="shared" si="7"/>
        <v>0</v>
      </c>
      <c r="Q29" s="1529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08"/>
      <c r="D30" s="1329"/>
      <c r="E30" s="1330"/>
      <c r="F30" s="1325">
        <f t="shared" si="6"/>
        <v>0</v>
      </c>
      <c r="G30" s="1331"/>
      <c r="H30" s="1332"/>
      <c r="I30" s="596">
        <f t="shared" si="3"/>
        <v>-1.4210854715202004E-14</v>
      </c>
      <c r="K30" s="118"/>
      <c r="L30" s="219">
        <f t="shared" si="4"/>
        <v>34</v>
      </c>
      <c r="M30" s="1208"/>
      <c r="N30" s="1527"/>
      <c r="O30" s="1528"/>
      <c r="P30" s="1041">
        <f t="shared" si="7"/>
        <v>0</v>
      </c>
      <c r="Q30" s="1529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08"/>
      <c r="D31" s="1329"/>
      <c r="E31" s="1330"/>
      <c r="F31" s="1325">
        <f t="shared" si="6"/>
        <v>0</v>
      </c>
      <c r="G31" s="1331"/>
      <c r="H31" s="1332"/>
      <c r="I31" s="596">
        <f t="shared" si="3"/>
        <v>-1.4210854715202004E-14</v>
      </c>
      <c r="K31" s="118"/>
      <c r="L31" s="219">
        <f t="shared" si="4"/>
        <v>34</v>
      </c>
      <c r="M31" s="1208"/>
      <c r="N31" s="1527"/>
      <c r="O31" s="1528"/>
      <c r="P31" s="1041">
        <f t="shared" si="7"/>
        <v>0</v>
      </c>
      <c r="Q31" s="1529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08"/>
      <c r="D32" s="1329"/>
      <c r="E32" s="1330"/>
      <c r="F32" s="1325">
        <f t="shared" si="6"/>
        <v>0</v>
      </c>
      <c r="G32" s="1331"/>
      <c r="H32" s="1332"/>
      <c r="I32" s="596">
        <f t="shared" si="3"/>
        <v>-1.4210854715202004E-14</v>
      </c>
      <c r="K32" s="118"/>
      <c r="L32" s="219">
        <f t="shared" si="4"/>
        <v>34</v>
      </c>
      <c r="M32" s="1208"/>
      <c r="N32" s="1349"/>
      <c r="O32" s="1350"/>
      <c r="P32" s="1348">
        <f t="shared" si="7"/>
        <v>0</v>
      </c>
      <c r="Q32" s="1351"/>
      <c r="R32" s="1352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08"/>
      <c r="D33" s="1329"/>
      <c r="E33" s="1330"/>
      <c r="F33" s="1325">
        <f t="shared" si="6"/>
        <v>0</v>
      </c>
      <c r="G33" s="1331"/>
      <c r="H33" s="1332"/>
      <c r="I33" s="596">
        <f t="shared" si="3"/>
        <v>-1.4210854715202004E-14</v>
      </c>
      <c r="K33" s="118"/>
      <c r="L33" s="219">
        <f t="shared" si="4"/>
        <v>34</v>
      </c>
      <c r="M33" s="1208"/>
      <c r="N33" s="1349"/>
      <c r="O33" s="1350"/>
      <c r="P33" s="1348">
        <f t="shared" si="7"/>
        <v>0</v>
      </c>
      <c r="Q33" s="1351"/>
      <c r="R33" s="1352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08"/>
      <c r="D34" s="1329"/>
      <c r="E34" s="1330"/>
      <c r="F34" s="1325">
        <f t="shared" si="6"/>
        <v>0</v>
      </c>
      <c r="G34" s="1331"/>
      <c r="H34" s="1332"/>
      <c r="I34" s="596">
        <f t="shared" si="3"/>
        <v>-1.4210854715202004E-14</v>
      </c>
      <c r="K34" s="118"/>
      <c r="L34" s="219">
        <f t="shared" si="4"/>
        <v>34</v>
      </c>
      <c r="M34" s="1208"/>
      <c r="N34" s="1349"/>
      <c r="O34" s="1350"/>
      <c r="P34" s="1348">
        <f t="shared" si="7"/>
        <v>0</v>
      </c>
      <c r="Q34" s="1351"/>
      <c r="R34" s="1352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08"/>
      <c r="D35" s="1329"/>
      <c r="E35" s="1330"/>
      <c r="F35" s="1325">
        <f t="shared" si="6"/>
        <v>0</v>
      </c>
      <c r="G35" s="1331"/>
      <c r="H35" s="1332"/>
      <c r="I35" s="596">
        <f t="shared" si="3"/>
        <v>-1.4210854715202004E-14</v>
      </c>
      <c r="K35" s="118"/>
      <c r="L35" s="219">
        <f t="shared" si="4"/>
        <v>34</v>
      </c>
      <c r="M35" s="1208"/>
      <c r="N35" s="1349"/>
      <c r="O35" s="1350"/>
      <c r="P35" s="1348">
        <f t="shared" si="7"/>
        <v>0</v>
      </c>
      <c r="Q35" s="1351"/>
      <c r="R35" s="1352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08"/>
      <c r="D36" s="1329"/>
      <c r="E36" s="1330"/>
      <c r="F36" s="1325">
        <f t="shared" si="6"/>
        <v>0</v>
      </c>
      <c r="G36" s="1331"/>
      <c r="H36" s="1332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08"/>
      <c r="N36" s="1349"/>
      <c r="O36" s="1350"/>
      <c r="P36" s="1348">
        <f t="shared" si="7"/>
        <v>0</v>
      </c>
      <c r="Q36" s="1351"/>
      <c r="R36" s="1352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08"/>
      <c r="D37" s="1329"/>
      <c r="E37" s="1330"/>
      <c r="F37" s="1325">
        <f t="shared" si="6"/>
        <v>0</v>
      </c>
      <c r="G37" s="1331"/>
      <c r="H37" s="1332"/>
      <c r="I37" s="596">
        <f t="shared" si="3"/>
        <v>-1.4210854715202004E-14</v>
      </c>
      <c r="K37" s="119"/>
      <c r="L37" s="219">
        <f t="shared" si="4"/>
        <v>34</v>
      </c>
      <c r="M37" s="1208"/>
      <c r="N37" s="1349"/>
      <c r="O37" s="1350"/>
      <c r="P37" s="1348">
        <f t="shared" si="7"/>
        <v>0</v>
      </c>
      <c r="Q37" s="1351"/>
      <c r="R37" s="1352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08"/>
      <c r="D38" s="1329"/>
      <c r="E38" s="1330"/>
      <c r="F38" s="1325">
        <f t="shared" si="6"/>
        <v>0</v>
      </c>
      <c r="G38" s="1331"/>
      <c r="H38" s="1332"/>
      <c r="I38" s="596">
        <f t="shared" si="3"/>
        <v>-1.4210854715202004E-14</v>
      </c>
      <c r="K38" s="118"/>
      <c r="L38" s="219">
        <f t="shared" si="4"/>
        <v>34</v>
      </c>
      <c r="M38" s="1208"/>
      <c r="N38" s="1349"/>
      <c r="O38" s="1350"/>
      <c r="P38" s="1348">
        <f t="shared" si="7"/>
        <v>0</v>
      </c>
      <c r="Q38" s="1351"/>
      <c r="R38" s="1352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08"/>
      <c r="D39" s="68"/>
      <c r="E39" s="191"/>
      <c r="F39" s="1041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08"/>
      <c r="N39" s="1349"/>
      <c r="O39" s="1350"/>
      <c r="P39" s="1348">
        <f t="shared" si="7"/>
        <v>0</v>
      </c>
      <c r="Q39" s="1351"/>
      <c r="R39" s="1352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08"/>
      <c r="D40" s="68"/>
      <c r="E40" s="191"/>
      <c r="F40" s="1041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08"/>
      <c r="N40" s="1349"/>
      <c r="O40" s="1350"/>
      <c r="P40" s="1348">
        <f t="shared" si="7"/>
        <v>0</v>
      </c>
      <c r="Q40" s="1351"/>
      <c r="R40" s="1352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08"/>
      <c r="D41" s="68"/>
      <c r="E41" s="191"/>
      <c r="F41" s="1041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08"/>
      <c r="N41" s="68"/>
      <c r="O41" s="191"/>
      <c r="P41" s="1041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08"/>
      <c r="D42" s="68"/>
      <c r="E42" s="191"/>
      <c r="F42" s="1041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08"/>
      <c r="N42" s="68"/>
      <c r="O42" s="191"/>
      <c r="P42" s="1041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08"/>
      <c r="D43" s="68"/>
      <c r="E43" s="191"/>
      <c r="F43" s="1041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08"/>
      <c r="N43" s="68"/>
      <c r="O43" s="191"/>
      <c r="P43" s="1041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08"/>
      <c r="D44" s="68"/>
      <c r="E44" s="191"/>
      <c r="F44" s="1041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08"/>
      <c r="N44" s="68"/>
      <c r="O44" s="191"/>
      <c r="P44" s="1041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08"/>
      <c r="D45" s="68"/>
      <c r="E45" s="191"/>
      <c r="F45" s="1041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08"/>
      <c r="N45" s="68"/>
      <c r="O45" s="191"/>
      <c r="P45" s="1041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08"/>
      <c r="D46" s="58"/>
      <c r="E46" s="198"/>
      <c r="F46" s="1041">
        <f t="shared" si="6"/>
        <v>0</v>
      </c>
      <c r="G46" s="69"/>
      <c r="H46" s="70"/>
      <c r="I46" s="596" t="e">
        <f>#REF!-F46</f>
        <v>#REF!</v>
      </c>
      <c r="K46" s="118"/>
      <c r="M46" s="1208"/>
      <c r="N46" s="58"/>
      <c r="O46" s="198"/>
      <c r="P46" s="1041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66" t="s">
        <v>11</v>
      </c>
      <c r="D53" s="1667"/>
      <c r="E53" s="56">
        <f>E5+E6-F48+E7</f>
        <v>0</v>
      </c>
      <c r="F53" s="1146"/>
      <c r="M53" s="1666" t="s">
        <v>11</v>
      </c>
      <c r="N53" s="1667"/>
      <c r="O53" s="56">
        <f>O5+O6-P48+O7</f>
        <v>406.58000000000004</v>
      </c>
      <c r="P53" s="122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9"/>
      <c r="B1" s="1669"/>
      <c r="C1" s="1669"/>
      <c r="D1" s="1669"/>
      <c r="E1" s="1669"/>
      <c r="F1" s="1669"/>
      <c r="G1" s="16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74"/>
      <c r="C5" s="507"/>
      <c r="D5" s="712"/>
      <c r="E5" s="644"/>
      <c r="F5" s="664"/>
      <c r="G5" s="5"/>
    </row>
    <row r="6" spans="1:9" x14ac:dyDescent="0.25">
      <c r="A6" s="213"/>
      <c r="B6" s="167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66" t="s">
        <v>11</v>
      </c>
      <c r="D47" s="1667"/>
      <c r="E47" s="56">
        <f>E5+E6-F42+E7</f>
        <v>0</v>
      </c>
      <c r="F47" s="72"/>
    </row>
    <row r="50" spans="1:7" x14ac:dyDescent="0.25">
      <c r="A50" s="213"/>
      <c r="B50" s="1672"/>
      <c r="C50" s="441"/>
      <c r="D50" s="218"/>
      <c r="E50" s="77"/>
      <c r="F50" s="61"/>
      <c r="G50" s="5"/>
    </row>
    <row r="51" spans="1:7" x14ac:dyDescent="0.25">
      <c r="A51" s="213"/>
      <c r="B51" s="167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2023-10-06T18:09:34Z</dcterms:modified>
</cp:coreProperties>
</file>