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28800" windowHeight="12330"/>
  </bookViews>
  <sheets>
    <sheet name="INVENTARIO   ZAVALETA  JULIO 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9" i="1" l="1"/>
  <c r="E249" i="1"/>
  <c r="E248" i="1"/>
  <c r="E247" i="1"/>
  <c r="E246" i="1"/>
  <c r="E238" i="1"/>
  <c r="E229" i="1"/>
  <c r="E228" i="1"/>
  <c r="E227" i="1"/>
  <c r="E226" i="1"/>
  <c r="E225" i="1"/>
  <c r="E224" i="1"/>
  <c r="E222" i="1"/>
  <c r="E220" i="1"/>
  <c r="E219" i="1"/>
  <c r="E216" i="1"/>
  <c r="E215" i="1"/>
  <c r="E210" i="1"/>
  <c r="E200" i="1"/>
  <c r="E198" i="1"/>
  <c r="E193" i="1"/>
  <c r="E191" i="1"/>
  <c r="E190" i="1"/>
  <c r="E185" i="1"/>
  <c r="E184" i="1"/>
  <c r="E183" i="1"/>
  <c r="E182" i="1"/>
  <c r="E175" i="1"/>
  <c r="E159" i="1"/>
  <c r="E156" i="1"/>
  <c r="E153" i="1"/>
  <c r="E152" i="1"/>
  <c r="E146" i="1"/>
  <c r="E145" i="1"/>
  <c r="E140" i="1"/>
  <c r="E133" i="1"/>
  <c r="E132" i="1"/>
  <c r="E131" i="1"/>
  <c r="E129" i="1"/>
  <c r="E125" i="1"/>
  <c r="E124" i="1"/>
  <c r="E100" i="1"/>
  <c r="E70" i="1"/>
  <c r="E69" i="1"/>
  <c r="E64" i="1"/>
  <c r="E61" i="1"/>
  <c r="E55" i="1"/>
  <c r="E54" i="1"/>
  <c r="E53" i="1"/>
  <c r="E52" i="1"/>
  <c r="E36" i="1"/>
  <c r="E33" i="1"/>
  <c r="E23" i="1"/>
  <c r="E22" i="1"/>
  <c r="E19" i="1"/>
  <c r="E18" i="1"/>
  <c r="E15" i="1"/>
  <c r="E7" i="1"/>
  <c r="E6" i="1"/>
  <c r="E218" i="1"/>
  <c r="E139" i="1" l="1"/>
  <c r="E128" i="1"/>
  <c r="B126" i="1"/>
  <c r="E126" i="1" s="1"/>
  <c r="B236" i="1"/>
  <c r="E236" i="1" s="1"/>
  <c r="B66" i="1"/>
  <c r="E66" i="1" s="1"/>
  <c r="B89" i="1"/>
  <c r="E89" i="1" s="1"/>
  <c r="B75" i="1"/>
  <c r="E75" i="1" s="1"/>
  <c r="B63" i="1"/>
  <c r="E63" i="1" s="1"/>
  <c r="B251" i="1"/>
  <c r="E251" i="1" s="1"/>
  <c r="B77" i="1"/>
  <c r="E77" i="1" s="1"/>
  <c r="B65" i="1"/>
  <c r="E65" i="1" s="1"/>
  <c r="B174" i="1"/>
  <c r="E174" i="1" s="1"/>
  <c r="B27" i="1"/>
  <c r="E27" i="1" s="1"/>
  <c r="B37" i="1"/>
  <c r="E37" i="1" s="1"/>
  <c r="B164" i="1"/>
  <c r="E164" i="1" s="1"/>
  <c r="B204" i="1"/>
  <c r="E204" i="1" s="1"/>
  <c r="B47" i="1"/>
  <c r="E47" i="1" s="1"/>
  <c r="B102" i="1"/>
  <c r="E102" i="1" s="1"/>
  <c r="B48" i="1"/>
  <c r="E48" i="1" s="1"/>
  <c r="B68" i="1"/>
  <c r="E68" i="1" s="1"/>
  <c r="B10" i="1"/>
  <c r="E10" i="1" s="1"/>
  <c r="B233" i="1"/>
  <c r="E233" i="1" s="1"/>
  <c r="B74" i="1"/>
  <c r="E74" i="1" s="1"/>
  <c r="B21" i="1"/>
  <c r="E21" i="1" s="1"/>
  <c r="B171" i="1"/>
  <c r="E171" i="1" s="1"/>
  <c r="B161" i="1"/>
  <c r="E161" i="1" s="1"/>
  <c r="B208" i="1"/>
  <c r="E208" i="1" s="1"/>
  <c r="B147" i="1"/>
  <c r="E147" i="1" s="1"/>
  <c r="B252" i="1"/>
  <c r="E252" i="1" s="1"/>
  <c r="B4" i="1"/>
  <c r="E4" i="1" s="1"/>
  <c r="B239" i="1"/>
  <c r="E239" i="1" s="1"/>
  <c r="B32" i="1"/>
  <c r="E32" i="1" s="1"/>
  <c r="B232" i="1"/>
  <c r="E232" i="1" s="1"/>
  <c r="B78" i="1"/>
  <c r="E78" i="1" s="1"/>
  <c r="B235" i="1"/>
  <c r="E235" i="1" s="1"/>
  <c r="B30" i="1"/>
  <c r="E30" i="1" s="1"/>
  <c r="B31" i="1"/>
  <c r="E31" i="1" s="1"/>
  <c r="B29" i="1"/>
  <c r="E29" i="1" s="1"/>
  <c r="B166" i="1"/>
  <c r="E166" i="1" s="1"/>
  <c r="B94" i="1"/>
  <c r="E94" i="1" s="1"/>
  <c r="B141" i="1"/>
  <c r="E141" i="1" s="1"/>
  <c r="B206" i="1"/>
  <c r="E206" i="1" s="1"/>
  <c r="B123" i="1"/>
  <c r="E123" i="1" s="1"/>
  <c r="B16" i="1"/>
  <c r="E16" i="1" s="1"/>
  <c r="B223" i="1"/>
  <c r="E223" i="1" s="1"/>
  <c r="B98" i="1"/>
  <c r="E98" i="1" s="1"/>
  <c r="B97" i="1"/>
  <c r="E97" i="1" s="1"/>
  <c r="B231" i="1"/>
  <c r="E231" i="1" s="1"/>
  <c r="B240" i="1"/>
  <c r="E240" i="1" s="1"/>
  <c r="B99" i="1"/>
  <c r="E99" i="1" s="1"/>
  <c r="B12" i="1"/>
  <c r="E12" i="1" s="1"/>
  <c r="B11" i="1"/>
  <c r="E11" i="1" s="1"/>
  <c r="B149" i="1"/>
  <c r="E149" i="1" s="1"/>
  <c r="B84" i="1"/>
  <c r="E84" i="1" s="1"/>
  <c r="B148" i="1"/>
  <c r="E148" i="1" s="1"/>
  <c r="B51" i="1"/>
  <c r="E51" i="1" s="1"/>
  <c r="B8" i="1"/>
  <c r="E8" i="1" s="1"/>
  <c r="B194" i="1"/>
  <c r="E194" i="1" s="1"/>
  <c r="B87" i="1"/>
  <c r="E87" i="1" s="1"/>
  <c r="B45" i="1"/>
  <c r="E45" i="1" s="1"/>
  <c r="B62" i="1"/>
  <c r="E62" i="1" s="1"/>
  <c r="B111" i="1"/>
  <c r="E111" i="1" s="1"/>
  <c r="B201" i="1"/>
  <c r="E201" i="1" s="1"/>
  <c r="B202" i="1"/>
  <c r="E202" i="1" s="1"/>
  <c r="B168" i="1"/>
  <c r="E168" i="1" s="1"/>
  <c r="B211" i="1"/>
  <c r="E211" i="1" s="1"/>
  <c r="B108" i="1"/>
  <c r="E108" i="1" s="1"/>
  <c r="B107" i="1"/>
  <c r="E107" i="1" s="1"/>
  <c r="B105" i="1"/>
  <c r="E105" i="1" s="1"/>
  <c r="B186" i="1"/>
  <c r="E186" i="1" s="1"/>
  <c r="B120" i="1"/>
  <c r="E120" i="1" s="1"/>
  <c r="B212" i="1"/>
  <c r="E212" i="1" s="1"/>
  <c r="B213" i="1"/>
  <c r="E213" i="1" s="1"/>
  <c r="B163" i="1"/>
  <c r="E163" i="1" s="1"/>
  <c r="B95" i="1"/>
  <c r="E95" i="1" s="1"/>
  <c r="B109" i="1"/>
  <c r="E109" i="1" s="1"/>
  <c r="B106" i="1"/>
  <c r="E106" i="1" s="1"/>
  <c r="B189" i="1"/>
  <c r="E189" i="1" s="1"/>
  <c r="B188" i="1"/>
  <c r="E188" i="1" s="1"/>
  <c r="B110" i="1"/>
  <c r="E110" i="1" s="1"/>
  <c r="B160" i="1"/>
  <c r="E160" i="1" s="1"/>
  <c r="B242" i="1"/>
  <c r="E242" i="1" s="1"/>
  <c r="B57" i="1"/>
  <c r="E57" i="1" s="1"/>
  <c r="B221" i="1"/>
  <c r="E221" i="1" s="1"/>
  <c r="B187" i="1"/>
  <c r="E187" i="1" s="1"/>
  <c r="B217" i="1"/>
  <c r="E217" i="1" s="1"/>
  <c r="B180" i="1"/>
  <c r="E180" i="1" s="1"/>
  <c r="B179" i="1"/>
  <c r="E179" i="1" s="1"/>
  <c r="B178" i="1"/>
  <c r="E178" i="1" s="1"/>
  <c r="B80" i="1"/>
  <c r="E80" i="1" s="1"/>
  <c r="B192" i="1"/>
  <c r="E192" i="1" s="1"/>
  <c r="B114" i="1"/>
  <c r="E114" i="1" s="1"/>
  <c r="B151" i="1"/>
  <c r="E151" i="1" s="1"/>
  <c r="B197" i="1"/>
  <c r="E197" i="1" s="1"/>
  <c r="B196" i="1"/>
  <c r="E196" i="1" s="1"/>
  <c r="B253" i="1"/>
  <c r="E253" i="1" s="1"/>
  <c r="B254" i="1"/>
  <c r="E254" i="1" s="1"/>
  <c r="B214" i="1"/>
  <c r="E214" i="1" s="1"/>
  <c r="B209" i="1"/>
  <c r="E209" i="1" s="1"/>
  <c r="B127" i="1"/>
  <c r="E127" i="1" s="1"/>
  <c r="B135" i="1"/>
  <c r="E135" i="1" s="1"/>
  <c r="B134" i="1"/>
  <c r="E134" i="1" s="1"/>
  <c r="B154" i="1"/>
  <c r="E154" i="1" s="1"/>
  <c r="B155" i="1"/>
  <c r="E155" i="1" s="1"/>
  <c r="B103" i="1"/>
  <c r="E103" i="1" s="1"/>
  <c r="B116" i="1"/>
  <c r="B104" i="1"/>
  <c r="E104" i="1" s="1"/>
  <c r="B56" i="1"/>
  <c r="E56" i="1" s="1"/>
  <c r="B117" i="1"/>
  <c r="E117" i="1" s="1"/>
  <c r="B243" i="1"/>
  <c r="E243" i="1" s="1"/>
  <c r="B121" i="1"/>
  <c r="E121" i="1" s="1"/>
  <c r="B5" i="1"/>
  <c r="E5" i="1" s="1"/>
  <c r="B39" i="1"/>
  <c r="E39" i="1" s="1"/>
  <c r="B58" i="1"/>
  <c r="E58" i="1" s="1"/>
  <c r="B122" i="1"/>
  <c r="E122" i="1" s="1"/>
  <c r="B59" i="1"/>
  <c r="E59" i="1" s="1"/>
  <c r="B60" i="1"/>
  <c r="E60" i="1" s="1"/>
  <c r="B49" i="1"/>
  <c r="E49" i="1" s="1"/>
  <c r="B50" i="1"/>
  <c r="E50" i="1" s="1"/>
  <c r="B144" i="1"/>
  <c r="E144" i="1" s="1"/>
  <c r="B67" i="1"/>
  <c r="E67" i="1" s="1"/>
  <c r="B101" i="1"/>
  <c r="E101" i="1" s="1"/>
  <c r="B46" i="1"/>
  <c r="E46" i="1" s="1"/>
  <c r="B250" i="1"/>
  <c r="E250" i="1" s="1"/>
  <c r="B13" i="1" l="1"/>
  <c r="E13" i="1" s="1"/>
  <c r="B205" i="1"/>
  <c r="E205" i="1" s="1"/>
  <c r="B85" i="1"/>
  <c r="E85" i="1" s="1"/>
  <c r="B14" i="1"/>
  <c r="E14" i="1" s="1"/>
  <c r="B119" i="1"/>
  <c r="E119" i="1" s="1"/>
  <c r="B136" i="1"/>
  <c r="E136" i="1" s="1"/>
  <c r="B137" i="1"/>
  <c r="E137" i="1" s="1"/>
  <c r="B138" i="1"/>
  <c r="E138" i="1" s="1"/>
  <c r="B143" i="1"/>
  <c r="E143" i="1" s="1"/>
  <c r="B20" i="1"/>
  <c r="E20" i="1" s="1"/>
  <c r="B112" i="1"/>
  <c r="E112" i="1" s="1"/>
  <c r="B83" i="1"/>
  <c r="E83" i="1" s="1"/>
  <c r="B73" i="1"/>
  <c r="E73" i="1" s="1"/>
  <c r="B38" i="1"/>
  <c r="B9" i="1"/>
  <c r="E9" i="1" s="1"/>
  <c r="B118" i="1"/>
  <c r="E118" i="1" s="1"/>
  <c r="B17" i="1"/>
  <c r="E17" i="1" s="1"/>
  <c r="B90" i="1"/>
  <c r="E90" i="1" s="1"/>
  <c r="B244" i="1"/>
  <c r="E244" i="1" s="1"/>
  <c r="B93" i="1"/>
  <c r="E93" i="1" s="1"/>
  <c r="B91" i="1"/>
  <c r="E91" i="1" s="1"/>
  <c r="B234" i="1"/>
  <c r="E234" i="1" s="1"/>
  <c r="B42" i="1"/>
  <c r="E42" i="1" s="1"/>
  <c r="B237" i="1"/>
  <c r="E237" i="1" s="1"/>
  <c r="B40" i="1"/>
  <c r="E40" i="1" s="1"/>
  <c r="B41" i="1"/>
  <c r="E41" i="1" s="1"/>
  <c r="B43" i="1"/>
  <c r="E43" i="1" s="1"/>
  <c r="B26" i="1"/>
  <c r="E26" i="1" s="1"/>
  <c r="B199" i="1"/>
  <c r="E199" i="1" s="1"/>
  <c r="B203" i="1"/>
  <c r="E203" i="1" s="1"/>
  <c r="B142" i="1"/>
  <c r="E142" i="1" s="1"/>
  <c r="B245" i="1"/>
  <c r="E245" i="1" s="1"/>
  <c r="B207" i="1"/>
  <c r="E207" i="1" s="1"/>
  <c r="B162" i="1"/>
  <c r="E162" i="1" s="1"/>
  <c r="B88" i="1"/>
  <c r="E88" i="1" s="1"/>
  <c r="B172" i="1"/>
  <c r="E172" i="1" s="1"/>
  <c r="B28" i="1"/>
  <c r="E28" i="1" s="1"/>
  <c r="B115" i="1"/>
  <c r="E115" i="1" s="1"/>
  <c r="B150" i="1"/>
  <c r="E150" i="1" s="1"/>
  <c r="B158" i="1"/>
  <c r="E158" i="1" s="1"/>
  <c r="B167" i="1"/>
  <c r="E167" i="1" s="1"/>
  <c r="B92" i="1"/>
  <c r="E92" i="1" s="1"/>
  <c r="B24" i="1"/>
  <c r="E24" i="1" s="1"/>
  <c r="B173" i="1"/>
  <c r="E173" i="1" s="1"/>
  <c r="B170" i="1"/>
  <c r="E170" i="1" s="1"/>
  <c r="B255" i="1"/>
  <c r="E255" i="1" s="1"/>
  <c r="B113" i="1"/>
  <c r="E113" i="1" s="1"/>
  <c r="B230" i="1"/>
  <c r="E230" i="1" s="1"/>
  <c r="B81" i="1"/>
  <c r="E81" i="1" s="1"/>
  <c r="B177" i="1"/>
  <c r="E177" i="1" s="1"/>
  <c r="B34" i="1"/>
  <c r="E34" i="1" s="1"/>
  <c r="B35" i="1"/>
  <c r="E35" i="1" s="1"/>
  <c r="B256" i="1"/>
  <c r="E256" i="1" s="1"/>
  <c r="B71" i="1"/>
  <c r="E71" i="1" s="1"/>
  <c r="B257" i="1"/>
  <c r="E257" i="1" s="1"/>
  <c r="B176" i="1"/>
  <c r="E176" i="1" s="1"/>
  <c r="B82" i="1"/>
  <c r="E82" i="1" s="1"/>
  <c r="B241" i="1"/>
  <c r="E241" i="1" s="1"/>
  <c r="B25" i="1"/>
  <c r="E25" i="1" s="1"/>
  <c r="B169" i="1"/>
  <c r="E169" i="1" s="1"/>
  <c r="B157" i="1"/>
  <c r="E157" i="1" s="1"/>
  <c r="B96" i="1"/>
  <c r="E96" i="1" s="1"/>
  <c r="B72" i="1"/>
  <c r="E72" i="1" s="1"/>
  <c r="B76" i="1"/>
  <c r="E76" i="1" s="1"/>
  <c r="B86" i="1"/>
  <c r="E86" i="1" s="1"/>
  <c r="B165" i="1"/>
  <c r="E165" i="1" s="1"/>
  <c r="D44" i="1"/>
  <c r="E44" i="1" s="1"/>
  <c r="D116" i="1"/>
  <c r="E116" i="1" s="1"/>
  <c r="D130" i="1"/>
  <c r="E130" i="1" s="1"/>
  <c r="D181" i="1"/>
  <c r="E181" i="1" s="1"/>
  <c r="D195" i="1"/>
  <c r="E195" i="1" s="1"/>
  <c r="E79" i="1" l="1"/>
  <c r="E38" i="1" l="1"/>
</calcChain>
</file>

<file path=xl/sharedStrings.xml><?xml version="1.0" encoding="utf-8"?>
<sst xmlns="http://schemas.openxmlformats.org/spreadsheetml/2006/main" count="345" uniqueCount="313">
  <si>
    <t>Producto</t>
  </si>
  <si>
    <t>Kilos</t>
  </si>
  <si>
    <t>Cajas</t>
  </si>
  <si>
    <t>Precio</t>
  </si>
  <si>
    <t>Total</t>
  </si>
  <si>
    <t>Aguja de Res</t>
  </si>
  <si>
    <t>Alitas</t>
  </si>
  <si>
    <t>Alpura Crema Deslactosada</t>
  </si>
  <si>
    <t>Alpura Crema Natural</t>
  </si>
  <si>
    <t>Aros de Cebolla</t>
  </si>
  <si>
    <t>Arrachera Marinada</t>
  </si>
  <si>
    <t>Arrachera Natural</t>
  </si>
  <si>
    <t>Arrachera Taquera</t>
  </si>
  <si>
    <t>Arrachera Texana</t>
  </si>
  <si>
    <t>Asado de Tira</t>
  </si>
  <si>
    <t>Asar de Pco</t>
  </si>
  <si>
    <t>Atun</t>
  </si>
  <si>
    <t>Barriga</t>
  </si>
  <si>
    <t>Bimbollos 8 Pzas</t>
  </si>
  <si>
    <t xml:space="preserve">Bimbollos Super </t>
  </si>
  <si>
    <t>Bistec de Pco</t>
  </si>
  <si>
    <t>Bola de Res</t>
  </si>
  <si>
    <t>Briscket</t>
  </si>
  <si>
    <t>Buffalo Boneless</t>
  </si>
  <si>
    <t>Cabeza</t>
  </si>
  <si>
    <t>Cabeza de Lomo</t>
  </si>
  <si>
    <t>Cabreria Sterling</t>
  </si>
  <si>
    <t>Camaron Chico</t>
  </si>
  <si>
    <t>Camaron Grande</t>
  </si>
  <si>
    <t>Camaron U/15</t>
  </si>
  <si>
    <t>Camaron U12</t>
  </si>
  <si>
    <t>Capote</t>
  </si>
  <si>
    <t>Carbon</t>
  </si>
  <si>
    <t>Carne Abierta</t>
  </si>
  <si>
    <t>Carne Al pastor</t>
  </si>
  <si>
    <t>Carne Arabe</t>
  </si>
  <si>
    <t>Carne Picada de Pco</t>
  </si>
  <si>
    <t>Carne Picada de Res</t>
  </si>
  <si>
    <t>Carpaccio</t>
  </si>
  <si>
    <t>Carrillera</t>
  </si>
  <si>
    <t>Castell</t>
  </si>
  <si>
    <t>Cecina</t>
  </si>
  <si>
    <t>Centro de Codillo</t>
  </si>
  <si>
    <t>Chambarete</t>
  </si>
  <si>
    <t>Chambarete s/h</t>
  </si>
  <si>
    <t>Chicharron Prensado</t>
  </si>
  <si>
    <t>Chicken Bites</t>
  </si>
  <si>
    <t>Chimichurri</t>
  </si>
  <si>
    <t>Chistorra Fritz Gourmet</t>
  </si>
  <si>
    <t>Chistorra Fritz Linea de Oro</t>
  </si>
  <si>
    <t>Chistorra Metz</t>
  </si>
  <si>
    <t>Chistorra Winnis</t>
  </si>
  <si>
    <t>Chorizo Argentino Eco</t>
  </si>
  <si>
    <t>Chorizo Argentino Especial</t>
  </si>
  <si>
    <t>Chorizo Español</t>
  </si>
  <si>
    <t>Chorizo Oaxaca</t>
  </si>
  <si>
    <t>Chuck Roll</t>
  </si>
  <si>
    <t>Chuleta Ahumada</t>
  </si>
  <si>
    <t>Chuleta Natural</t>
  </si>
  <si>
    <t>Chuleton</t>
  </si>
  <si>
    <t>Codillo c/h</t>
  </si>
  <si>
    <t>Colitas</t>
  </si>
  <si>
    <t>Combo</t>
  </si>
  <si>
    <t>Concha de Res</t>
  </si>
  <si>
    <t>Condimento California</t>
  </si>
  <si>
    <t>Condimentos 4 carnes</t>
  </si>
  <si>
    <t xml:space="preserve">Contra </t>
  </si>
  <si>
    <t>Corte Estrella</t>
  </si>
  <si>
    <t>Cortes Nacionales</t>
  </si>
  <si>
    <t xml:space="preserve">Costilla </t>
  </si>
  <si>
    <t>Costilla Cargada</t>
  </si>
  <si>
    <t>Costilla p/asar</t>
  </si>
  <si>
    <t>Cowboy Sterling</t>
  </si>
  <si>
    <t>Crema de Trufa</t>
  </si>
  <si>
    <t>Crema Natural</t>
  </si>
  <si>
    <t>Cuero de Pierna</t>
  </si>
  <si>
    <t>Cuero Papel</t>
  </si>
  <si>
    <t xml:space="preserve">Cuete </t>
  </si>
  <si>
    <t>Dedos de Queso</t>
  </si>
  <si>
    <t>Diezmillo c/h</t>
  </si>
  <si>
    <t>Enchilada</t>
  </si>
  <si>
    <t>Espaldilla c/h</t>
  </si>
  <si>
    <t>Espinazo</t>
  </si>
  <si>
    <t>Falda de Pco</t>
  </si>
  <si>
    <t>Filete de Pco</t>
  </si>
  <si>
    <t>Filete de Res</t>
  </si>
  <si>
    <t>Filete Mignon</t>
  </si>
  <si>
    <t>Filete Tilapia</t>
  </si>
  <si>
    <t>Galantina Fritz</t>
  </si>
  <si>
    <t>Grasa de Res</t>
  </si>
  <si>
    <t>Hamburguesa Comercial</t>
  </si>
  <si>
    <t>Hamburguesa Especial</t>
  </si>
  <si>
    <t>Hamburguesa Pollo</t>
  </si>
  <si>
    <t>Hueso de Pco</t>
  </si>
  <si>
    <t>Hueso de Res</t>
  </si>
  <si>
    <t>Jamon Americano</t>
  </si>
  <si>
    <t>Jamon Capistrano</t>
  </si>
  <si>
    <t>Jamon de Espaldilla Cocida</t>
  </si>
  <si>
    <t>Jamon Holandes Patron</t>
  </si>
  <si>
    <t>Jamon Marietta</t>
  </si>
  <si>
    <t>Jamon Patron Pavo</t>
  </si>
  <si>
    <t>Jamon Pavo Fritz</t>
  </si>
  <si>
    <t>Jamon Peñaranda</t>
  </si>
  <si>
    <t>Jamon s/h</t>
  </si>
  <si>
    <t>Jamon Sabori Pierna</t>
  </si>
  <si>
    <t>Jamon Serrano Cinta Oro</t>
  </si>
  <si>
    <t>Jamon Virginia</t>
  </si>
  <si>
    <t>Jamon York</t>
  </si>
  <si>
    <t>Lengua de Res</t>
  </si>
  <si>
    <t>Lomo de Caña</t>
  </si>
  <si>
    <t>Longaniza Casera</t>
  </si>
  <si>
    <t>Longaniza Economica</t>
  </si>
  <si>
    <t>Madurado Nacional</t>
  </si>
  <si>
    <t>Maiz Pozolero Morelos</t>
  </si>
  <si>
    <t>Maiz Pozolero Poblana</t>
  </si>
  <si>
    <t>Manita</t>
  </si>
  <si>
    <t>Manteca</t>
  </si>
  <si>
    <t>Mantequilla Iberia  1 kg</t>
  </si>
  <si>
    <t>Mantequilla Iberia .500 gr</t>
  </si>
  <si>
    <t>Mantequilla Iberia .90 gr</t>
  </si>
  <si>
    <t>Mantequillas Gloria 225gr</t>
  </si>
  <si>
    <t>Mantequillas Gloria 90gr</t>
  </si>
  <si>
    <t>Media Noches 8 Pzas</t>
  </si>
  <si>
    <t>Milanesa de Res</t>
  </si>
  <si>
    <t>Mole Poblano</t>
  </si>
  <si>
    <t>Molida de Pco</t>
  </si>
  <si>
    <t>Molida de Res</t>
  </si>
  <si>
    <t>Molida Mixta</t>
  </si>
  <si>
    <t>Nata</t>
  </si>
  <si>
    <t>New York</t>
  </si>
  <si>
    <t>New York Choice</t>
  </si>
  <si>
    <t>Norteño</t>
  </si>
  <si>
    <t>Nuggets</t>
  </si>
  <si>
    <t>Pan Arabe</t>
  </si>
  <si>
    <t>Pan Molido Clasico</t>
  </si>
  <si>
    <t>Panza</t>
  </si>
  <si>
    <t>Papa Lisa</t>
  </si>
  <si>
    <t>Papas Gajo</t>
  </si>
  <si>
    <t>Papas Onduladas</t>
  </si>
  <si>
    <t xml:space="preserve">Parmesano </t>
  </si>
  <si>
    <t>Parrillero Eco</t>
  </si>
  <si>
    <t>Parrillero Esp</t>
  </si>
  <si>
    <t>Pata Natural</t>
  </si>
  <si>
    <t>Pata Preparada</t>
  </si>
  <si>
    <t>Pavo Natural</t>
  </si>
  <si>
    <t>Pecho</t>
  </si>
  <si>
    <t>Pecho de Res</t>
  </si>
  <si>
    <t>Pechuga de Pavo Nu3</t>
  </si>
  <si>
    <t>Pechuga de Pollo</t>
  </si>
  <si>
    <t>Pechuga Mezquite</t>
  </si>
  <si>
    <t>Peperoni</t>
  </si>
  <si>
    <t>Perico</t>
  </si>
  <si>
    <t>Pescuezo</t>
  </si>
  <si>
    <t>Picaña Choice</t>
  </si>
  <si>
    <t>Picaña Nacional</t>
  </si>
  <si>
    <t>Pierna Ahumada</t>
  </si>
  <si>
    <t>Pierna de Carnero</t>
  </si>
  <si>
    <t>Pierna Pavo Ahumado</t>
  </si>
  <si>
    <t>Pierna y Muslo</t>
  </si>
  <si>
    <t>Pollo Ahumado</t>
  </si>
  <si>
    <t>Pork Belly</t>
  </si>
  <si>
    <t>Postres Panfilo</t>
  </si>
  <si>
    <t>Pulpa de Espaldilla</t>
  </si>
  <si>
    <t>Quesillo</t>
  </si>
  <si>
    <t>Queso Añejo</t>
  </si>
  <si>
    <t>Queso Asadero 4</t>
  </si>
  <si>
    <t>Queso Azul</t>
  </si>
  <si>
    <t>Queso Cheddar</t>
  </si>
  <si>
    <t>Queso Crema Curado</t>
  </si>
  <si>
    <t>Queso Crema Semicurado</t>
  </si>
  <si>
    <t>Queso de Cabra Panfilo Sabores</t>
  </si>
  <si>
    <t>Queso de Pco Capistrano</t>
  </si>
  <si>
    <t>Queso de Pco Fritz</t>
  </si>
  <si>
    <t>Queso de Pco Nu3</t>
  </si>
  <si>
    <t>Queso Fondue</t>
  </si>
  <si>
    <t>Queso Fresco</t>
  </si>
  <si>
    <t>Queso Gouda</t>
  </si>
  <si>
    <t>Queso Grana Padono</t>
  </si>
  <si>
    <t>Queso Philpadelfia</t>
  </si>
  <si>
    <t>Quesos Arce</t>
  </si>
  <si>
    <t>Quesos Comque</t>
  </si>
  <si>
    <t>Quesos Redondos</t>
  </si>
  <si>
    <t>Rack Costillar</t>
  </si>
  <si>
    <t>Rana de Res</t>
  </si>
  <si>
    <t>Recorte de Chuleta</t>
  </si>
  <si>
    <t>Recorte de Jamon</t>
  </si>
  <si>
    <t>Recorte de Tocino</t>
  </si>
  <si>
    <t>Retazo</t>
  </si>
  <si>
    <t>Rib-eye</t>
  </si>
  <si>
    <t>Rib-eye Choice</t>
  </si>
  <si>
    <t>Rib-eye Sterling</t>
  </si>
  <si>
    <t>Roastbeef</t>
  </si>
  <si>
    <t>Roastbeef Ahumado</t>
  </si>
  <si>
    <t>Roastbeef Metz</t>
  </si>
  <si>
    <t>Sabori Extra Fino</t>
  </si>
  <si>
    <t>Salamanca Peñaranda</t>
  </si>
  <si>
    <t>Salami</t>
  </si>
  <si>
    <t>Salchicha Anny Azul</t>
  </si>
  <si>
    <t>Salchicha Capistrano Pco</t>
  </si>
  <si>
    <t>Salchicha Frankfurt</t>
  </si>
  <si>
    <t>Salchicha Mejorana</t>
  </si>
  <si>
    <t>Salchicha p/asar</t>
  </si>
  <si>
    <t>Salchicha Pavo FUD</t>
  </si>
  <si>
    <t>Salchicha Shubling</t>
  </si>
  <si>
    <t>Salmon</t>
  </si>
  <si>
    <t>Salsa Artesanal Macha</t>
  </si>
  <si>
    <t>Salsa California 1 Litro</t>
  </si>
  <si>
    <t>Salsa California 1/2 litro</t>
  </si>
  <si>
    <t>Salsa California 1/4</t>
  </si>
  <si>
    <t>Salsa Gusano 150 gr</t>
  </si>
  <si>
    <t>Salsa Gusano 250gr</t>
  </si>
  <si>
    <t>San Rafael Balance</t>
  </si>
  <si>
    <t>Sesos</t>
  </si>
  <si>
    <t>Short Rib</t>
  </si>
  <si>
    <t>Sirloin</t>
  </si>
  <si>
    <t>Suadero</t>
  </si>
  <si>
    <t>Surimi</t>
  </si>
  <si>
    <t>Surtido</t>
  </si>
  <si>
    <t>T-Bone</t>
  </si>
  <si>
    <t>T-Bone Sterling</t>
  </si>
  <si>
    <t>Tenders de Pollo</t>
  </si>
  <si>
    <t>Tocino de Pierna</t>
  </si>
  <si>
    <t>Tocino Salado</t>
  </si>
  <si>
    <t>Tocino Winnis</t>
  </si>
  <si>
    <t>Tomahawk</t>
  </si>
  <si>
    <t>Tortillina 22 Pzas</t>
  </si>
  <si>
    <t>Tortillina 24 pzas</t>
  </si>
  <si>
    <t>Tostadas Naturales</t>
  </si>
  <si>
    <t>Totopos</t>
  </si>
  <si>
    <t>Trozo de Pco</t>
  </si>
  <si>
    <t>Trozo Economico</t>
  </si>
  <si>
    <t>Tuetano</t>
  </si>
  <si>
    <t>Urby Almendrado</t>
  </si>
  <si>
    <t>Urby Lomo Miel</t>
  </si>
  <si>
    <t>Urby Pistache</t>
  </si>
  <si>
    <t>Vaciada</t>
  </si>
  <si>
    <t>Vacios de Res</t>
  </si>
  <si>
    <t>TOTAL</t>
  </si>
  <si>
    <t>Planchas</t>
  </si>
  <si>
    <t>Buche</t>
  </si>
  <si>
    <t>Copetes</t>
  </si>
  <si>
    <t>New York Sterling</t>
  </si>
  <si>
    <t>Top Sirloin Sterling</t>
  </si>
  <si>
    <t>1 Pza</t>
  </si>
  <si>
    <t>3 Pzas</t>
  </si>
  <si>
    <t>4 Pzas</t>
  </si>
  <si>
    <t>8 Pzas</t>
  </si>
  <si>
    <t>2 Pzas</t>
  </si>
  <si>
    <t>5 Pzas</t>
  </si>
  <si>
    <t>7 Pzas</t>
  </si>
  <si>
    <t>6 Pzas</t>
  </si>
  <si>
    <t>Lomo Embuchado</t>
  </si>
  <si>
    <t>Pate</t>
  </si>
  <si>
    <t>Ate</t>
  </si>
  <si>
    <t>9 Pzas</t>
  </si>
  <si>
    <t>Jamon Serrano Tavernetta</t>
  </si>
  <si>
    <t>10 Pzas</t>
  </si>
  <si>
    <t>11 Pzas</t>
  </si>
  <si>
    <t>15 Pzas</t>
  </si>
  <si>
    <t>Queso de Pco FUD</t>
  </si>
  <si>
    <t>Tampiqueña</t>
  </si>
  <si>
    <t>Helados</t>
  </si>
  <si>
    <t>Descarne</t>
  </si>
  <si>
    <t>15 cajas</t>
  </si>
  <si>
    <t>19 cajas</t>
  </si>
  <si>
    <t>7 combos</t>
  </si>
  <si>
    <t>3 cajas</t>
  </si>
  <si>
    <t>180 Bolsas</t>
  </si>
  <si>
    <t>136 Bolsas</t>
  </si>
  <si>
    <t>Canal de Res</t>
  </si>
  <si>
    <t>Pulpa de Res</t>
  </si>
  <si>
    <t>Salchicha Cheddar Fritz</t>
  </si>
  <si>
    <t>Salchicha Jalapeño Fritz</t>
  </si>
  <si>
    <t>5 Cajas</t>
  </si>
  <si>
    <t>12 Cajas</t>
  </si>
  <si>
    <t>216 Pzas</t>
  </si>
  <si>
    <t>216 Bolsas</t>
  </si>
  <si>
    <t>4 Cajas</t>
  </si>
  <si>
    <t>10 Cajas</t>
  </si>
  <si>
    <t>22 Cajas</t>
  </si>
  <si>
    <t>6 Cajas</t>
  </si>
  <si>
    <t>40 Bolsas</t>
  </si>
  <si>
    <t>39 Cajas</t>
  </si>
  <si>
    <t>11 Cajas</t>
  </si>
  <si>
    <t>224 Bolsas</t>
  </si>
  <si>
    <t>Bollos</t>
  </si>
  <si>
    <t>Brionche Hamburguesa</t>
  </si>
  <si>
    <t xml:space="preserve"> </t>
  </si>
  <si>
    <t>18 Pzas</t>
  </si>
  <si>
    <t>82 Pzas</t>
  </si>
  <si>
    <t>34 Pzas</t>
  </si>
  <si>
    <t>33 Pzas</t>
  </si>
  <si>
    <t>Chicharron</t>
  </si>
  <si>
    <t>58 Bolsas</t>
  </si>
  <si>
    <t>28 Bolsas</t>
  </si>
  <si>
    <t>314 Bolsas</t>
  </si>
  <si>
    <t>4 Bolsas</t>
  </si>
  <si>
    <t>59 Bolsas</t>
  </si>
  <si>
    <t>86 Pzas</t>
  </si>
  <si>
    <t>17 Pzas</t>
  </si>
  <si>
    <t>13 Pzas</t>
  </si>
  <si>
    <t>24 Pzas</t>
  </si>
  <si>
    <t>2 Pza</t>
  </si>
  <si>
    <t>4 Pza</t>
  </si>
  <si>
    <t>20 Pzas</t>
  </si>
  <si>
    <t>12 Pzas</t>
  </si>
  <si>
    <t>16 Pzas</t>
  </si>
  <si>
    <t>55 Pzas</t>
  </si>
  <si>
    <t>88 Pzas</t>
  </si>
  <si>
    <t>22 Pzas</t>
  </si>
  <si>
    <t>Jamon Pavo FUD</t>
  </si>
  <si>
    <t>Queso Panela</t>
  </si>
  <si>
    <t>INVENTARIO ZAVALETA 28/07/2023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</si>
</sst>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44" fontId="4" fillId="0" borderId="1" xfId="0" applyNumberFormat="1" applyFont="1" applyBorder="1"/>
    <xf numFmtId="43" fontId="0" fillId="0" borderId="1" xfId="2" applyFont="1" applyBorder="1"/>
    <xf numFmtId="0" fontId="0" fillId="0" borderId="1" xfId="0" applyFill="1" applyBorder="1"/>
    <xf numFmtId="0" fontId="0" fillId="0" borderId="5" xfId="0" applyFill="1" applyBorder="1"/>
    <xf numFmtId="44" fontId="0" fillId="0" borderId="1" xfId="1" applyFont="1" applyFill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259"/>
  <sheetViews>
    <sheetView tabSelected="1" topLeftCell="A228" workbookViewId="0">
      <selection activeCell="E274" sqref="E274"/>
    </sheetView>
  </sheetViews>
  <sheetFormatPr baseColWidth="10" defaultRowHeight="15" x14ac:dyDescent="0.25"/>
  <cols>
    <col min="1" max="1" width="32.28515625" bestFit="1" customWidth="1"/>
    <col min="5" max="5" width="19.5703125" bestFit="1" customWidth="1"/>
  </cols>
  <sheetData>
    <row r="1" spans="1:5" ht="21" x14ac:dyDescent="0.35">
      <c r="A1" s="10" t="s">
        <v>312</v>
      </c>
      <c r="B1" s="10"/>
      <c r="C1" s="10"/>
      <c r="D1" s="10"/>
      <c r="E1" s="10"/>
    </row>
    <row r="2" spans="1:5" x14ac:dyDescent="0.25">
      <c r="A2" s="11"/>
      <c r="B2" s="12"/>
      <c r="C2" s="12"/>
      <c r="D2" s="12"/>
      <c r="E2" s="13"/>
    </row>
    <row r="3" spans="1:5" ht="15.7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5">
      <c r="A4" s="2" t="s">
        <v>5</v>
      </c>
      <c r="B4" s="2">
        <f>62+13.8+1.8+11.8+10.2</f>
        <v>99.6</v>
      </c>
      <c r="C4" s="2"/>
      <c r="D4" s="3">
        <v>130</v>
      </c>
      <c r="E4" s="4">
        <f>B4*D4</f>
        <v>12948</v>
      </c>
    </row>
    <row r="5" spans="1:5" x14ac:dyDescent="0.25">
      <c r="A5" s="2" t="s">
        <v>6</v>
      </c>
      <c r="B5" s="2">
        <f>4+3.8+5.3</f>
        <v>13.1</v>
      </c>
      <c r="C5" s="2"/>
      <c r="D5" s="3">
        <v>120</v>
      </c>
      <c r="E5" s="4">
        <f>B5*D5</f>
        <v>1572</v>
      </c>
    </row>
    <row r="6" spans="1:5" x14ac:dyDescent="0.25">
      <c r="A6" s="2" t="s">
        <v>7</v>
      </c>
      <c r="B6" s="2"/>
      <c r="C6" s="2" t="s">
        <v>248</v>
      </c>
      <c r="D6" s="3">
        <v>35.5</v>
      </c>
      <c r="E6" s="4">
        <f>D6*5</f>
        <v>177.5</v>
      </c>
    </row>
    <row r="7" spans="1:5" x14ac:dyDescent="0.25">
      <c r="A7" s="2" t="s">
        <v>8</v>
      </c>
      <c r="B7" s="2"/>
      <c r="C7" s="2" t="s">
        <v>302</v>
      </c>
      <c r="D7" s="3">
        <v>35.5</v>
      </c>
      <c r="E7" s="4">
        <f>D7*2</f>
        <v>71</v>
      </c>
    </row>
    <row r="8" spans="1:5" x14ac:dyDescent="0.25">
      <c r="A8" s="2" t="s">
        <v>9</v>
      </c>
      <c r="B8" s="2">
        <f>0.386+0.8+0.907*4+0.74</f>
        <v>5.5540000000000003</v>
      </c>
      <c r="C8" s="2" t="s">
        <v>296</v>
      </c>
      <c r="D8" s="3">
        <v>119</v>
      </c>
      <c r="E8" s="4">
        <f t="shared" ref="E8:E14" si="0">B8*D8</f>
        <v>660.92600000000004</v>
      </c>
    </row>
    <row r="9" spans="1:5" x14ac:dyDescent="0.25">
      <c r="A9" s="2" t="s">
        <v>10</v>
      </c>
      <c r="B9" s="2">
        <f>87.5+2.1</f>
        <v>89.6</v>
      </c>
      <c r="C9" s="2"/>
      <c r="D9" s="3">
        <v>210</v>
      </c>
      <c r="E9" s="4">
        <f t="shared" si="0"/>
        <v>18816</v>
      </c>
    </row>
    <row r="10" spans="1:5" x14ac:dyDescent="0.25">
      <c r="A10" s="2" t="s">
        <v>11</v>
      </c>
      <c r="B10" s="2">
        <f>1.9+4.81</f>
        <v>6.7099999999999991</v>
      </c>
      <c r="C10" s="2"/>
      <c r="D10" s="3">
        <v>190</v>
      </c>
      <c r="E10" s="4">
        <f t="shared" si="0"/>
        <v>1274.8999999999999</v>
      </c>
    </row>
    <row r="11" spans="1:5" x14ac:dyDescent="0.25">
      <c r="A11" s="2" t="s">
        <v>12</v>
      </c>
      <c r="B11" s="2">
        <f>118.8+1+23.84</f>
        <v>143.63999999999999</v>
      </c>
      <c r="C11" s="2" t="s">
        <v>278</v>
      </c>
      <c r="D11" s="3">
        <v>100</v>
      </c>
      <c r="E11" s="4">
        <f t="shared" si="0"/>
        <v>14363.999999999998</v>
      </c>
    </row>
    <row r="12" spans="1:5" x14ac:dyDescent="0.25">
      <c r="A12" s="2" t="s">
        <v>13</v>
      </c>
      <c r="B12" s="2">
        <f>144+1+5.04-2.158</f>
        <v>147.88200000000001</v>
      </c>
      <c r="C12" s="2" t="s">
        <v>274</v>
      </c>
      <c r="D12" s="3">
        <v>93</v>
      </c>
      <c r="E12" s="4">
        <f t="shared" si="0"/>
        <v>13753.026</v>
      </c>
    </row>
    <row r="13" spans="1:5" x14ac:dyDescent="0.25">
      <c r="A13" s="2" t="s">
        <v>14</v>
      </c>
      <c r="B13" s="2">
        <f>5.5</f>
        <v>5.5</v>
      </c>
      <c r="C13" s="2"/>
      <c r="D13" s="3">
        <v>120</v>
      </c>
      <c r="E13" s="4">
        <f t="shared" si="0"/>
        <v>660</v>
      </c>
    </row>
    <row r="14" spans="1:5" x14ac:dyDescent="0.25">
      <c r="A14" s="2" t="s">
        <v>15</v>
      </c>
      <c r="B14" s="2">
        <f>7.4+13</f>
        <v>20.399999999999999</v>
      </c>
      <c r="C14" s="2"/>
      <c r="D14" s="3">
        <v>88</v>
      </c>
      <c r="E14" s="4">
        <f t="shared" si="0"/>
        <v>1795.1999999999998</v>
      </c>
    </row>
    <row r="15" spans="1:5" x14ac:dyDescent="0.25">
      <c r="A15" s="7" t="s">
        <v>253</v>
      </c>
      <c r="B15" s="2"/>
      <c r="C15" s="2" t="s">
        <v>244</v>
      </c>
      <c r="D15" s="9">
        <v>42</v>
      </c>
      <c r="E15" s="4">
        <f>D15*3</f>
        <v>126</v>
      </c>
    </row>
    <row r="16" spans="1:5" x14ac:dyDescent="0.25">
      <c r="A16" s="2" t="s">
        <v>16</v>
      </c>
      <c r="B16" s="2">
        <f>100+6.494</f>
        <v>106.494</v>
      </c>
      <c r="C16" s="2" t="s">
        <v>273</v>
      </c>
      <c r="D16" s="3">
        <v>230</v>
      </c>
      <c r="E16" s="4">
        <f>B16*D16</f>
        <v>24493.62</v>
      </c>
    </row>
    <row r="17" spans="1:5" x14ac:dyDescent="0.25">
      <c r="A17" s="2" t="s">
        <v>17</v>
      </c>
      <c r="B17" s="2">
        <f>33.1+3.43</f>
        <v>36.53</v>
      </c>
      <c r="C17" s="2"/>
      <c r="D17" s="3">
        <v>89</v>
      </c>
      <c r="E17" s="4">
        <f>B17*D17</f>
        <v>3251.17</v>
      </c>
    </row>
    <row r="18" spans="1:5" x14ac:dyDescent="0.25">
      <c r="A18" s="2" t="s">
        <v>18</v>
      </c>
      <c r="B18" s="2"/>
      <c r="C18" s="2" t="s">
        <v>250</v>
      </c>
      <c r="D18" s="3">
        <v>68</v>
      </c>
      <c r="E18" s="4">
        <f>D18*6</f>
        <v>408</v>
      </c>
    </row>
    <row r="19" spans="1:5" x14ac:dyDescent="0.25">
      <c r="A19" s="2" t="s">
        <v>19</v>
      </c>
      <c r="B19" s="2"/>
      <c r="C19" s="2" t="s">
        <v>249</v>
      </c>
      <c r="D19" s="3">
        <v>68</v>
      </c>
      <c r="E19" s="4">
        <f>D19*7</f>
        <v>476</v>
      </c>
    </row>
    <row r="20" spans="1:5" x14ac:dyDescent="0.25">
      <c r="A20" s="2" t="s">
        <v>20</v>
      </c>
      <c r="B20" s="2">
        <f>0.552+0.48+2.8</f>
        <v>3.8319999999999999</v>
      </c>
      <c r="C20" s="2"/>
      <c r="D20" s="3">
        <v>98</v>
      </c>
      <c r="E20" s="4">
        <f>B20*D20</f>
        <v>375.536</v>
      </c>
    </row>
    <row r="21" spans="1:5" x14ac:dyDescent="0.25">
      <c r="A21" s="2" t="s">
        <v>21</v>
      </c>
      <c r="B21" s="2">
        <f>7.5+13.08-2.2</f>
        <v>18.38</v>
      </c>
      <c r="C21" s="2"/>
      <c r="D21" s="3">
        <v>150</v>
      </c>
      <c r="E21" s="4">
        <f>B21*D21</f>
        <v>2757</v>
      </c>
    </row>
    <row r="22" spans="1:5" x14ac:dyDescent="0.25">
      <c r="A22" s="2" t="s">
        <v>285</v>
      </c>
      <c r="B22" s="2"/>
      <c r="C22" s="2" t="s">
        <v>245</v>
      </c>
      <c r="D22" s="3">
        <v>54.78</v>
      </c>
      <c r="E22" s="4">
        <f>D22*4</f>
        <v>219.12</v>
      </c>
    </row>
    <row r="23" spans="1:5" x14ac:dyDescent="0.25">
      <c r="A23" s="2" t="s">
        <v>286</v>
      </c>
      <c r="B23" s="2"/>
      <c r="C23" s="2" t="s">
        <v>247</v>
      </c>
      <c r="D23" s="9">
        <v>60</v>
      </c>
      <c r="E23" s="4">
        <f>D23*2</f>
        <v>120</v>
      </c>
    </row>
    <row r="24" spans="1:5" x14ac:dyDescent="0.25">
      <c r="A24" s="2" t="s">
        <v>22</v>
      </c>
      <c r="B24" s="2">
        <f>12.8</f>
        <v>12.8</v>
      </c>
      <c r="C24" s="2"/>
      <c r="D24" s="3">
        <v>188</v>
      </c>
      <c r="E24" s="4">
        <f>B24*D24</f>
        <v>2406.4</v>
      </c>
    </row>
    <row r="25" spans="1:5" x14ac:dyDescent="0.25">
      <c r="A25" s="7" t="s">
        <v>239</v>
      </c>
      <c r="B25" s="2">
        <f>3.5</f>
        <v>3.5</v>
      </c>
      <c r="C25" s="2"/>
      <c r="D25" s="3">
        <v>62</v>
      </c>
      <c r="E25" s="4">
        <f>D25*B25</f>
        <v>217</v>
      </c>
    </row>
    <row r="26" spans="1:5" x14ac:dyDescent="0.25">
      <c r="A26" s="2" t="s">
        <v>23</v>
      </c>
      <c r="B26" s="2">
        <f>86.4+43.2+8.4+7+0.5</f>
        <v>145.50000000000003</v>
      </c>
      <c r="C26" s="2" t="s">
        <v>276</v>
      </c>
      <c r="D26" s="3">
        <v>218</v>
      </c>
      <c r="E26" s="4">
        <f t="shared" ref="E26:E33" si="1">B26*D26</f>
        <v>31719.000000000007</v>
      </c>
    </row>
    <row r="27" spans="1:5" x14ac:dyDescent="0.25">
      <c r="A27" s="2" t="s">
        <v>24</v>
      </c>
      <c r="B27" s="2">
        <f>71.82+28.9+3.84</f>
        <v>104.56</v>
      </c>
      <c r="C27" s="2"/>
      <c r="D27" s="3">
        <v>30</v>
      </c>
      <c r="E27" s="4">
        <f t="shared" si="1"/>
        <v>3136.8</v>
      </c>
    </row>
    <row r="28" spans="1:5" x14ac:dyDescent="0.25">
      <c r="A28" s="2" t="s">
        <v>25</v>
      </c>
      <c r="B28" s="2">
        <f>60.5+1.5</f>
        <v>62</v>
      </c>
      <c r="C28" s="2"/>
      <c r="D28" s="3">
        <v>98</v>
      </c>
      <c r="E28" s="4">
        <f t="shared" si="1"/>
        <v>6076</v>
      </c>
    </row>
    <row r="29" spans="1:5" x14ac:dyDescent="0.25">
      <c r="A29" s="2" t="s">
        <v>26</v>
      </c>
      <c r="B29" s="2">
        <f>1.47+1.8+1.45</f>
        <v>4.72</v>
      </c>
      <c r="C29" s="2"/>
      <c r="D29" s="3">
        <v>569</v>
      </c>
      <c r="E29" s="4">
        <f t="shared" si="1"/>
        <v>2685.68</v>
      </c>
    </row>
    <row r="30" spans="1:5" x14ac:dyDescent="0.25">
      <c r="A30" s="2" t="s">
        <v>27</v>
      </c>
      <c r="B30" s="2">
        <f>50+18</f>
        <v>68</v>
      </c>
      <c r="C30" s="2" t="s">
        <v>273</v>
      </c>
      <c r="D30" s="3">
        <v>120</v>
      </c>
      <c r="E30" s="4">
        <f t="shared" si="1"/>
        <v>8160</v>
      </c>
    </row>
    <row r="31" spans="1:5" x14ac:dyDescent="0.25">
      <c r="A31" s="2" t="s">
        <v>28</v>
      </c>
      <c r="B31" s="2">
        <f>40+14</f>
        <v>54</v>
      </c>
      <c r="C31" s="2" t="s">
        <v>277</v>
      </c>
      <c r="D31" s="3">
        <v>130</v>
      </c>
      <c r="E31" s="4">
        <f t="shared" si="1"/>
        <v>7020</v>
      </c>
    </row>
    <row r="32" spans="1:5" x14ac:dyDescent="0.25">
      <c r="A32" s="2" t="s">
        <v>29</v>
      </c>
      <c r="B32" s="2">
        <f>25+0.7</f>
        <v>25.7</v>
      </c>
      <c r="C32" s="2" t="s">
        <v>283</v>
      </c>
      <c r="D32" s="3">
        <v>480</v>
      </c>
      <c r="E32" s="4">
        <f t="shared" si="1"/>
        <v>12336</v>
      </c>
    </row>
    <row r="33" spans="1:5" x14ac:dyDescent="0.25">
      <c r="A33" s="2" t="s">
        <v>30</v>
      </c>
      <c r="B33" s="2">
        <v>0.5</v>
      </c>
      <c r="C33" s="2"/>
      <c r="D33" s="3">
        <v>500</v>
      </c>
      <c r="E33" s="4">
        <f t="shared" si="1"/>
        <v>250</v>
      </c>
    </row>
    <row r="34" spans="1:5" x14ac:dyDescent="0.25">
      <c r="A34" s="7" t="s">
        <v>269</v>
      </c>
      <c r="B34" s="2">
        <f>400.2</f>
        <v>400.2</v>
      </c>
      <c r="C34" s="2"/>
      <c r="D34" s="3">
        <v>102</v>
      </c>
      <c r="E34" s="4">
        <f>D34*B34</f>
        <v>40820.400000000001</v>
      </c>
    </row>
    <row r="35" spans="1:5" x14ac:dyDescent="0.25">
      <c r="A35" s="2" t="s">
        <v>31</v>
      </c>
      <c r="B35" s="2">
        <f>57.5</f>
        <v>57.5</v>
      </c>
      <c r="C35" s="2"/>
      <c r="D35" s="9">
        <v>53</v>
      </c>
      <c r="E35" s="4">
        <f>B35*D35</f>
        <v>3047.5</v>
      </c>
    </row>
    <row r="36" spans="1:5" x14ac:dyDescent="0.25">
      <c r="A36" s="2" t="s">
        <v>32</v>
      </c>
      <c r="B36" s="2"/>
      <c r="C36" s="2" t="s">
        <v>297</v>
      </c>
      <c r="D36" s="3">
        <v>135</v>
      </c>
      <c r="E36" s="4">
        <f>D36*59</f>
        <v>7965</v>
      </c>
    </row>
    <row r="37" spans="1:5" x14ac:dyDescent="0.25">
      <c r="A37" s="2" t="s">
        <v>33</v>
      </c>
      <c r="B37" s="2">
        <f>114.8+116.7+3.5+4.42</f>
        <v>239.42</v>
      </c>
      <c r="C37" s="2"/>
      <c r="D37" s="3">
        <v>170</v>
      </c>
      <c r="E37" s="4">
        <f>B37*D37</f>
        <v>40701.4</v>
      </c>
    </row>
    <row r="38" spans="1:5" x14ac:dyDescent="0.25">
      <c r="A38" s="2" t="s">
        <v>34</v>
      </c>
      <c r="B38" s="2">
        <f>1</f>
        <v>1</v>
      </c>
      <c r="C38" s="2"/>
      <c r="D38" s="3">
        <v>160</v>
      </c>
      <c r="E38" s="4">
        <f t="shared" ref="E38" si="2">B38*D38</f>
        <v>160</v>
      </c>
    </row>
    <row r="39" spans="1:5" x14ac:dyDescent="0.25">
      <c r="A39" s="2" t="s">
        <v>35</v>
      </c>
      <c r="B39" s="2">
        <f>2.46+5.3</f>
        <v>7.76</v>
      </c>
      <c r="C39" s="2"/>
      <c r="D39" s="3">
        <v>95</v>
      </c>
      <c r="E39" s="4">
        <f>B39*D39</f>
        <v>737.19999999999993</v>
      </c>
    </row>
    <row r="40" spans="1:5" x14ac:dyDescent="0.25">
      <c r="A40" s="2" t="s">
        <v>36</v>
      </c>
      <c r="B40" s="2">
        <f>2.22</f>
        <v>2.2200000000000002</v>
      </c>
      <c r="C40" s="2"/>
      <c r="D40" s="3">
        <v>83</v>
      </c>
      <c r="E40" s="4">
        <f>B40*D40</f>
        <v>184.26000000000002</v>
      </c>
    </row>
    <row r="41" spans="1:5" x14ac:dyDescent="0.25">
      <c r="A41" s="2" t="s">
        <v>37</v>
      </c>
      <c r="B41" s="2">
        <f>6</f>
        <v>6</v>
      </c>
      <c r="C41" s="2"/>
      <c r="D41" s="3">
        <v>173</v>
      </c>
      <c r="E41" s="4">
        <f>B41*D41</f>
        <v>1038</v>
      </c>
    </row>
    <row r="42" spans="1:5" x14ac:dyDescent="0.25">
      <c r="A42" s="2" t="s">
        <v>38</v>
      </c>
      <c r="B42" s="2">
        <f>4.52+0.75</f>
        <v>5.27</v>
      </c>
      <c r="C42" s="2"/>
      <c r="D42" s="3">
        <v>430</v>
      </c>
      <c r="E42" s="4">
        <f>B42*D42</f>
        <v>2266.1</v>
      </c>
    </row>
    <row r="43" spans="1:5" x14ac:dyDescent="0.25">
      <c r="A43" s="2" t="s">
        <v>39</v>
      </c>
      <c r="B43" s="2">
        <f>1.61+1.35</f>
        <v>2.96</v>
      </c>
      <c r="C43" s="2"/>
      <c r="D43" s="3">
        <v>125</v>
      </c>
      <c r="E43" s="4">
        <f>B43*D43</f>
        <v>370</v>
      </c>
    </row>
    <row r="44" spans="1:5" x14ac:dyDescent="0.25">
      <c r="A44" s="2" t="s">
        <v>40</v>
      </c>
      <c r="B44" s="2"/>
      <c r="C44" s="2" t="s">
        <v>308</v>
      </c>
      <c r="D44" s="3">
        <f>87/10</f>
        <v>8.6999999999999993</v>
      </c>
      <c r="E44" s="4">
        <f>D44*88</f>
        <v>765.59999999999991</v>
      </c>
    </row>
    <row r="45" spans="1:5" x14ac:dyDescent="0.25">
      <c r="A45" s="2" t="s">
        <v>41</v>
      </c>
      <c r="B45" s="2">
        <f>21.4+14.58+10</f>
        <v>45.98</v>
      </c>
      <c r="C45" s="2"/>
      <c r="D45" s="3">
        <v>240</v>
      </c>
      <c r="E45" s="4">
        <f t="shared" ref="E45:E51" si="3">B45*D45</f>
        <v>11035.199999999999</v>
      </c>
    </row>
    <row r="46" spans="1:5" x14ac:dyDescent="0.25">
      <c r="A46" s="2" t="s">
        <v>42</v>
      </c>
      <c r="B46" s="2">
        <f>85.5+13.6+13.8</f>
        <v>112.89999999999999</v>
      </c>
      <c r="C46" s="2"/>
      <c r="D46" s="3">
        <v>66</v>
      </c>
      <c r="E46" s="4">
        <f t="shared" si="3"/>
        <v>7451.4</v>
      </c>
    </row>
    <row r="47" spans="1:5" x14ac:dyDescent="0.25">
      <c r="A47" s="2" t="s">
        <v>43</v>
      </c>
      <c r="B47" s="2">
        <f>187+9.3+34.1+12.94</f>
        <v>243.34</v>
      </c>
      <c r="C47" s="2"/>
      <c r="D47" s="3">
        <v>138</v>
      </c>
      <c r="E47" s="4">
        <f t="shared" si="3"/>
        <v>33580.92</v>
      </c>
    </row>
    <row r="48" spans="1:5" x14ac:dyDescent="0.25">
      <c r="A48" s="2" t="s">
        <v>44</v>
      </c>
      <c r="B48" s="2">
        <f>2+1.7+5.422+5.422</f>
        <v>14.544</v>
      </c>
      <c r="C48" s="2"/>
      <c r="D48" s="3">
        <v>185</v>
      </c>
      <c r="E48" s="4">
        <f t="shared" si="3"/>
        <v>2690.64</v>
      </c>
    </row>
    <row r="49" spans="1:5" x14ac:dyDescent="0.25">
      <c r="A49" s="2" t="s">
        <v>292</v>
      </c>
      <c r="B49" s="2">
        <f>2.5+1.8</f>
        <v>4.3</v>
      </c>
      <c r="C49" s="2"/>
      <c r="D49" s="3">
        <v>120</v>
      </c>
      <c r="E49" s="4">
        <f t="shared" si="3"/>
        <v>516</v>
      </c>
    </row>
    <row r="50" spans="1:5" x14ac:dyDescent="0.25">
      <c r="A50" s="2" t="s">
        <v>45</v>
      </c>
      <c r="B50" s="2">
        <f>29.3+8.26</f>
        <v>37.56</v>
      </c>
      <c r="C50" s="2"/>
      <c r="D50" s="3">
        <v>100</v>
      </c>
      <c r="E50" s="4">
        <f t="shared" si="3"/>
        <v>3756</v>
      </c>
    </row>
    <row r="51" spans="1:5" x14ac:dyDescent="0.25">
      <c r="A51" s="2" t="s">
        <v>46</v>
      </c>
      <c r="B51" s="2">
        <f>7+108+9+0.43+0.54</f>
        <v>124.97000000000001</v>
      </c>
      <c r="C51" s="2" t="s">
        <v>275</v>
      </c>
      <c r="D51" s="3">
        <v>130</v>
      </c>
      <c r="E51" s="4">
        <f t="shared" si="3"/>
        <v>16246.100000000002</v>
      </c>
    </row>
    <row r="52" spans="1:5" x14ac:dyDescent="0.25">
      <c r="A52" s="2" t="s">
        <v>47</v>
      </c>
      <c r="B52" s="2"/>
      <c r="C52" s="2" t="s">
        <v>248</v>
      </c>
      <c r="D52" s="3">
        <v>90</v>
      </c>
      <c r="E52" s="4">
        <f>D52*5</f>
        <v>450</v>
      </c>
    </row>
    <row r="53" spans="1:5" x14ac:dyDescent="0.25">
      <c r="A53" s="2" t="s">
        <v>48</v>
      </c>
      <c r="B53" s="2"/>
      <c r="C53" s="2" t="s">
        <v>299</v>
      </c>
      <c r="D53" s="3">
        <v>199</v>
      </c>
      <c r="E53" s="4">
        <f>D53*17</f>
        <v>3383</v>
      </c>
    </row>
    <row r="54" spans="1:5" x14ac:dyDescent="0.25">
      <c r="A54" s="2" t="s">
        <v>49</v>
      </c>
      <c r="B54" s="2"/>
      <c r="C54" s="2" t="s">
        <v>288</v>
      </c>
      <c r="D54" s="3">
        <v>113</v>
      </c>
      <c r="E54" s="4">
        <f>D54*18</f>
        <v>2034</v>
      </c>
    </row>
    <row r="55" spans="1:5" x14ac:dyDescent="0.25">
      <c r="A55" s="2" t="s">
        <v>50</v>
      </c>
      <c r="B55" s="2"/>
      <c r="C55" s="2" t="s">
        <v>304</v>
      </c>
      <c r="D55" s="3">
        <v>44</v>
      </c>
      <c r="E55" s="4">
        <f>D55*20</f>
        <v>880</v>
      </c>
    </row>
    <row r="56" spans="1:5" x14ac:dyDescent="0.25">
      <c r="A56" s="2" t="s">
        <v>51</v>
      </c>
      <c r="B56" s="2">
        <f>4.5+10.15+9.52+12.5</f>
        <v>36.67</v>
      </c>
      <c r="C56" s="2"/>
      <c r="D56" s="3">
        <v>96</v>
      </c>
      <c r="E56" s="4">
        <f>D56*B56</f>
        <v>3520.32</v>
      </c>
    </row>
    <row r="57" spans="1:5" x14ac:dyDescent="0.25">
      <c r="A57" s="2" t="s">
        <v>52</v>
      </c>
      <c r="B57" s="2">
        <f>25.15+7.17+28.2</f>
        <v>60.519999999999996</v>
      </c>
      <c r="C57" s="2"/>
      <c r="D57" s="3">
        <v>80</v>
      </c>
      <c r="E57" s="4">
        <f t="shared" ref="E57:E68" si="4">B57*D57</f>
        <v>4841.5999999999995</v>
      </c>
    </row>
    <row r="58" spans="1:5" x14ac:dyDescent="0.25">
      <c r="A58" s="2" t="s">
        <v>53</v>
      </c>
      <c r="B58" s="2">
        <f>15.8+9.14+31.8+3.8</f>
        <v>60.54</v>
      </c>
      <c r="C58" s="2"/>
      <c r="D58" s="3">
        <v>100</v>
      </c>
      <c r="E58" s="4">
        <f t="shared" si="4"/>
        <v>6054</v>
      </c>
    </row>
    <row r="59" spans="1:5" x14ac:dyDescent="0.25">
      <c r="A59" s="2" t="s">
        <v>54</v>
      </c>
      <c r="B59" s="2">
        <f>11.47+59.7+10.3+30.28</f>
        <v>111.75</v>
      </c>
      <c r="C59" s="2"/>
      <c r="D59" s="3">
        <v>80</v>
      </c>
      <c r="E59" s="4">
        <f t="shared" si="4"/>
        <v>8940</v>
      </c>
    </row>
    <row r="60" spans="1:5" x14ac:dyDescent="0.25">
      <c r="A60" s="2" t="s">
        <v>55</v>
      </c>
      <c r="B60" s="2">
        <f>21.33+21.8+9.95+39.8</f>
        <v>92.88</v>
      </c>
      <c r="C60" s="2"/>
      <c r="D60" s="3">
        <v>80</v>
      </c>
      <c r="E60" s="4">
        <f t="shared" si="4"/>
        <v>7430.4</v>
      </c>
    </row>
    <row r="61" spans="1:5" x14ac:dyDescent="0.25">
      <c r="A61" s="2" t="s">
        <v>56</v>
      </c>
      <c r="B61" s="2">
        <v>23.9</v>
      </c>
      <c r="C61" s="2"/>
      <c r="D61" s="3">
        <v>198</v>
      </c>
      <c r="E61" s="4">
        <f t="shared" si="4"/>
        <v>4732.2</v>
      </c>
    </row>
    <row r="62" spans="1:5" x14ac:dyDescent="0.25">
      <c r="A62" s="2" t="s">
        <v>57</v>
      </c>
      <c r="B62" s="2">
        <f>31+4.3</f>
        <v>35.299999999999997</v>
      </c>
      <c r="C62" s="2"/>
      <c r="D62" s="3">
        <v>77</v>
      </c>
      <c r="E62" s="4">
        <f t="shared" si="4"/>
        <v>2718.1</v>
      </c>
    </row>
    <row r="63" spans="1:5" x14ac:dyDescent="0.25">
      <c r="A63" s="2" t="s">
        <v>58</v>
      </c>
      <c r="B63" s="2">
        <f>79.3+16+0.76+12.3+14.3+2.34</f>
        <v>125</v>
      </c>
      <c r="C63" s="2"/>
      <c r="D63" s="3">
        <v>78</v>
      </c>
      <c r="E63" s="4">
        <f t="shared" si="4"/>
        <v>9750</v>
      </c>
    </row>
    <row r="64" spans="1:5" x14ac:dyDescent="0.25">
      <c r="A64" s="2" t="s">
        <v>59</v>
      </c>
      <c r="B64" s="2">
        <v>10.8</v>
      </c>
      <c r="C64" s="2"/>
      <c r="D64" s="3">
        <v>198</v>
      </c>
      <c r="E64" s="4">
        <f t="shared" si="4"/>
        <v>2138.4</v>
      </c>
    </row>
    <row r="65" spans="1:5" x14ac:dyDescent="0.25">
      <c r="A65" s="2" t="s">
        <v>60</v>
      </c>
      <c r="B65" s="2">
        <f>115+597.6+4625+101.2+4.56+10.08</f>
        <v>5453.4400000000005</v>
      </c>
      <c r="C65" s="2"/>
      <c r="D65" s="3">
        <v>40</v>
      </c>
      <c r="E65" s="4">
        <f t="shared" si="4"/>
        <v>218137.60000000003</v>
      </c>
    </row>
    <row r="66" spans="1:5" x14ac:dyDescent="0.25">
      <c r="A66" s="2" t="s">
        <v>61</v>
      </c>
      <c r="B66" s="2">
        <f>2.4</f>
        <v>2.4</v>
      </c>
      <c r="C66" s="2"/>
      <c r="D66" s="3">
        <v>39</v>
      </c>
      <c r="E66" s="4">
        <f t="shared" si="4"/>
        <v>93.6</v>
      </c>
    </row>
    <row r="67" spans="1:5" x14ac:dyDescent="0.25">
      <c r="A67" s="2" t="s">
        <v>62</v>
      </c>
      <c r="B67" s="2">
        <f>2687+3623+888.1+879.1</f>
        <v>8077.2000000000007</v>
      </c>
      <c r="C67" s="2" t="s">
        <v>265</v>
      </c>
      <c r="D67" s="3">
        <v>41</v>
      </c>
      <c r="E67" s="4">
        <f t="shared" si="4"/>
        <v>331165.2</v>
      </c>
    </row>
    <row r="68" spans="1:5" x14ac:dyDescent="0.25">
      <c r="A68" s="2" t="s">
        <v>63</v>
      </c>
      <c r="B68" s="2">
        <f>2.35+4.24</f>
        <v>6.59</v>
      </c>
      <c r="C68" s="2"/>
      <c r="D68" s="3">
        <v>185</v>
      </c>
      <c r="E68" s="4">
        <f t="shared" si="4"/>
        <v>1219.1499999999999</v>
      </c>
    </row>
    <row r="69" spans="1:5" x14ac:dyDescent="0.25">
      <c r="A69" s="2" t="s">
        <v>64</v>
      </c>
      <c r="B69" s="2"/>
      <c r="C69" s="2" t="s">
        <v>290</v>
      </c>
      <c r="D69" s="3">
        <v>23</v>
      </c>
      <c r="E69" s="4">
        <f>D69*34</f>
        <v>782</v>
      </c>
    </row>
    <row r="70" spans="1:5" x14ac:dyDescent="0.25">
      <c r="A70" s="2" t="s">
        <v>65</v>
      </c>
      <c r="B70" s="2"/>
      <c r="C70" s="2" t="s">
        <v>289</v>
      </c>
      <c r="D70" s="3">
        <v>32</v>
      </c>
      <c r="E70" s="4">
        <f>D70*82</f>
        <v>2624</v>
      </c>
    </row>
    <row r="71" spans="1:5" x14ac:dyDescent="0.25">
      <c r="A71" s="2" t="s">
        <v>66</v>
      </c>
      <c r="B71" s="2">
        <f>334.21+101.9</f>
        <v>436.11</v>
      </c>
      <c r="C71" s="2" t="s">
        <v>263</v>
      </c>
      <c r="D71" s="3">
        <v>140</v>
      </c>
      <c r="E71" s="4">
        <f t="shared" ref="E71:E78" si="5">B71*D71</f>
        <v>61055.4</v>
      </c>
    </row>
    <row r="72" spans="1:5" x14ac:dyDescent="0.25">
      <c r="A72" s="2" t="s">
        <v>240</v>
      </c>
      <c r="B72" s="2">
        <f>192</f>
        <v>192</v>
      </c>
      <c r="C72" s="2"/>
      <c r="D72" s="3">
        <v>54</v>
      </c>
      <c r="E72" s="4">
        <f t="shared" si="5"/>
        <v>10368</v>
      </c>
    </row>
    <row r="73" spans="1:5" x14ac:dyDescent="0.25">
      <c r="A73" s="2" t="s">
        <v>67</v>
      </c>
      <c r="B73" s="2">
        <f>8.3+6.8+2.8</f>
        <v>17.900000000000002</v>
      </c>
      <c r="C73" s="2"/>
      <c r="D73" s="3">
        <v>138</v>
      </c>
      <c r="E73" s="4">
        <f t="shared" si="5"/>
        <v>2470.2000000000003</v>
      </c>
    </row>
    <row r="74" spans="1:5" x14ac:dyDescent="0.25">
      <c r="A74" s="2" t="s">
        <v>68</v>
      </c>
      <c r="B74" s="2">
        <f>8.975+30.68+22.67</f>
        <v>62.325000000000003</v>
      </c>
      <c r="C74" s="2"/>
      <c r="D74" s="3">
        <v>138</v>
      </c>
      <c r="E74" s="4">
        <f t="shared" si="5"/>
        <v>8600.85</v>
      </c>
    </row>
    <row r="75" spans="1:5" x14ac:dyDescent="0.25">
      <c r="A75" s="2" t="s">
        <v>69</v>
      </c>
      <c r="B75" s="2">
        <f>46.8+27.5+2.96+13.3+10.84</f>
        <v>101.39999999999999</v>
      </c>
      <c r="C75" s="2"/>
      <c r="D75" s="3">
        <v>88</v>
      </c>
      <c r="E75" s="4">
        <f t="shared" si="5"/>
        <v>8923.1999999999989</v>
      </c>
    </row>
    <row r="76" spans="1:5" x14ac:dyDescent="0.25">
      <c r="A76" s="2" t="s">
        <v>70</v>
      </c>
      <c r="B76" s="2">
        <f>14.6</f>
        <v>14.6</v>
      </c>
      <c r="C76" s="2"/>
      <c r="D76" s="3">
        <v>144</v>
      </c>
      <c r="E76" s="4">
        <f t="shared" si="5"/>
        <v>2102.4</v>
      </c>
    </row>
    <row r="77" spans="1:5" x14ac:dyDescent="0.25">
      <c r="A77" s="2" t="s">
        <v>71</v>
      </c>
      <c r="B77" s="2">
        <f>2.43+11.6+5.66</f>
        <v>19.689999999999998</v>
      </c>
      <c r="C77" s="2"/>
      <c r="D77" s="3">
        <v>95</v>
      </c>
      <c r="E77" s="4">
        <f t="shared" si="5"/>
        <v>1870.5499999999997</v>
      </c>
    </row>
    <row r="78" spans="1:5" x14ac:dyDescent="0.25">
      <c r="A78" s="2" t="s">
        <v>72</v>
      </c>
      <c r="B78" s="2">
        <f>6+1.43+0.724</f>
        <v>8.1539999999999999</v>
      </c>
      <c r="C78" s="2"/>
      <c r="D78" s="3">
        <v>700</v>
      </c>
      <c r="E78" s="4">
        <f t="shared" si="5"/>
        <v>5707.8</v>
      </c>
    </row>
    <row r="79" spans="1:5" x14ac:dyDescent="0.25">
      <c r="A79" s="2" t="s">
        <v>73</v>
      </c>
      <c r="B79" s="2"/>
      <c r="C79" s="2" t="s">
        <v>243</v>
      </c>
      <c r="D79" s="3">
        <v>80.33</v>
      </c>
      <c r="E79" s="4">
        <f>D79</f>
        <v>80.33</v>
      </c>
    </row>
    <row r="80" spans="1:5" x14ac:dyDescent="0.25">
      <c r="A80" s="2" t="s">
        <v>74</v>
      </c>
      <c r="B80" s="2">
        <f>41+6+1</f>
        <v>48</v>
      </c>
      <c r="C80" s="2"/>
      <c r="D80" s="3">
        <v>70</v>
      </c>
      <c r="E80" s="4">
        <f>D80*B80</f>
        <v>3360</v>
      </c>
    </row>
    <row r="81" spans="1:5" x14ac:dyDescent="0.25">
      <c r="A81" s="2" t="s">
        <v>75</v>
      </c>
      <c r="B81" s="2">
        <f>742.3</f>
        <v>742.3</v>
      </c>
      <c r="C81" s="2"/>
      <c r="D81" s="3">
        <v>38</v>
      </c>
      <c r="E81" s="4">
        <f t="shared" ref="E81:E99" si="6">B81*D81</f>
        <v>28207.399999999998</v>
      </c>
    </row>
    <row r="82" spans="1:5" x14ac:dyDescent="0.25">
      <c r="A82" s="2" t="s">
        <v>76</v>
      </c>
      <c r="B82" s="2">
        <f>33.7</f>
        <v>33.700000000000003</v>
      </c>
      <c r="C82" s="2"/>
      <c r="D82" s="3">
        <v>38</v>
      </c>
      <c r="E82" s="4">
        <f t="shared" si="6"/>
        <v>1280.6000000000001</v>
      </c>
    </row>
    <row r="83" spans="1:5" x14ac:dyDescent="0.25">
      <c r="A83" s="2" t="s">
        <v>77</v>
      </c>
      <c r="B83" s="2">
        <f>3.75</f>
        <v>3.75</v>
      </c>
      <c r="C83" s="2"/>
      <c r="D83" s="3">
        <v>204</v>
      </c>
      <c r="E83" s="4">
        <f t="shared" si="6"/>
        <v>765</v>
      </c>
    </row>
    <row r="84" spans="1:5" x14ac:dyDescent="0.25">
      <c r="A84" s="2" t="s">
        <v>78</v>
      </c>
      <c r="B84" s="2">
        <f>0.25+0.25+0.5+1.146*4+3.58+0.56</f>
        <v>9.7240000000000002</v>
      </c>
      <c r="C84" s="2" t="s">
        <v>296</v>
      </c>
      <c r="D84" s="3">
        <v>336.5</v>
      </c>
      <c r="E84" s="4">
        <f t="shared" si="6"/>
        <v>3272.1260000000002</v>
      </c>
    </row>
    <row r="85" spans="1:5" x14ac:dyDescent="0.25">
      <c r="A85" s="7" t="s">
        <v>262</v>
      </c>
      <c r="B85" s="2">
        <f>120.9+2.5</f>
        <v>123.4</v>
      </c>
      <c r="C85" s="2"/>
      <c r="D85" s="9">
        <v>70</v>
      </c>
      <c r="E85" s="3">
        <f t="shared" si="6"/>
        <v>8638</v>
      </c>
    </row>
    <row r="86" spans="1:5" x14ac:dyDescent="0.25">
      <c r="A86" s="2" t="s">
        <v>79</v>
      </c>
      <c r="B86" s="2">
        <f>28.7+80.5</f>
        <v>109.2</v>
      </c>
      <c r="C86" s="2"/>
      <c r="D86" s="3">
        <v>138</v>
      </c>
      <c r="E86" s="4">
        <f t="shared" si="6"/>
        <v>15069.6</v>
      </c>
    </row>
    <row r="87" spans="1:5" x14ac:dyDescent="0.25">
      <c r="A87" s="2" t="s">
        <v>80</v>
      </c>
      <c r="B87" s="2">
        <f>23.3+13.2</f>
        <v>36.5</v>
      </c>
      <c r="C87" s="2"/>
      <c r="D87" s="3">
        <v>115</v>
      </c>
      <c r="E87" s="4">
        <f t="shared" si="6"/>
        <v>4197.5</v>
      </c>
    </row>
    <row r="88" spans="1:5" x14ac:dyDescent="0.25">
      <c r="A88" s="2" t="s">
        <v>81</v>
      </c>
      <c r="B88" s="2">
        <f>92.3+26.4</f>
        <v>118.69999999999999</v>
      </c>
      <c r="C88" s="2"/>
      <c r="D88" s="3">
        <v>60</v>
      </c>
      <c r="E88" s="4">
        <f t="shared" si="6"/>
        <v>7121.9999999999991</v>
      </c>
    </row>
    <row r="89" spans="1:5" x14ac:dyDescent="0.25">
      <c r="A89" s="2" t="s">
        <v>82</v>
      </c>
      <c r="B89" s="2">
        <f>53+9.8+35.6+4.286+14.3+13.8+3.68</f>
        <v>134.46600000000001</v>
      </c>
      <c r="C89" s="2"/>
      <c r="D89" s="3">
        <v>59</v>
      </c>
      <c r="E89" s="4">
        <f t="shared" si="6"/>
        <v>7933.4940000000006</v>
      </c>
    </row>
    <row r="90" spans="1:5" x14ac:dyDescent="0.25">
      <c r="A90" s="2" t="s">
        <v>83</v>
      </c>
      <c r="B90" s="2">
        <f>45.2+5.3</f>
        <v>50.5</v>
      </c>
      <c r="C90" s="2"/>
      <c r="D90" s="3">
        <v>100</v>
      </c>
      <c r="E90" s="4">
        <f t="shared" si="6"/>
        <v>5050</v>
      </c>
    </row>
    <row r="91" spans="1:5" x14ac:dyDescent="0.25">
      <c r="A91" s="2" t="s">
        <v>84</v>
      </c>
      <c r="B91" s="2">
        <f>551+2.5+6.44</f>
        <v>559.94000000000005</v>
      </c>
      <c r="C91" s="2"/>
      <c r="D91" s="3">
        <v>100</v>
      </c>
      <c r="E91" s="4">
        <f t="shared" si="6"/>
        <v>55994.000000000007</v>
      </c>
    </row>
    <row r="92" spans="1:5" x14ac:dyDescent="0.25">
      <c r="A92" s="2" t="s">
        <v>85</v>
      </c>
      <c r="B92" s="2">
        <f>97.3+456.2</f>
        <v>553.5</v>
      </c>
      <c r="C92" s="2"/>
      <c r="D92" s="3">
        <v>270</v>
      </c>
      <c r="E92" s="4">
        <f t="shared" si="6"/>
        <v>149445</v>
      </c>
    </row>
    <row r="93" spans="1:5" x14ac:dyDescent="0.25">
      <c r="A93" s="2" t="s">
        <v>86</v>
      </c>
      <c r="B93" s="2">
        <f>16.3+5.2</f>
        <v>21.5</v>
      </c>
      <c r="C93" s="2"/>
      <c r="D93" s="3">
        <v>130</v>
      </c>
      <c r="E93" s="4">
        <f t="shared" si="6"/>
        <v>2795</v>
      </c>
    </row>
    <row r="94" spans="1:5" x14ac:dyDescent="0.25">
      <c r="A94" s="2" t="s">
        <v>87</v>
      </c>
      <c r="B94" s="2">
        <f>175.5+33.44</f>
        <v>208.94</v>
      </c>
      <c r="C94" s="2" t="s">
        <v>282</v>
      </c>
      <c r="D94" s="3">
        <v>65</v>
      </c>
      <c r="E94" s="4">
        <f t="shared" si="6"/>
        <v>13581.1</v>
      </c>
    </row>
    <row r="95" spans="1:5" x14ac:dyDescent="0.25">
      <c r="A95" s="2" t="s">
        <v>88</v>
      </c>
      <c r="B95" s="2">
        <f>3+1.98</f>
        <v>4.9800000000000004</v>
      </c>
      <c r="C95" s="2"/>
      <c r="D95" s="3">
        <v>76</v>
      </c>
      <c r="E95" s="4">
        <f t="shared" si="6"/>
        <v>378.48</v>
      </c>
    </row>
    <row r="96" spans="1:5" x14ac:dyDescent="0.25">
      <c r="A96" s="2" t="s">
        <v>89</v>
      </c>
      <c r="B96" s="2">
        <f>66.4</f>
        <v>66.400000000000006</v>
      </c>
      <c r="C96" s="2"/>
      <c r="D96" s="3">
        <v>18</v>
      </c>
      <c r="E96" s="4">
        <f t="shared" si="6"/>
        <v>1195.2</v>
      </c>
    </row>
    <row r="97" spans="1:5" x14ac:dyDescent="0.25">
      <c r="A97" s="2" t="s">
        <v>90</v>
      </c>
      <c r="B97" s="2">
        <f>1+15.8+7.22</f>
        <v>24.02</v>
      </c>
      <c r="C97" s="2"/>
      <c r="D97" s="3">
        <v>110</v>
      </c>
      <c r="E97" s="4">
        <f t="shared" si="6"/>
        <v>2642.2</v>
      </c>
    </row>
    <row r="98" spans="1:5" x14ac:dyDescent="0.25">
      <c r="A98" s="2" t="s">
        <v>91</v>
      </c>
      <c r="B98" s="2">
        <f>1+14.3+1.04</f>
        <v>16.34</v>
      </c>
      <c r="C98" s="2"/>
      <c r="D98" s="3">
        <v>148</v>
      </c>
      <c r="E98" s="4">
        <f t="shared" si="6"/>
        <v>2418.3200000000002</v>
      </c>
    </row>
    <row r="99" spans="1:5" x14ac:dyDescent="0.25">
      <c r="A99" s="2" t="s">
        <v>92</v>
      </c>
      <c r="B99" s="2">
        <f>102+6+0.56</f>
        <v>108.56</v>
      </c>
      <c r="C99" s="2" t="s">
        <v>268</v>
      </c>
      <c r="D99" s="3">
        <v>148</v>
      </c>
      <c r="E99" s="4">
        <f t="shared" si="6"/>
        <v>16066.880000000001</v>
      </c>
    </row>
    <row r="100" spans="1:5" x14ac:dyDescent="0.25">
      <c r="A100" s="7" t="s">
        <v>261</v>
      </c>
      <c r="B100" s="2"/>
      <c r="C100" s="2" t="s">
        <v>254</v>
      </c>
      <c r="D100" s="9">
        <v>165</v>
      </c>
      <c r="E100" s="4">
        <f>D100*9</f>
        <v>1485</v>
      </c>
    </row>
    <row r="101" spans="1:5" x14ac:dyDescent="0.25">
      <c r="A101" s="2" t="s">
        <v>93</v>
      </c>
      <c r="B101" s="2">
        <f>125+55+12.5+6.35+30</f>
        <v>228.85</v>
      </c>
      <c r="C101" s="2"/>
      <c r="D101" s="3">
        <v>3</v>
      </c>
      <c r="E101" s="4">
        <f t="shared" ref="E101:E123" si="7">B101*D101</f>
        <v>686.55</v>
      </c>
    </row>
    <row r="102" spans="1:5" x14ac:dyDescent="0.25">
      <c r="A102" s="2" t="s">
        <v>94</v>
      </c>
      <c r="B102" s="2">
        <f>6.3</f>
        <v>6.3</v>
      </c>
      <c r="C102" s="2"/>
      <c r="D102" s="3">
        <v>10</v>
      </c>
      <c r="E102" s="4">
        <f t="shared" si="7"/>
        <v>63</v>
      </c>
    </row>
    <row r="103" spans="1:5" x14ac:dyDescent="0.25">
      <c r="A103" s="2" t="s">
        <v>95</v>
      </c>
      <c r="B103" s="2">
        <f>13.58+35.8+4.47+2.45</f>
        <v>56.3</v>
      </c>
      <c r="C103" s="2"/>
      <c r="D103" s="3">
        <v>90</v>
      </c>
      <c r="E103" s="4">
        <f t="shared" si="7"/>
        <v>5067</v>
      </c>
    </row>
    <row r="104" spans="1:5" x14ac:dyDescent="0.25">
      <c r="A104" s="2" t="s">
        <v>96</v>
      </c>
      <c r="B104" s="2">
        <f>10.28+20.445+3.9</f>
        <v>34.625</v>
      </c>
      <c r="C104" s="2"/>
      <c r="D104" s="3">
        <v>100</v>
      </c>
      <c r="E104" s="4">
        <f t="shared" si="7"/>
        <v>3462.5</v>
      </c>
    </row>
    <row r="105" spans="1:5" x14ac:dyDescent="0.25">
      <c r="A105" s="2" t="s">
        <v>97</v>
      </c>
      <c r="B105" s="2">
        <f>12.12</f>
        <v>12.12</v>
      </c>
      <c r="C105" s="2"/>
      <c r="D105" s="3">
        <v>58</v>
      </c>
      <c r="E105" s="4">
        <f t="shared" si="7"/>
        <v>702.95999999999992</v>
      </c>
    </row>
    <row r="106" spans="1:5" x14ac:dyDescent="0.25">
      <c r="A106" s="2" t="s">
        <v>98</v>
      </c>
      <c r="B106" s="2">
        <f>10+2.5+14.845</f>
        <v>27.344999999999999</v>
      </c>
      <c r="C106" s="2"/>
      <c r="D106" s="3">
        <v>145</v>
      </c>
      <c r="E106" s="4">
        <f t="shared" si="7"/>
        <v>3965.0249999999996</v>
      </c>
    </row>
    <row r="107" spans="1:5" x14ac:dyDescent="0.25">
      <c r="A107" s="2" t="s">
        <v>99</v>
      </c>
      <c r="B107" s="2">
        <f>3.52+21.03+0.836</f>
        <v>25.385999999999999</v>
      </c>
      <c r="C107" s="2"/>
      <c r="D107" s="3">
        <v>90</v>
      </c>
      <c r="E107" s="4">
        <f t="shared" si="7"/>
        <v>2284.7399999999998</v>
      </c>
    </row>
    <row r="108" spans="1:5" x14ac:dyDescent="0.25">
      <c r="A108" s="2" t="s">
        <v>100</v>
      </c>
      <c r="B108" s="2">
        <f>55.66</f>
        <v>55.66</v>
      </c>
      <c r="C108" s="2"/>
      <c r="D108" s="3">
        <v>118</v>
      </c>
      <c r="E108" s="4">
        <f t="shared" si="7"/>
        <v>6567.8799999999992</v>
      </c>
    </row>
    <row r="109" spans="1:5" x14ac:dyDescent="0.25">
      <c r="A109" s="2" t="s">
        <v>101</v>
      </c>
      <c r="B109" s="2">
        <f>3.98+1.65+5.18+1.7</f>
        <v>12.509999999999998</v>
      </c>
      <c r="C109" s="2"/>
      <c r="D109" s="3">
        <v>116</v>
      </c>
      <c r="E109" s="4">
        <f t="shared" si="7"/>
        <v>1451.1599999999999</v>
      </c>
    </row>
    <row r="110" spans="1:5" x14ac:dyDescent="0.25">
      <c r="A110" s="2" t="s">
        <v>310</v>
      </c>
      <c r="B110" s="2">
        <f>3.985+3.69</f>
        <v>7.6749999999999998</v>
      </c>
      <c r="C110" s="2"/>
      <c r="D110" s="9">
        <v>150</v>
      </c>
      <c r="E110" s="4">
        <f t="shared" si="7"/>
        <v>1151.25</v>
      </c>
    </row>
    <row r="111" spans="1:5" x14ac:dyDescent="0.25">
      <c r="A111" s="2" t="s">
        <v>102</v>
      </c>
      <c r="B111" s="2">
        <f>6.06+1.22</f>
        <v>7.2799999999999994</v>
      </c>
      <c r="C111" s="2"/>
      <c r="D111" s="3">
        <v>410</v>
      </c>
      <c r="E111" s="4">
        <f t="shared" si="7"/>
        <v>2984.7999999999997</v>
      </c>
    </row>
    <row r="112" spans="1:5" x14ac:dyDescent="0.25">
      <c r="A112" s="2" t="s">
        <v>103</v>
      </c>
      <c r="B112" s="2">
        <f>505+417.5</f>
        <v>922.5</v>
      </c>
      <c r="C112" s="2"/>
      <c r="D112" s="3">
        <v>58</v>
      </c>
      <c r="E112" s="4">
        <f t="shared" si="7"/>
        <v>53505</v>
      </c>
    </row>
    <row r="113" spans="1:5" x14ac:dyDescent="0.25">
      <c r="A113" s="2" t="s">
        <v>104</v>
      </c>
      <c r="B113" s="2">
        <f>5.22+5.88</f>
        <v>11.1</v>
      </c>
      <c r="C113" s="2"/>
      <c r="D113" s="3">
        <v>471.41</v>
      </c>
      <c r="E113" s="4">
        <f t="shared" si="7"/>
        <v>5232.6509999999998</v>
      </c>
    </row>
    <row r="114" spans="1:5" x14ac:dyDescent="0.25">
      <c r="A114" s="2" t="s">
        <v>105</v>
      </c>
      <c r="B114" s="2">
        <f>3+0.745+7</f>
        <v>10.745000000000001</v>
      </c>
      <c r="C114" s="2"/>
      <c r="D114" s="3">
        <v>592.32000000000005</v>
      </c>
      <c r="E114" s="4">
        <f t="shared" si="7"/>
        <v>6364.4784000000009</v>
      </c>
    </row>
    <row r="115" spans="1:5" x14ac:dyDescent="0.25">
      <c r="A115" s="7" t="s">
        <v>255</v>
      </c>
      <c r="B115" s="2">
        <f>1.52+0.86+10.98</f>
        <v>13.36</v>
      </c>
      <c r="C115" s="2"/>
      <c r="D115" s="9">
        <v>675</v>
      </c>
      <c r="E115" s="4">
        <f t="shared" si="7"/>
        <v>9018</v>
      </c>
    </row>
    <row r="116" spans="1:5" x14ac:dyDescent="0.25">
      <c r="A116" s="2" t="s">
        <v>106</v>
      </c>
      <c r="B116" s="2">
        <f>9.82+14.48+11.34+2.5</f>
        <v>38.14</v>
      </c>
      <c r="C116" s="2"/>
      <c r="D116" s="3">
        <f>465/5</f>
        <v>93</v>
      </c>
      <c r="E116" s="4">
        <f t="shared" si="7"/>
        <v>3547.02</v>
      </c>
    </row>
    <row r="117" spans="1:5" x14ac:dyDescent="0.25">
      <c r="A117" s="2" t="s">
        <v>107</v>
      </c>
      <c r="B117" s="2">
        <f>20.49+66+3.7</f>
        <v>90.19</v>
      </c>
      <c r="C117" s="2"/>
      <c r="D117" s="3">
        <v>98</v>
      </c>
      <c r="E117" s="4">
        <f t="shared" si="7"/>
        <v>8838.619999999999</v>
      </c>
    </row>
    <row r="118" spans="1:5" x14ac:dyDescent="0.25">
      <c r="A118" s="2" t="s">
        <v>108</v>
      </c>
      <c r="B118" s="2">
        <f>10.8+1.3</f>
        <v>12.100000000000001</v>
      </c>
      <c r="C118" s="2"/>
      <c r="D118" s="3">
        <v>400</v>
      </c>
      <c r="E118" s="4">
        <f t="shared" si="7"/>
        <v>4840.0000000000009</v>
      </c>
    </row>
    <row r="119" spans="1:5" x14ac:dyDescent="0.25">
      <c r="A119" s="2" t="s">
        <v>109</v>
      </c>
      <c r="B119" s="2">
        <f>101.3+5.45+10.3</f>
        <v>117.05</v>
      </c>
      <c r="C119" s="2"/>
      <c r="D119" s="3">
        <v>120</v>
      </c>
      <c r="E119" s="4">
        <f t="shared" si="7"/>
        <v>14046</v>
      </c>
    </row>
    <row r="120" spans="1:5" x14ac:dyDescent="0.25">
      <c r="A120" s="7" t="s">
        <v>251</v>
      </c>
      <c r="B120" s="2">
        <f>0.28</f>
        <v>0.28000000000000003</v>
      </c>
      <c r="C120" s="2"/>
      <c r="D120" s="9">
        <v>500</v>
      </c>
      <c r="E120" s="4">
        <f t="shared" si="7"/>
        <v>140</v>
      </c>
    </row>
    <row r="121" spans="1:5" x14ac:dyDescent="0.25">
      <c r="A121" s="2" t="s">
        <v>110</v>
      </c>
      <c r="B121" s="2">
        <f>16.45+15.3</f>
        <v>31.75</v>
      </c>
      <c r="C121" s="2"/>
      <c r="D121" s="3">
        <v>84</v>
      </c>
      <c r="E121" s="4">
        <f t="shared" si="7"/>
        <v>2667</v>
      </c>
    </row>
    <row r="122" spans="1:5" x14ac:dyDescent="0.25">
      <c r="A122" s="2" t="s">
        <v>111</v>
      </c>
      <c r="B122" s="2">
        <f>11.47+25.3+47.7+8.38</f>
        <v>92.85</v>
      </c>
      <c r="C122" s="2"/>
      <c r="D122" s="3">
        <v>50</v>
      </c>
      <c r="E122" s="4">
        <f t="shared" si="7"/>
        <v>4642.5</v>
      </c>
    </row>
    <row r="123" spans="1:5" x14ac:dyDescent="0.25">
      <c r="A123" s="2" t="s">
        <v>112</v>
      </c>
      <c r="B123" s="2">
        <f>8+14.66</f>
        <v>22.66</v>
      </c>
      <c r="C123" s="2"/>
      <c r="D123" s="3">
        <v>450</v>
      </c>
      <c r="E123" s="4">
        <f t="shared" si="7"/>
        <v>10197</v>
      </c>
    </row>
    <row r="124" spans="1:5" x14ac:dyDescent="0.25">
      <c r="A124" s="2" t="s">
        <v>113</v>
      </c>
      <c r="B124" s="2"/>
      <c r="C124" s="2" t="s">
        <v>254</v>
      </c>
      <c r="D124" s="3">
        <v>28</v>
      </c>
      <c r="E124" s="4">
        <f>D124*9</f>
        <v>252</v>
      </c>
    </row>
    <row r="125" spans="1:5" x14ac:dyDescent="0.25">
      <c r="A125" s="2" t="s">
        <v>114</v>
      </c>
      <c r="B125" s="2"/>
      <c r="C125" s="2" t="s">
        <v>301</v>
      </c>
      <c r="D125" s="3">
        <v>25</v>
      </c>
      <c r="E125" s="4">
        <f>D125*24</f>
        <v>600</v>
      </c>
    </row>
    <row r="126" spans="1:5" x14ac:dyDescent="0.25">
      <c r="A126" s="2" t="s">
        <v>115</v>
      </c>
      <c r="B126" s="2">
        <f>89+25.8+5.95+27.6+2.84</f>
        <v>151.19</v>
      </c>
      <c r="C126" s="2"/>
      <c r="D126" s="3">
        <v>40</v>
      </c>
      <c r="E126" s="4">
        <f>B126*D126</f>
        <v>6047.6</v>
      </c>
    </row>
    <row r="127" spans="1:5" x14ac:dyDescent="0.25">
      <c r="A127" s="2" t="s">
        <v>116</v>
      </c>
      <c r="B127" s="2">
        <f>42+14.5+30</f>
        <v>86.5</v>
      </c>
      <c r="C127" s="2"/>
      <c r="D127" s="3">
        <v>65</v>
      </c>
      <c r="E127" s="4">
        <f>B127*D127</f>
        <v>5622.5</v>
      </c>
    </row>
    <row r="128" spans="1:5" x14ac:dyDescent="0.25">
      <c r="A128" s="2" t="s">
        <v>117</v>
      </c>
      <c r="B128" s="2"/>
      <c r="C128" s="2" t="s">
        <v>245</v>
      </c>
      <c r="D128" s="3">
        <v>100</v>
      </c>
      <c r="E128" s="4">
        <f>D128*4</f>
        <v>400</v>
      </c>
    </row>
    <row r="129" spans="1:5" x14ac:dyDescent="0.25">
      <c r="A129" s="2" t="s">
        <v>118</v>
      </c>
      <c r="B129" s="2"/>
      <c r="C129" s="2" t="s">
        <v>248</v>
      </c>
      <c r="D129" s="3">
        <v>65</v>
      </c>
      <c r="E129" s="4">
        <f>D129*5</f>
        <v>325</v>
      </c>
    </row>
    <row r="130" spans="1:5" x14ac:dyDescent="0.25">
      <c r="A130" s="2" t="s">
        <v>119</v>
      </c>
      <c r="B130" s="2"/>
      <c r="C130" s="2" t="s">
        <v>306</v>
      </c>
      <c r="D130" s="3">
        <f>270/20</f>
        <v>13.5</v>
      </c>
      <c r="E130" s="4">
        <f>D130*16</f>
        <v>216</v>
      </c>
    </row>
    <row r="131" spans="1:5" x14ac:dyDescent="0.25">
      <c r="A131" s="2" t="s">
        <v>120</v>
      </c>
      <c r="B131" s="2"/>
      <c r="C131" s="2" t="s">
        <v>248</v>
      </c>
      <c r="D131" s="3">
        <v>70</v>
      </c>
      <c r="E131" s="4">
        <f>D131*5</f>
        <v>350</v>
      </c>
    </row>
    <row r="132" spans="1:5" x14ac:dyDescent="0.25">
      <c r="A132" s="2" t="s">
        <v>121</v>
      </c>
      <c r="B132" s="2"/>
      <c r="C132" s="2" t="s">
        <v>250</v>
      </c>
      <c r="D132" s="3">
        <v>80</v>
      </c>
      <c r="E132" s="4">
        <f>D132*6</f>
        <v>480</v>
      </c>
    </row>
    <row r="133" spans="1:5" x14ac:dyDescent="0.25">
      <c r="A133" s="2" t="s">
        <v>122</v>
      </c>
      <c r="B133" s="2"/>
      <c r="C133" s="2" t="s">
        <v>250</v>
      </c>
      <c r="D133" s="3">
        <v>54.78</v>
      </c>
      <c r="E133" s="4">
        <f>D133*6</f>
        <v>328.68</v>
      </c>
    </row>
    <row r="134" spans="1:5" x14ac:dyDescent="0.25">
      <c r="A134" s="2" t="s">
        <v>123</v>
      </c>
      <c r="B134" s="2">
        <f>2.2+1</f>
        <v>3.2</v>
      </c>
      <c r="C134" s="2"/>
      <c r="D134" s="3">
        <v>165</v>
      </c>
      <c r="E134" s="4">
        <f>B134*D134</f>
        <v>528</v>
      </c>
    </row>
    <row r="135" spans="1:5" x14ac:dyDescent="0.25">
      <c r="A135" s="2" t="s">
        <v>124</v>
      </c>
      <c r="B135" s="2">
        <f>11</f>
        <v>11</v>
      </c>
      <c r="C135" s="2"/>
      <c r="D135" s="3">
        <v>59</v>
      </c>
      <c r="E135" s="4">
        <f>B135*D135</f>
        <v>649</v>
      </c>
    </row>
    <row r="136" spans="1:5" x14ac:dyDescent="0.25">
      <c r="A136" s="2" t="s">
        <v>125</v>
      </c>
      <c r="B136" s="2">
        <f>6.04+11.8</f>
        <v>17.84</v>
      </c>
      <c r="C136" s="2"/>
      <c r="D136" s="3">
        <v>83</v>
      </c>
      <c r="E136" s="4">
        <f>B136*D136</f>
        <v>1480.72</v>
      </c>
    </row>
    <row r="137" spans="1:5" x14ac:dyDescent="0.25">
      <c r="A137" s="2" t="s">
        <v>126</v>
      </c>
      <c r="B137" s="2">
        <f>6+3.3</f>
        <v>9.3000000000000007</v>
      </c>
      <c r="C137" s="2"/>
      <c r="D137" s="3">
        <v>173</v>
      </c>
      <c r="E137" s="4">
        <f>B137*D137</f>
        <v>1608.9</v>
      </c>
    </row>
    <row r="138" spans="1:5" x14ac:dyDescent="0.25">
      <c r="A138" s="2" t="s">
        <v>127</v>
      </c>
      <c r="B138" s="2">
        <f>4.02+16.3</f>
        <v>20.32</v>
      </c>
      <c r="C138" s="2"/>
      <c r="D138" s="3">
        <v>83</v>
      </c>
      <c r="E138" s="4">
        <f>B138*D138</f>
        <v>1686.56</v>
      </c>
    </row>
    <row r="139" spans="1:5" x14ac:dyDescent="0.25">
      <c r="A139" s="2" t="s">
        <v>128</v>
      </c>
      <c r="B139" s="2"/>
      <c r="C139" s="2" t="s">
        <v>247</v>
      </c>
      <c r="D139" s="3">
        <v>48</v>
      </c>
      <c r="E139" s="4">
        <f>D139*2</f>
        <v>96</v>
      </c>
    </row>
    <row r="140" spans="1:5" x14ac:dyDescent="0.25">
      <c r="A140" s="2" t="s">
        <v>129</v>
      </c>
      <c r="B140" s="2">
        <v>22.4</v>
      </c>
      <c r="C140" s="2"/>
      <c r="D140" s="3">
        <v>198</v>
      </c>
      <c r="E140" s="4">
        <f>B140*D140</f>
        <v>4435.2</v>
      </c>
    </row>
    <row r="141" spans="1:5" x14ac:dyDescent="0.25">
      <c r="A141" s="2" t="s">
        <v>130</v>
      </c>
      <c r="B141" s="2">
        <f>7.8+3.146</f>
        <v>10.946</v>
      </c>
      <c r="C141" s="2"/>
      <c r="D141" s="3">
        <v>600</v>
      </c>
      <c r="E141" s="4">
        <f>B141*D141</f>
        <v>6567.5999999999995</v>
      </c>
    </row>
    <row r="142" spans="1:5" x14ac:dyDescent="0.25">
      <c r="A142" s="7" t="s">
        <v>241</v>
      </c>
      <c r="B142" s="2">
        <f>2.84</f>
        <v>2.84</v>
      </c>
      <c r="C142" s="2"/>
      <c r="D142" s="3">
        <v>695</v>
      </c>
      <c r="E142" s="4">
        <f>B142*D142</f>
        <v>1973.8</v>
      </c>
    </row>
    <row r="143" spans="1:5" x14ac:dyDescent="0.25">
      <c r="A143" s="2" t="s">
        <v>131</v>
      </c>
      <c r="B143" s="2">
        <f>8.3-2</f>
        <v>6.3000000000000007</v>
      </c>
      <c r="C143" s="2"/>
      <c r="D143" s="3">
        <v>152</v>
      </c>
      <c r="E143" s="4">
        <f>B143*D143</f>
        <v>957.60000000000014</v>
      </c>
    </row>
    <row r="144" spans="1:5" x14ac:dyDescent="0.25">
      <c r="A144" s="2" t="s">
        <v>132</v>
      </c>
      <c r="B144" s="2">
        <f>150+2.5+10+0.264+9.1+0.5*14</f>
        <v>178.864</v>
      </c>
      <c r="C144" s="2" t="s">
        <v>295</v>
      </c>
      <c r="D144" s="3">
        <v>200</v>
      </c>
      <c r="E144" s="4">
        <f>B144*D144</f>
        <v>35772.800000000003</v>
      </c>
    </row>
    <row r="145" spans="1:5" x14ac:dyDescent="0.25">
      <c r="A145" s="2" t="s">
        <v>133</v>
      </c>
      <c r="B145" s="2"/>
      <c r="C145" s="2" t="s">
        <v>249</v>
      </c>
      <c r="D145" s="3">
        <v>43</v>
      </c>
      <c r="E145" s="4">
        <f>D145*7</f>
        <v>301</v>
      </c>
    </row>
    <row r="146" spans="1:5" x14ac:dyDescent="0.25">
      <c r="A146" s="2" t="s">
        <v>134</v>
      </c>
      <c r="B146" s="2"/>
      <c r="C146" s="2" t="s">
        <v>246</v>
      </c>
      <c r="D146" s="3">
        <v>22.96</v>
      </c>
      <c r="E146" s="4">
        <f>D146*8</f>
        <v>183.68</v>
      </c>
    </row>
    <row r="147" spans="1:5" x14ac:dyDescent="0.25">
      <c r="A147" s="2" t="s">
        <v>135</v>
      </c>
      <c r="B147" s="2">
        <f>163.32+34.2+8.545+25.9+5.8</f>
        <v>237.76499999999999</v>
      </c>
      <c r="C147" s="2" t="s">
        <v>280</v>
      </c>
      <c r="D147" s="3">
        <v>78</v>
      </c>
      <c r="E147" s="4">
        <f>B147*D147</f>
        <v>18545.669999999998</v>
      </c>
    </row>
    <row r="148" spans="1:5" x14ac:dyDescent="0.25">
      <c r="A148" s="2" t="s">
        <v>136</v>
      </c>
      <c r="B148" s="2">
        <f>50+2+66.6+2.5*8+9.86</f>
        <v>148.45999999999998</v>
      </c>
      <c r="C148" s="2" t="s">
        <v>294</v>
      </c>
      <c r="D148" s="3">
        <v>58</v>
      </c>
      <c r="E148" s="4">
        <f>B148*D148</f>
        <v>8610.6799999999985</v>
      </c>
    </row>
    <row r="149" spans="1:5" x14ac:dyDescent="0.25">
      <c r="A149" s="2" t="s">
        <v>137</v>
      </c>
      <c r="B149" s="2">
        <f>120+2.5*10+2.04</f>
        <v>147.04</v>
      </c>
      <c r="C149" s="2" t="s">
        <v>293</v>
      </c>
      <c r="D149" s="3">
        <v>58</v>
      </c>
      <c r="E149" s="4">
        <f>B149*D149</f>
        <v>8528.32</v>
      </c>
    </row>
    <row r="150" spans="1:5" x14ac:dyDescent="0.25">
      <c r="A150" s="2" t="s">
        <v>138</v>
      </c>
      <c r="B150" s="2">
        <f>100</f>
        <v>100</v>
      </c>
      <c r="C150" s="2" t="s">
        <v>281</v>
      </c>
      <c r="D150" s="3">
        <v>58</v>
      </c>
      <c r="E150" s="4">
        <f>B150*D150</f>
        <v>5800</v>
      </c>
    </row>
    <row r="151" spans="1:5" x14ac:dyDescent="0.25">
      <c r="A151" s="2" t="s">
        <v>139</v>
      </c>
      <c r="B151" s="2">
        <f>0.96+0.74+9.25+2.92+0.7</f>
        <v>14.569999999999999</v>
      </c>
      <c r="C151" s="2"/>
      <c r="D151" s="3">
        <v>213.81</v>
      </c>
      <c r="E151" s="4">
        <f>B151*D151</f>
        <v>3115.2116999999998</v>
      </c>
    </row>
    <row r="152" spans="1:5" x14ac:dyDescent="0.25">
      <c r="A152" s="2" t="s">
        <v>140</v>
      </c>
      <c r="B152" s="2"/>
      <c r="C152" s="2" t="s">
        <v>250</v>
      </c>
      <c r="D152" s="3">
        <v>85</v>
      </c>
      <c r="E152" s="4">
        <f>D152*6</f>
        <v>510</v>
      </c>
    </row>
    <row r="153" spans="1:5" x14ac:dyDescent="0.25">
      <c r="A153" s="2" t="s">
        <v>141</v>
      </c>
      <c r="B153" s="2"/>
      <c r="C153" s="2" t="s">
        <v>258</v>
      </c>
      <c r="D153" s="3">
        <v>115</v>
      </c>
      <c r="E153" s="4">
        <f>D153*15</f>
        <v>1725</v>
      </c>
    </row>
    <row r="154" spans="1:5" x14ac:dyDescent="0.25">
      <c r="A154" s="2" t="s">
        <v>142</v>
      </c>
      <c r="B154" s="2">
        <f>25+3.5</f>
        <v>28.5</v>
      </c>
      <c r="C154" s="2"/>
      <c r="D154" s="3">
        <v>50</v>
      </c>
      <c r="E154" s="4">
        <f>B154*D154</f>
        <v>1425</v>
      </c>
    </row>
    <row r="155" spans="1:5" x14ac:dyDescent="0.25">
      <c r="A155" s="2" t="s">
        <v>143</v>
      </c>
      <c r="B155" s="2">
        <f>25+5.4</f>
        <v>30.4</v>
      </c>
      <c r="C155" s="2"/>
      <c r="D155" s="3">
        <v>54</v>
      </c>
      <c r="E155" s="4">
        <f>B155*D155</f>
        <v>1641.6</v>
      </c>
    </row>
    <row r="156" spans="1:5" x14ac:dyDescent="0.25">
      <c r="A156" s="7" t="s">
        <v>252</v>
      </c>
      <c r="B156" s="2"/>
      <c r="C156" s="2" t="s">
        <v>305</v>
      </c>
      <c r="D156" s="9">
        <v>35</v>
      </c>
      <c r="E156" s="4">
        <f>D156*12</f>
        <v>420</v>
      </c>
    </row>
    <row r="157" spans="1:5" x14ac:dyDescent="0.25">
      <c r="A157" s="2" t="s">
        <v>144</v>
      </c>
      <c r="B157" s="2">
        <f>425.4</f>
        <v>425.4</v>
      </c>
      <c r="C157" s="2" t="s">
        <v>264</v>
      </c>
      <c r="D157" s="3">
        <v>125</v>
      </c>
      <c r="E157" s="4">
        <f t="shared" ref="E157:E171" si="8">B157*D157</f>
        <v>53175</v>
      </c>
    </row>
    <row r="158" spans="1:5" x14ac:dyDescent="0.25">
      <c r="A158" s="2" t="s">
        <v>145</v>
      </c>
      <c r="B158" s="2">
        <f>42</f>
        <v>42</v>
      </c>
      <c r="C158" s="2"/>
      <c r="D158" s="3">
        <v>110</v>
      </c>
      <c r="E158" s="4">
        <f t="shared" si="8"/>
        <v>4620</v>
      </c>
    </row>
    <row r="159" spans="1:5" x14ac:dyDescent="0.25">
      <c r="A159" s="2" t="s">
        <v>146</v>
      </c>
      <c r="B159" s="2">
        <v>93.9</v>
      </c>
      <c r="C159" s="2"/>
      <c r="D159" s="3">
        <v>198</v>
      </c>
      <c r="E159" s="4">
        <f t="shared" si="8"/>
        <v>18592.2</v>
      </c>
    </row>
    <row r="160" spans="1:5" x14ac:dyDescent="0.25">
      <c r="A160" s="2" t="s">
        <v>147</v>
      </c>
      <c r="B160" s="2">
        <f>14.2+23.75+4.75+4.06</f>
        <v>46.760000000000005</v>
      </c>
      <c r="C160" s="2"/>
      <c r="D160" s="3">
        <v>170</v>
      </c>
      <c r="E160" s="4">
        <f t="shared" si="8"/>
        <v>7949.2000000000007</v>
      </c>
    </row>
    <row r="161" spans="1:5" x14ac:dyDescent="0.25">
      <c r="A161" s="2" t="s">
        <v>148</v>
      </c>
      <c r="B161" s="2">
        <f>27.1+7.74</f>
        <v>34.840000000000003</v>
      </c>
      <c r="C161" s="2"/>
      <c r="D161" s="3">
        <v>104</v>
      </c>
      <c r="E161" s="4">
        <f t="shared" si="8"/>
        <v>3623.3600000000006</v>
      </c>
    </row>
    <row r="162" spans="1:5" x14ac:dyDescent="0.25">
      <c r="A162" s="2" t="s">
        <v>149</v>
      </c>
      <c r="B162" s="2">
        <f>120.6+4.9+6</f>
        <v>131.5</v>
      </c>
      <c r="C162" s="2" t="s">
        <v>267</v>
      </c>
      <c r="D162" s="3">
        <v>190</v>
      </c>
      <c r="E162" s="4">
        <f t="shared" si="8"/>
        <v>24985</v>
      </c>
    </row>
    <row r="163" spans="1:5" x14ac:dyDescent="0.25">
      <c r="A163" s="2" t="s">
        <v>150</v>
      </c>
      <c r="B163" s="2">
        <f>1.705+11.24+4.13+11.8</f>
        <v>28.875</v>
      </c>
      <c r="C163" s="2"/>
      <c r="D163" s="3">
        <v>96</v>
      </c>
      <c r="E163" s="4">
        <f t="shared" si="8"/>
        <v>2772</v>
      </c>
    </row>
    <row r="164" spans="1:5" x14ac:dyDescent="0.25">
      <c r="A164" s="2" t="s">
        <v>151</v>
      </c>
      <c r="B164" s="2">
        <f>13+17.3+2+12.22</f>
        <v>44.519999999999996</v>
      </c>
      <c r="C164" s="2"/>
      <c r="D164" s="3">
        <v>40</v>
      </c>
      <c r="E164" s="4">
        <f t="shared" si="8"/>
        <v>1780.7999999999997</v>
      </c>
    </row>
    <row r="165" spans="1:5" x14ac:dyDescent="0.25">
      <c r="A165" s="2" t="s">
        <v>152</v>
      </c>
      <c r="B165" s="2">
        <f>7.3+6.8</f>
        <v>14.1</v>
      </c>
      <c r="C165" s="2"/>
      <c r="D165" s="3">
        <v>120</v>
      </c>
      <c r="E165" s="4">
        <f t="shared" si="8"/>
        <v>1692</v>
      </c>
    </row>
    <row r="166" spans="1:5" x14ac:dyDescent="0.25">
      <c r="A166" s="2" t="s">
        <v>153</v>
      </c>
      <c r="B166" s="2">
        <f>14+2.35+15.98</f>
        <v>32.33</v>
      </c>
      <c r="C166" s="2"/>
      <c r="D166" s="3">
        <v>291.56</v>
      </c>
      <c r="E166" s="4">
        <f t="shared" si="8"/>
        <v>9426.1347999999998</v>
      </c>
    </row>
    <row r="167" spans="1:5" x14ac:dyDescent="0.25">
      <c r="A167" s="2" t="s">
        <v>154</v>
      </c>
      <c r="B167" s="2">
        <f>11.8+140</f>
        <v>151.80000000000001</v>
      </c>
      <c r="C167" s="2"/>
      <c r="D167" s="3">
        <v>198</v>
      </c>
      <c r="E167" s="4">
        <f t="shared" si="8"/>
        <v>30056.400000000001</v>
      </c>
    </row>
    <row r="168" spans="1:5" x14ac:dyDescent="0.25">
      <c r="A168" s="2" t="s">
        <v>155</v>
      </c>
      <c r="B168" s="2">
        <f>2.39+5.754</f>
        <v>8.1440000000000001</v>
      </c>
      <c r="C168" s="2"/>
      <c r="D168" s="3">
        <v>110</v>
      </c>
      <c r="E168" s="4">
        <f t="shared" si="8"/>
        <v>895.84</v>
      </c>
    </row>
    <row r="169" spans="1:5" x14ac:dyDescent="0.25">
      <c r="A169" s="2" t="s">
        <v>156</v>
      </c>
      <c r="B169" s="2">
        <f>17+10.5</f>
        <v>27.5</v>
      </c>
      <c r="C169" s="2"/>
      <c r="D169" s="3">
        <v>160</v>
      </c>
      <c r="E169" s="4">
        <f t="shared" si="8"/>
        <v>4400</v>
      </c>
    </row>
    <row r="170" spans="1:5" x14ac:dyDescent="0.25">
      <c r="A170" s="2" t="s">
        <v>157</v>
      </c>
      <c r="B170" s="2">
        <f>4.52</f>
        <v>4.5199999999999996</v>
      </c>
      <c r="C170" s="2"/>
      <c r="D170" s="3">
        <v>150</v>
      </c>
      <c r="E170" s="4">
        <f t="shared" si="8"/>
        <v>677.99999999999989</v>
      </c>
    </row>
    <row r="171" spans="1:5" x14ac:dyDescent="0.25">
      <c r="A171" s="2" t="s">
        <v>158</v>
      </c>
      <c r="B171" s="2">
        <f>12+2.16</f>
        <v>14.16</v>
      </c>
      <c r="C171" s="2"/>
      <c r="D171" s="3">
        <v>67</v>
      </c>
      <c r="E171" s="4">
        <f t="shared" si="8"/>
        <v>948.72</v>
      </c>
    </row>
    <row r="172" spans="1:5" x14ac:dyDescent="0.25">
      <c r="A172" s="7" t="s">
        <v>238</v>
      </c>
      <c r="B172" s="2">
        <f>91.8+22.3</f>
        <v>114.1</v>
      </c>
      <c r="C172" s="2"/>
      <c r="D172" s="3">
        <v>98</v>
      </c>
      <c r="E172" s="4">
        <f>D172*B172</f>
        <v>11181.8</v>
      </c>
    </row>
    <row r="173" spans="1:5" x14ac:dyDescent="0.25">
      <c r="A173" s="2" t="s">
        <v>159</v>
      </c>
      <c r="B173" s="2">
        <f>2.39</f>
        <v>2.39</v>
      </c>
      <c r="C173" s="2"/>
      <c r="D173" s="3">
        <v>150</v>
      </c>
      <c r="E173" s="4">
        <f>B173*D173</f>
        <v>358.5</v>
      </c>
    </row>
    <row r="174" spans="1:5" x14ac:dyDescent="0.25">
      <c r="A174" s="2" t="s">
        <v>160</v>
      </c>
      <c r="B174" s="2">
        <f>8.3+24.7+1.08+9.16</f>
        <v>43.239999999999995</v>
      </c>
      <c r="C174" s="2"/>
      <c r="D174" s="3">
        <v>160</v>
      </c>
      <c r="E174" s="4">
        <f>B174*D174</f>
        <v>6918.4</v>
      </c>
    </row>
    <row r="175" spans="1:5" x14ac:dyDescent="0.25">
      <c r="A175" s="2" t="s">
        <v>161</v>
      </c>
      <c r="B175" s="2"/>
      <c r="C175" s="2" t="s">
        <v>243</v>
      </c>
      <c r="D175" s="3">
        <v>18</v>
      </c>
      <c r="E175" s="4">
        <f>D175*1</f>
        <v>18</v>
      </c>
    </row>
    <row r="176" spans="1:5" x14ac:dyDescent="0.25">
      <c r="A176" s="2" t="s">
        <v>162</v>
      </c>
      <c r="B176" s="2">
        <f>123.3+10.3</f>
        <v>133.6</v>
      </c>
      <c r="C176" s="2"/>
      <c r="D176" s="3">
        <v>85</v>
      </c>
      <c r="E176" s="4">
        <f>B176*D176</f>
        <v>11356</v>
      </c>
    </row>
    <row r="177" spans="1:5" x14ac:dyDescent="0.25">
      <c r="A177" s="7" t="s">
        <v>270</v>
      </c>
      <c r="B177" s="2">
        <f>1284-36</f>
        <v>1248</v>
      </c>
      <c r="C177" s="2"/>
      <c r="D177" s="9">
        <v>140</v>
      </c>
      <c r="E177" s="4">
        <f>B177*D177</f>
        <v>174720</v>
      </c>
    </row>
    <row r="178" spans="1:5" x14ac:dyDescent="0.25">
      <c r="A178" s="2" t="s">
        <v>163</v>
      </c>
      <c r="B178" s="2">
        <f>16.1+34.45</f>
        <v>50.550000000000004</v>
      </c>
      <c r="C178" s="2"/>
      <c r="D178" s="3">
        <v>104</v>
      </c>
      <c r="E178" s="4">
        <f>B178*D178</f>
        <v>5257.2000000000007</v>
      </c>
    </row>
    <row r="179" spans="1:5" x14ac:dyDescent="0.25">
      <c r="A179" s="2" t="s">
        <v>164</v>
      </c>
      <c r="B179" s="2">
        <f>9.92</f>
        <v>9.92</v>
      </c>
      <c r="C179" s="2"/>
      <c r="D179" s="3">
        <v>110</v>
      </c>
      <c r="E179" s="4">
        <f>B179*D179</f>
        <v>1091.2</v>
      </c>
    </row>
    <row r="180" spans="1:5" x14ac:dyDescent="0.25">
      <c r="A180" s="2" t="s">
        <v>165</v>
      </c>
      <c r="B180" s="2">
        <f>10.12</f>
        <v>10.119999999999999</v>
      </c>
      <c r="C180" s="2"/>
      <c r="D180" s="3">
        <v>150</v>
      </c>
      <c r="E180" s="4">
        <f>B180*D180</f>
        <v>1517.9999999999998</v>
      </c>
    </row>
    <row r="181" spans="1:5" x14ac:dyDescent="0.25">
      <c r="A181" s="2" t="s">
        <v>166</v>
      </c>
      <c r="B181" s="2"/>
      <c r="C181" s="2" t="s">
        <v>256</v>
      </c>
      <c r="D181" s="3">
        <f>275.19/12</f>
        <v>22.932500000000001</v>
      </c>
      <c r="E181" s="4">
        <f>D181*10</f>
        <v>229.32500000000002</v>
      </c>
    </row>
    <row r="182" spans="1:5" x14ac:dyDescent="0.25">
      <c r="A182" s="2" t="s">
        <v>167</v>
      </c>
      <c r="B182" s="2"/>
      <c r="C182" s="2" t="s">
        <v>247</v>
      </c>
      <c r="D182" s="3">
        <v>150</v>
      </c>
      <c r="E182" s="4">
        <f>D182*2</f>
        <v>300</v>
      </c>
    </row>
    <row r="183" spans="1:5" x14ac:dyDescent="0.25">
      <c r="A183" s="2" t="s">
        <v>168</v>
      </c>
      <c r="B183" s="2"/>
      <c r="C183" s="2" t="s">
        <v>245</v>
      </c>
      <c r="D183" s="3">
        <v>98</v>
      </c>
      <c r="E183" s="4">
        <f>D183*4</f>
        <v>392</v>
      </c>
    </row>
    <row r="184" spans="1:5" x14ac:dyDescent="0.25">
      <c r="A184" s="2" t="s">
        <v>169</v>
      </c>
      <c r="B184" s="2"/>
      <c r="C184" s="2" t="s">
        <v>244</v>
      </c>
      <c r="D184" s="3">
        <v>98</v>
      </c>
      <c r="E184" s="4">
        <f>D184*3</f>
        <v>294</v>
      </c>
    </row>
    <row r="185" spans="1:5" x14ac:dyDescent="0.25">
      <c r="A185" s="2" t="s">
        <v>170</v>
      </c>
      <c r="B185" s="2"/>
      <c r="C185" s="2" t="s">
        <v>305</v>
      </c>
      <c r="D185" s="3">
        <v>58</v>
      </c>
      <c r="E185" s="4">
        <f>D185*12</f>
        <v>696</v>
      </c>
    </row>
    <row r="186" spans="1:5" x14ac:dyDescent="0.25">
      <c r="A186" s="2" t="s">
        <v>171</v>
      </c>
      <c r="B186" s="2">
        <f>7.82+3.59</f>
        <v>11.41</v>
      </c>
      <c r="C186" s="2"/>
      <c r="D186" s="3">
        <v>115</v>
      </c>
      <c r="E186" s="4">
        <f>B186*D186</f>
        <v>1312.15</v>
      </c>
    </row>
    <row r="187" spans="1:5" x14ac:dyDescent="0.25">
      <c r="A187" s="2" t="s">
        <v>172</v>
      </c>
      <c r="B187" s="2">
        <f>8+0.87</f>
        <v>8.8699999999999992</v>
      </c>
      <c r="C187" s="2"/>
      <c r="D187" s="3">
        <v>77</v>
      </c>
      <c r="E187" s="4">
        <f>B187*D187</f>
        <v>682.9899999999999</v>
      </c>
    </row>
    <row r="188" spans="1:5" x14ac:dyDescent="0.25">
      <c r="A188" s="7" t="s">
        <v>259</v>
      </c>
      <c r="B188" s="2">
        <f>3.85+1.135</f>
        <v>4.9850000000000003</v>
      </c>
      <c r="C188" s="2"/>
      <c r="D188" s="9">
        <v>130</v>
      </c>
      <c r="E188" s="4">
        <f>B188*D188</f>
        <v>648.05000000000007</v>
      </c>
    </row>
    <row r="189" spans="1:5" x14ac:dyDescent="0.25">
      <c r="A189" s="2" t="s">
        <v>173</v>
      </c>
      <c r="B189" s="2">
        <f>3.81+3.67+1.045</f>
        <v>8.5250000000000004</v>
      </c>
      <c r="C189" s="2"/>
      <c r="D189" s="3">
        <v>110</v>
      </c>
      <c r="E189" s="4">
        <f>B189*D189</f>
        <v>937.75</v>
      </c>
    </row>
    <row r="190" spans="1:5" x14ac:dyDescent="0.25">
      <c r="A190" s="2" t="s">
        <v>174</v>
      </c>
      <c r="B190" s="2"/>
      <c r="C190" s="2" t="s">
        <v>247</v>
      </c>
      <c r="D190" s="3">
        <v>154.66999999999999</v>
      </c>
      <c r="E190" s="4">
        <f>D190*2</f>
        <v>309.33999999999997</v>
      </c>
    </row>
    <row r="191" spans="1:5" x14ac:dyDescent="0.25">
      <c r="A191" s="2" t="s">
        <v>175</v>
      </c>
      <c r="B191" s="2"/>
      <c r="C191" s="2" t="s">
        <v>288</v>
      </c>
      <c r="D191" s="3">
        <v>28</v>
      </c>
      <c r="E191" s="4">
        <f>D191*18</f>
        <v>504</v>
      </c>
    </row>
    <row r="192" spans="1:5" x14ac:dyDescent="0.25">
      <c r="A192" s="2" t="s">
        <v>176</v>
      </c>
      <c r="B192" s="6">
        <f>3093.01+3+4.8+4.87+13.8+6.18+6.5+21.3+12.2+24.4+24.25+23.07+375</f>
        <v>3612.3800000000006</v>
      </c>
      <c r="C192" s="2"/>
      <c r="D192" s="3">
        <v>125.5</v>
      </c>
      <c r="E192" s="4">
        <f>B192*D192</f>
        <v>453353.69000000006</v>
      </c>
    </row>
    <row r="193" spans="1:5" x14ac:dyDescent="0.25">
      <c r="A193" s="2" t="s">
        <v>177</v>
      </c>
      <c r="B193" s="2"/>
      <c r="C193" s="2" t="s">
        <v>245</v>
      </c>
      <c r="D193" s="3">
        <v>152.27000000000001</v>
      </c>
      <c r="E193" s="4">
        <f>D193*4</f>
        <v>609.08000000000004</v>
      </c>
    </row>
    <row r="194" spans="1:5" x14ac:dyDescent="0.25">
      <c r="A194" s="2" t="s">
        <v>311</v>
      </c>
      <c r="B194" s="2">
        <f>6.46+3.945</f>
        <v>10.404999999999999</v>
      </c>
      <c r="C194" s="2"/>
      <c r="D194" s="9">
        <v>75</v>
      </c>
      <c r="E194" s="4">
        <f>D194*B194</f>
        <v>780.375</v>
      </c>
    </row>
    <row r="195" spans="1:5" x14ac:dyDescent="0.25">
      <c r="A195" s="2" t="s">
        <v>178</v>
      </c>
      <c r="B195" s="2" t="s">
        <v>287</v>
      </c>
      <c r="C195" s="2" t="s">
        <v>307</v>
      </c>
      <c r="D195" s="3">
        <f>121.74/10</f>
        <v>12.173999999999999</v>
      </c>
      <c r="E195" s="4">
        <f>D195*55</f>
        <v>669.56999999999994</v>
      </c>
    </row>
    <row r="196" spans="1:5" x14ac:dyDescent="0.25">
      <c r="A196" s="2" t="s">
        <v>179</v>
      </c>
      <c r="B196" s="2">
        <f>3.12+3.51+3.3</f>
        <v>9.93</v>
      </c>
      <c r="C196" s="2"/>
      <c r="D196" s="3">
        <v>270</v>
      </c>
      <c r="E196" s="4">
        <f>B196*D196</f>
        <v>2681.1</v>
      </c>
    </row>
    <row r="197" spans="1:5" x14ac:dyDescent="0.25">
      <c r="A197" s="2" t="s">
        <v>180</v>
      </c>
      <c r="B197" s="2">
        <f>4.04+0.24+0.5+0.79+0.24+0.5+0.24+0.745</f>
        <v>7.2950000000000008</v>
      </c>
      <c r="C197" s="2"/>
      <c r="D197" s="3">
        <v>78</v>
      </c>
      <c r="E197" s="4">
        <f>B197*D197</f>
        <v>569.0100000000001</v>
      </c>
    </row>
    <row r="198" spans="1:5" x14ac:dyDescent="0.25">
      <c r="A198" s="2" t="s">
        <v>181</v>
      </c>
      <c r="B198" s="2"/>
      <c r="C198" s="2" t="s">
        <v>254</v>
      </c>
      <c r="D198" s="3">
        <v>20</v>
      </c>
      <c r="E198" s="4">
        <f>D198*9</f>
        <v>180</v>
      </c>
    </row>
    <row r="199" spans="1:5" x14ac:dyDescent="0.25">
      <c r="A199" s="2" t="s">
        <v>182</v>
      </c>
      <c r="B199" s="2">
        <f>1.98</f>
        <v>1.98</v>
      </c>
      <c r="C199" s="2"/>
      <c r="D199" s="3">
        <v>165</v>
      </c>
      <c r="E199" s="4">
        <f t="shared" ref="E199:E209" si="9">B199*D199</f>
        <v>326.7</v>
      </c>
    </row>
    <row r="200" spans="1:5" x14ac:dyDescent="0.25">
      <c r="A200" s="2" t="s">
        <v>183</v>
      </c>
      <c r="B200" s="2">
        <v>75.3</v>
      </c>
      <c r="C200" s="2"/>
      <c r="D200" s="3">
        <v>198</v>
      </c>
      <c r="E200" s="4">
        <f t="shared" si="9"/>
        <v>14909.4</v>
      </c>
    </row>
    <row r="201" spans="1:5" x14ac:dyDescent="0.25">
      <c r="A201" s="2" t="s">
        <v>184</v>
      </c>
      <c r="B201" s="2">
        <f>1.41</f>
        <v>1.41</v>
      </c>
      <c r="C201" s="2"/>
      <c r="D201" s="3">
        <v>85</v>
      </c>
      <c r="E201" s="4">
        <f t="shared" si="9"/>
        <v>119.85</v>
      </c>
    </row>
    <row r="202" spans="1:5" x14ac:dyDescent="0.25">
      <c r="A202" s="2" t="s">
        <v>185</v>
      </c>
      <c r="B202" s="2">
        <f>2.69+4+2.34+67.8+4.8+3</f>
        <v>84.63</v>
      </c>
      <c r="C202" s="2"/>
      <c r="D202" s="3">
        <v>90</v>
      </c>
      <c r="E202" s="4">
        <f t="shared" si="9"/>
        <v>7616.7</v>
      </c>
    </row>
    <row r="203" spans="1:5" x14ac:dyDescent="0.25">
      <c r="A203" s="2" t="s">
        <v>186</v>
      </c>
      <c r="B203" s="2">
        <f>0.545</f>
        <v>0.54500000000000004</v>
      </c>
      <c r="C203" s="2"/>
      <c r="D203" s="3">
        <v>110</v>
      </c>
      <c r="E203" s="4">
        <f t="shared" si="9"/>
        <v>59.95</v>
      </c>
    </row>
    <row r="204" spans="1:5" x14ac:dyDescent="0.25">
      <c r="A204" s="2" t="s">
        <v>187</v>
      </c>
      <c r="B204" s="2">
        <f>2+35.2+15.6+4.3</f>
        <v>57.1</v>
      </c>
      <c r="C204" s="2"/>
      <c r="D204" s="3">
        <v>128</v>
      </c>
      <c r="E204" s="4">
        <f t="shared" si="9"/>
        <v>7308.8</v>
      </c>
    </row>
    <row r="205" spans="1:5" x14ac:dyDescent="0.25">
      <c r="A205" s="2" t="s">
        <v>188</v>
      </c>
      <c r="B205" s="2">
        <f>79.8+25.2</f>
        <v>105</v>
      </c>
      <c r="C205" s="2"/>
      <c r="D205" s="3">
        <v>198</v>
      </c>
      <c r="E205" s="4">
        <f t="shared" si="9"/>
        <v>20790</v>
      </c>
    </row>
    <row r="206" spans="1:5" x14ac:dyDescent="0.25">
      <c r="A206" s="2" t="s">
        <v>189</v>
      </c>
      <c r="B206" s="2">
        <f>14.3+4.66+1.62</f>
        <v>20.580000000000002</v>
      </c>
      <c r="C206" s="2"/>
      <c r="D206" s="3">
        <v>400</v>
      </c>
      <c r="E206" s="4">
        <f t="shared" si="9"/>
        <v>8232</v>
      </c>
    </row>
    <row r="207" spans="1:5" x14ac:dyDescent="0.25">
      <c r="A207" s="2" t="s">
        <v>190</v>
      </c>
      <c r="B207" s="2">
        <f>1.42</f>
        <v>1.42</v>
      </c>
      <c r="C207" s="2"/>
      <c r="D207" s="3">
        <v>700</v>
      </c>
      <c r="E207" s="4">
        <f t="shared" si="9"/>
        <v>994</v>
      </c>
    </row>
    <row r="208" spans="1:5" x14ac:dyDescent="0.25">
      <c r="A208" s="2" t="s">
        <v>191</v>
      </c>
      <c r="B208" s="2">
        <f>6.8+18.1+1+3.32</f>
        <v>29.220000000000002</v>
      </c>
      <c r="C208" s="2"/>
      <c r="D208" s="3">
        <v>204</v>
      </c>
      <c r="E208" s="4">
        <f t="shared" si="9"/>
        <v>5960.88</v>
      </c>
    </row>
    <row r="209" spans="1:5" x14ac:dyDescent="0.25">
      <c r="A209" s="2" t="s">
        <v>192</v>
      </c>
      <c r="B209" s="2">
        <f>9.15</f>
        <v>9.15</v>
      </c>
      <c r="C209" s="2"/>
      <c r="D209" s="3">
        <v>480</v>
      </c>
      <c r="E209" s="4">
        <f t="shared" si="9"/>
        <v>4392</v>
      </c>
    </row>
    <row r="210" spans="1:5" x14ac:dyDescent="0.25">
      <c r="A210" s="2" t="s">
        <v>193</v>
      </c>
      <c r="B210" s="2"/>
      <c r="C210" s="2" t="s">
        <v>246</v>
      </c>
      <c r="D210" s="3">
        <v>90</v>
      </c>
      <c r="E210" s="4">
        <f>D210*8</f>
        <v>720</v>
      </c>
    </row>
    <row r="211" spans="1:5" x14ac:dyDescent="0.25">
      <c r="A211" s="2" t="s">
        <v>194</v>
      </c>
      <c r="B211" s="2">
        <f>2.245</f>
        <v>2.2450000000000001</v>
      </c>
      <c r="C211" s="2"/>
      <c r="D211" s="3">
        <v>400</v>
      </c>
      <c r="E211" s="4">
        <f>B211*D211</f>
        <v>898</v>
      </c>
    </row>
    <row r="212" spans="1:5" x14ac:dyDescent="0.25">
      <c r="A212" s="2" t="s">
        <v>195</v>
      </c>
      <c r="B212" s="2">
        <f>10.34+1.08</f>
        <v>11.42</v>
      </c>
      <c r="C212" s="2"/>
      <c r="D212" s="3">
        <v>110</v>
      </c>
      <c r="E212" s="4">
        <f>B212*D212</f>
        <v>1256.2</v>
      </c>
    </row>
    <row r="213" spans="1:5" x14ac:dyDescent="0.25">
      <c r="A213" s="2" t="s">
        <v>196</v>
      </c>
      <c r="B213" s="2">
        <f>0.865+3.77+11.2</f>
        <v>15.834999999999999</v>
      </c>
      <c r="C213" s="2"/>
      <c r="D213" s="3">
        <v>93</v>
      </c>
      <c r="E213" s="4">
        <f>B213*D213</f>
        <v>1472.655</v>
      </c>
    </row>
    <row r="214" spans="1:5" x14ac:dyDescent="0.25">
      <c r="A214" s="2" t="s">
        <v>197</v>
      </c>
      <c r="B214" s="2">
        <f>8.49+5.52+8</f>
        <v>22.009999999999998</v>
      </c>
      <c r="C214" s="2"/>
      <c r="D214" s="3">
        <v>40</v>
      </c>
      <c r="E214" s="4">
        <f>B214*D214</f>
        <v>880.39999999999986</v>
      </c>
    </row>
    <row r="215" spans="1:5" x14ac:dyDescent="0.25">
      <c r="A215" s="2" t="s">
        <v>198</v>
      </c>
      <c r="B215" s="2"/>
      <c r="C215" s="2" t="s">
        <v>300</v>
      </c>
      <c r="D215" s="3">
        <v>90</v>
      </c>
      <c r="E215" s="4">
        <f>D215*13</f>
        <v>1170</v>
      </c>
    </row>
    <row r="216" spans="1:5" x14ac:dyDescent="0.25">
      <c r="A216" s="7" t="s">
        <v>271</v>
      </c>
      <c r="B216" s="2"/>
      <c r="C216" s="2" t="s">
        <v>244</v>
      </c>
      <c r="D216" s="9">
        <v>68</v>
      </c>
      <c r="E216" s="4">
        <f>D216*3</f>
        <v>204</v>
      </c>
    </row>
    <row r="217" spans="1:5" x14ac:dyDescent="0.25">
      <c r="A217" s="2" t="s">
        <v>199</v>
      </c>
      <c r="B217" s="2">
        <f>6.12</f>
        <v>6.12</v>
      </c>
      <c r="C217" s="2"/>
      <c r="D217" s="3">
        <v>72</v>
      </c>
      <c r="E217" s="4">
        <f>B217*D217</f>
        <v>440.64</v>
      </c>
    </row>
    <row r="218" spans="1:5" x14ac:dyDescent="0.25">
      <c r="A218" s="7" t="s">
        <v>272</v>
      </c>
      <c r="B218" s="2"/>
      <c r="C218" s="2" t="s">
        <v>243</v>
      </c>
      <c r="D218" s="9">
        <v>68</v>
      </c>
      <c r="E218" s="3">
        <f>D218*1</f>
        <v>68</v>
      </c>
    </row>
    <row r="219" spans="1:5" x14ac:dyDescent="0.25">
      <c r="A219" s="2" t="s">
        <v>200</v>
      </c>
      <c r="B219" s="2"/>
      <c r="C219" s="2" t="s">
        <v>303</v>
      </c>
      <c r="D219" s="3">
        <v>141</v>
      </c>
      <c r="E219" s="4">
        <f>D219*4</f>
        <v>564</v>
      </c>
    </row>
    <row r="220" spans="1:5" x14ac:dyDescent="0.25">
      <c r="A220" s="2" t="s">
        <v>201</v>
      </c>
      <c r="B220" s="2"/>
      <c r="C220" s="2" t="s">
        <v>309</v>
      </c>
      <c r="D220" s="3">
        <v>60</v>
      </c>
      <c r="E220" s="4">
        <f>D220*22</f>
        <v>1320</v>
      </c>
    </row>
    <row r="221" spans="1:5" x14ac:dyDescent="0.25">
      <c r="A221" s="2" t="s">
        <v>202</v>
      </c>
      <c r="B221" s="2">
        <f>8.1+8.3</f>
        <v>16.399999999999999</v>
      </c>
      <c r="C221" s="2"/>
      <c r="D221" s="3">
        <v>68</v>
      </c>
      <c r="E221" s="4">
        <f>B221*D221</f>
        <v>1115.1999999999998</v>
      </c>
    </row>
    <row r="222" spans="1:5" x14ac:dyDescent="0.25">
      <c r="A222" s="2" t="s">
        <v>203</v>
      </c>
      <c r="B222" s="2"/>
      <c r="C222" s="2" t="s">
        <v>246</v>
      </c>
      <c r="D222" s="3">
        <v>131</v>
      </c>
      <c r="E222" s="4">
        <f>D222*8</f>
        <v>1048</v>
      </c>
    </row>
    <row r="223" spans="1:5" x14ac:dyDescent="0.25">
      <c r="A223" s="2" t="s">
        <v>204</v>
      </c>
      <c r="B223" s="2">
        <f>110+5.592</f>
        <v>115.592</v>
      </c>
      <c r="C223" s="2" t="s">
        <v>279</v>
      </c>
      <c r="D223" s="3">
        <v>300</v>
      </c>
      <c r="E223" s="4">
        <f>B223*D223</f>
        <v>34677.599999999999</v>
      </c>
    </row>
    <row r="224" spans="1:5" x14ac:dyDescent="0.25">
      <c r="A224" s="2" t="s">
        <v>205</v>
      </c>
      <c r="B224" s="2"/>
      <c r="C224" s="2" t="s">
        <v>247</v>
      </c>
      <c r="D224" s="3">
        <v>95</v>
      </c>
      <c r="E224" s="4">
        <f>D224*2</f>
        <v>190</v>
      </c>
    </row>
    <row r="225" spans="1:5" x14ac:dyDescent="0.25">
      <c r="A225" s="2" t="s">
        <v>206</v>
      </c>
      <c r="B225" s="2"/>
      <c r="C225" s="2" t="s">
        <v>248</v>
      </c>
      <c r="D225" s="3">
        <v>30</v>
      </c>
      <c r="E225" s="4">
        <f>D225*5</f>
        <v>150</v>
      </c>
    </row>
    <row r="226" spans="1:5" x14ac:dyDescent="0.25">
      <c r="A226" s="2" t="s">
        <v>207</v>
      </c>
      <c r="B226" s="2"/>
      <c r="C226" s="2" t="s">
        <v>291</v>
      </c>
      <c r="D226" s="3">
        <v>23</v>
      </c>
      <c r="E226" s="4">
        <f>D226*33</f>
        <v>759</v>
      </c>
    </row>
    <row r="227" spans="1:5" x14ac:dyDescent="0.25">
      <c r="A227" s="2" t="s">
        <v>208</v>
      </c>
      <c r="B227" s="2"/>
      <c r="C227" s="2" t="s">
        <v>288</v>
      </c>
      <c r="D227" s="3">
        <v>18</v>
      </c>
      <c r="E227" s="4">
        <f>D227*18</f>
        <v>324</v>
      </c>
    </row>
    <row r="228" spans="1:5" x14ac:dyDescent="0.25">
      <c r="A228" s="2" t="s">
        <v>209</v>
      </c>
      <c r="B228" s="2"/>
      <c r="C228" s="2" t="s">
        <v>249</v>
      </c>
      <c r="D228" s="3">
        <v>42</v>
      </c>
      <c r="E228" s="4">
        <f>D228*7</f>
        <v>294</v>
      </c>
    </row>
    <row r="229" spans="1:5" x14ac:dyDescent="0.25">
      <c r="A229" s="2" t="s">
        <v>210</v>
      </c>
      <c r="B229" s="2"/>
      <c r="C229" s="2" t="s">
        <v>257</v>
      </c>
      <c r="D229" s="3">
        <v>58</v>
      </c>
      <c r="E229" s="4">
        <f>D229*11</f>
        <v>638</v>
      </c>
    </row>
    <row r="230" spans="1:5" x14ac:dyDescent="0.25">
      <c r="A230" s="2" t="s">
        <v>211</v>
      </c>
      <c r="B230" s="2">
        <f>2.98</f>
        <v>2.98</v>
      </c>
      <c r="C230" s="2"/>
      <c r="D230" s="3">
        <v>441.06</v>
      </c>
      <c r="E230" s="4">
        <f t="shared" ref="E230:E245" si="10">B230*D230</f>
        <v>1314.3588</v>
      </c>
    </row>
    <row r="231" spans="1:5" x14ac:dyDescent="0.25">
      <c r="A231" s="2" t="s">
        <v>212</v>
      </c>
      <c r="B231" s="2">
        <f>17+40.8+1.8</f>
        <v>59.599999999999994</v>
      </c>
      <c r="C231" s="2" t="s">
        <v>266</v>
      </c>
      <c r="D231" s="3">
        <v>100</v>
      </c>
      <c r="E231" s="4">
        <f t="shared" si="10"/>
        <v>5959.9999999999991</v>
      </c>
    </row>
    <row r="232" spans="1:5" x14ac:dyDescent="0.25">
      <c r="A232" s="2" t="s">
        <v>213</v>
      </c>
      <c r="B232" s="2">
        <f>6+14.3+0.698</f>
        <v>20.998000000000001</v>
      </c>
      <c r="C232" s="2"/>
      <c r="D232" s="3">
        <v>645</v>
      </c>
      <c r="E232" s="4">
        <f t="shared" si="10"/>
        <v>13543.710000000001</v>
      </c>
    </row>
    <row r="233" spans="1:5" x14ac:dyDescent="0.25">
      <c r="A233" s="2" t="s">
        <v>214</v>
      </c>
      <c r="B233" s="2">
        <f>4.64</f>
        <v>4.6399999999999997</v>
      </c>
      <c r="C233" s="2"/>
      <c r="D233" s="3">
        <v>204</v>
      </c>
      <c r="E233" s="4">
        <f t="shared" si="10"/>
        <v>946.56</v>
      </c>
    </row>
    <row r="234" spans="1:5" x14ac:dyDescent="0.25">
      <c r="A234" s="2" t="s">
        <v>215</v>
      </c>
      <c r="B234" s="2">
        <f>1.8</f>
        <v>1.8</v>
      </c>
      <c r="C234" s="2"/>
      <c r="D234" s="3">
        <v>138</v>
      </c>
      <c r="E234" s="4">
        <f t="shared" si="10"/>
        <v>248.4</v>
      </c>
    </row>
    <row r="235" spans="1:5" x14ac:dyDescent="0.25">
      <c r="A235" s="2" t="s">
        <v>216</v>
      </c>
      <c r="B235" s="2">
        <f>36+15</f>
        <v>51</v>
      </c>
      <c r="C235" s="2"/>
      <c r="D235" s="3">
        <v>110</v>
      </c>
      <c r="E235" s="4">
        <f t="shared" si="10"/>
        <v>5610</v>
      </c>
    </row>
    <row r="236" spans="1:5" x14ac:dyDescent="0.25">
      <c r="A236" s="2" t="s">
        <v>217</v>
      </c>
      <c r="B236" s="2">
        <f>37.1+5.43+4.712+11.64</f>
        <v>58.882000000000005</v>
      </c>
      <c r="C236" s="2"/>
      <c r="D236" s="3">
        <v>50</v>
      </c>
      <c r="E236" s="4">
        <f t="shared" si="10"/>
        <v>2944.1000000000004</v>
      </c>
    </row>
    <row r="237" spans="1:5" x14ac:dyDescent="0.25">
      <c r="A237" s="7" t="s">
        <v>260</v>
      </c>
      <c r="B237" s="2">
        <f>1.6</f>
        <v>1.6</v>
      </c>
      <c r="C237" s="2"/>
      <c r="D237" s="9">
        <v>198</v>
      </c>
      <c r="E237" s="4">
        <f t="shared" si="10"/>
        <v>316.8</v>
      </c>
    </row>
    <row r="238" spans="1:5" x14ac:dyDescent="0.25">
      <c r="A238" s="2" t="s">
        <v>218</v>
      </c>
      <c r="B238" s="2">
        <v>81.8</v>
      </c>
      <c r="C238" s="2"/>
      <c r="D238" s="3">
        <v>198</v>
      </c>
      <c r="E238" s="4">
        <f t="shared" si="10"/>
        <v>16196.4</v>
      </c>
    </row>
    <row r="239" spans="1:5" x14ac:dyDescent="0.25">
      <c r="A239" s="2" t="s">
        <v>219</v>
      </c>
      <c r="B239" s="2">
        <f>0.708</f>
        <v>0.70799999999999996</v>
      </c>
      <c r="C239" s="2"/>
      <c r="D239" s="3">
        <v>675</v>
      </c>
      <c r="E239" s="4">
        <f t="shared" si="10"/>
        <v>477.9</v>
      </c>
    </row>
    <row r="240" spans="1:5" x14ac:dyDescent="0.25">
      <c r="A240" s="2" t="s">
        <v>220</v>
      </c>
      <c r="B240" s="2">
        <f>156.8+2+6+0.482+0.72</f>
        <v>166.00200000000001</v>
      </c>
      <c r="C240" s="2" t="s">
        <v>284</v>
      </c>
      <c r="D240" s="3">
        <v>198</v>
      </c>
      <c r="E240" s="4">
        <f t="shared" si="10"/>
        <v>32868.396000000001</v>
      </c>
    </row>
    <row r="241" spans="1:5" x14ac:dyDescent="0.25">
      <c r="A241" s="2" t="s">
        <v>221</v>
      </c>
      <c r="B241" s="2">
        <f>26.1</f>
        <v>26.1</v>
      </c>
      <c r="C241" s="2"/>
      <c r="D241" s="3">
        <v>115</v>
      </c>
      <c r="E241" s="4">
        <f t="shared" si="10"/>
        <v>3001.5</v>
      </c>
    </row>
    <row r="242" spans="1:5" x14ac:dyDescent="0.25">
      <c r="A242" s="2" t="s">
        <v>222</v>
      </c>
      <c r="B242" s="2">
        <f>67+6.26+9.65+7.8</f>
        <v>90.710000000000008</v>
      </c>
      <c r="C242" s="2"/>
      <c r="D242" s="3">
        <v>180</v>
      </c>
      <c r="E242" s="4">
        <f t="shared" si="10"/>
        <v>16327.800000000001</v>
      </c>
    </row>
    <row r="243" spans="1:5" x14ac:dyDescent="0.25">
      <c r="A243" s="2" t="s">
        <v>223</v>
      </c>
      <c r="B243" s="2">
        <f>7.77+35.8+43.8+60.45+4.9</f>
        <v>152.72</v>
      </c>
      <c r="C243" s="2"/>
      <c r="D243" s="3">
        <v>105</v>
      </c>
      <c r="E243" s="4">
        <f t="shared" si="10"/>
        <v>16035.6</v>
      </c>
    </row>
    <row r="244" spans="1:5" x14ac:dyDescent="0.25">
      <c r="A244" s="2" t="s">
        <v>224</v>
      </c>
      <c r="B244" s="2">
        <f>194.8+37.4+2.8</f>
        <v>235.00000000000003</v>
      </c>
      <c r="C244" s="2"/>
      <c r="D244" s="3">
        <v>204</v>
      </c>
      <c r="E244" s="4">
        <f t="shared" si="10"/>
        <v>47940.000000000007</v>
      </c>
    </row>
    <row r="245" spans="1:5" x14ac:dyDescent="0.25">
      <c r="A245" s="7" t="s">
        <v>242</v>
      </c>
      <c r="B245" s="7">
        <f>1.38</f>
        <v>1.38</v>
      </c>
      <c r="C245" s="2"/>
      <c r="D245" s="9">
        <v>695</v>
      </c>
      <c r="E245" s="4">
        <f t="shared" si="10"/>
        <v>959.09999999999991</v>
      </c>
    </row>
    <row r="246" spans="1:5" x14ac:dyDescent="0.25">
      <c r="A246" s="2" t="s">
        <v>225</v>
      </c>
      <c r="B246" s="2"/>
      <c r="C246" s="2" t="s">
        <v>254</v>
      </c>
      <c r="D246" s="3">
        <v>30.4</v>
      </c>
      <c r="E246" s="4">
        <f>D246*9</f>
        <v>273.59999999999997</v>
      </c>
    </row>
    <row r="247" spans="1:5" x14ac:dyDescent="0.25">
      <c r="A247" s="2" t="s">
        <v>226</v>
      </c>
      <c r="B247" s="2"/>
      <c r="C247" s="2" t="s">
        <v>246</v>
      </c>
      <c r="D247" s="3">
        <v>30.4</v>
      </c>
      <c r="E247" s="4">
        <f>D247*8</f>
        <v>243.2</v>
      </c>
    </row>
    <row r="248" spans="1:5" x14ac:dyDescent="0.25">
      <c r="A248" s="2" t="s">
        <v>227</v>
      </c>
      <c r="B248" s="2"/>
      <c r="C248" s="2" t="s">
        <v>298</v>
      </c>
      <c r="D248" s="3">
        <v>23</v>
      </c>
      <c r="E248" s="4">
        <f>D248*86</f>
        <v>1978</v>
      </c>
    </row>
    <row r="249" spans="1:5" x14ac:dyDescent="0.25">
      <c r="A249" s="2" t="s">
        <v>228</v>
      </c>
      <c r="B249" s="2"/>
      <c r="C249" s="2" t="s">
        <v>299</v>
      </c>
      <c r="D249" s="3">
        <v>23</v>
      </c>
      <c r="E249" s="4">
        <f>D249*17</f>
        <v>391</v>
      </c>
    </row>
    <row r="250" spans="1:5" x14ac:dyDescent="0.25">
      <c r="A250" s="2" t="s">
        <v>229</v>
      </c>
      <c r="B250" s="2">
        <f>1.07+15</f>
        <v>16.07</v>
      </c>
      <c r="C250" s="2"/>
      <c r="D250" s="3">
        <v>75</v>
      </c>
      <c r="E250" s="4">
        <f t="shared" ref="E250:E257" si="11">B250*D250</f>
        <v>1205.25</v>
      </c>
    </row>
    <row r="251" spans="1:5" x14ac:dyDescent="0.25">
      <c r="A251" s="2" t="s">
        <v>230</v>
      </c>
      <c r="B251" s="2">
        <f>5.12+8.04</f>
        <v>13.16</v>
      </c>
      <c r="C251" s="2"/>
      <c r="D251" s="3">
        <v>75</v>
      </c>
      <c r="E251" s="4">
        <f t="shared" si="11"/>
        <v>987</v>
      </c>
    </row>
    <row r="252" spans="1:5" x14ac:dyDescent="0.25">
      <c r="A252" s="2" t="s">
        <v>231</v>
      </c>
      <c r="B252" s="2">
        <f>106.8+7.5+25+1.5+11.3+3.162</f>
        <v>155.26200000000003</v>
      </c>
      <c r="C252" s="2"/>
      <c r="D252" s="3">
        <v>110</v>
      </c>
      <c r="E252" s="4">
        <f t="shared" si="11"/>
        <v>17078.820000000003</v>
      </c>
    </row>
    <row r="253" spans="1:5" x14ac:dyDescent="0.25">
      <c r="A253" s="2" t="s">
        <v>232</v>
      </c>
      <c r="B253" s="2">
        <f>0.67+5.125+2.34</f>
        <v>8.1349999999999998</v>
      </c>
      <c r="C253" s="2"/>
      <c r="D253" s="3">
        <v>180</v>
      </c>
      <c r="E253" s="4">
        <f t="shared" si="11"/>
        <v>1464.3</v>
      </c>
    </row>
    <row r="254" spans="1:5" x14ac:dyDescent="0.25">
      <c r="A254" s="2" t="s">
        <v>233</v>
      </c>
      <c r="B254" s="2">
        <f>3.6+0.225+0.21+1.58</f>
        <v>5.6150000000000002</v>
      </c>
      <c r="C254" s="2"/>
      <c r="D254" s="3">
        <v>180</v>
      </c>
      <c r="E254" s="4">
        <f t="shared" si="11"/>
        <v>1010.7</v>
      </c>
    </row>
    <row r="255" spans="1:5" x14ac:dyDescent="0.25">
      <c r="A255" s="2" t="s">
        <v>234</v>
      </c>
      <c r="B255" s="2">
        <f>2.39</f>
        <v>2.39</v>
      </c>
      <c r="C255" s="2"/>
      <c r="D255" s="3">
        <v>180</v>
      </c>
      <c r="E255" s="4">
        <f t="shared" si="11"/>
        <v>430.20000000000005</v>
      </c>
    </row>
    <row r="256" spans="1:5" x14ac:dyDescent="0.25">
      <c r="A256" s="2" t="s">
        <v>235</v>
      </c>
      <c r="B256" s="2">
        <f>66.7</f>
        <v>66.7</v>
      </c>
      <c r="C256" s="2"/>
      <c r="D256" s="3">
        <v>70</v>
      </c>
      <c r="E256" s="4">
        <f t="shared" si="11"/>
        <v>4669</v>
      </c>
    </row>
    <row r="257" spans="1:5" x14ac:dyDescent="0.25">
      <c r="A257" s="2" t="s">
        <v>236</v>
      </c>
      <c r="B257" s="2">
        <f>14.3</f>
        <v>14.3</v>
      </c>
      <c r="C257" s="2"/>
      <c r="D257" s="3">
        <v>198</v>
      </c>
      <c r="E257" s="4">
        <f t="shared" si="11"/>
        <v>2831.4</v>
      </c>
    </row>
    <row r="258" spans="1:5" x14ac:dyDescent="0.25">
      <c r="A258" s="8"/>
    </row>
    <row r="259" spans="1:5" ht="18.75" x14ac:dyDescent="0.3">
      <c r="A259" s="14" t="s">
        <v>237</v>
      </c>
      <c r="B259" s="15"/>
      <c r="C259" s="15"/>
      <c r="D259" s="16"/>
      <c r="E259" s="5">
        <f>SUM(E4:E257)</f>
        <v>2820551.3087000004</v>
      </c>
    </row>
  </sheetData>
  <sortState ref="A4:E262">
    <sortCondition ref="A4:A262"/>
  </sortState>
  <mergeCells count="3">
    <mergeCell ref="A1:E1"/>
    <mergeCell ref="A2:E2"/>
    <mergeCell ref="A259:D2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6" sqref="C3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  ZAVALETA  JULIO </vt:lpstr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 villalobos Meza</dc:creator>
  <cp:lastModifiedBy>ROUSS</cp:lastModifiedBy>
  <cp:lastPrinted>2023-07-29T17:11:00Z</cp:lastPrinted>
  <dcterms:created xsi:type="dcterms:W3CDTF">2023-07-01T16:29:30Z</dcterms:created>
  <dcterms:modified xsi:type="dcterms:W3CDTF">2023-08-17T17:23:40Z</dcterms:modified>
</cp:coreProperties>
</file>