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5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8" l="1"/>
  <c r="M30" i="18" l="1"/>
  <c r="M29" i="18"/>
  <c r="M28" i="18" l="1"/>
  <c r="M26" i="18" l="1"/>
  <c r="M25" i="18" l="1"/>
  <c r="M24" i="18" l="1"/>
  <c r="M23" i="18"/>
  <c r="M22" i="18" l="1"/>
  <c r="M21" i="18" l="1"/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Q30" i="18" s="1"/>
  <c r="P29" i="18"/>
  <c r="Q29" i="18" s="1"/>
  <c r="P28" i="18"/>
  <c r="Q28" i="18" s="1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<sst xmlns="http://schemas.openxmlformats.org/spreadsheetml/2006/main" count="2058" uniqueCount="1142">
  <si>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</si>
  <si>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</si>
  <si>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</si>
  <si>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</si>
  <si>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</si>
  <si>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</si>
  <si>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</si>
  <si>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</si>
  <si>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</si>
  <si>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</si>
  <si>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</si>
  <si>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</si>
  <si>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</si>
  <si>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</si>
  <si>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</si>
  <si>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</si>
  <si>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</si>
  <si>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</si>
  <si>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</si>
  <si>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</si>
  <si>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</si>
  <si>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</si>
  <si>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</si>
  <si>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</si>
  <si>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</si>
  <si>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</si>
  <si>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</si>
  <si>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</si>
  <si>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</si>
  <si>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</si>
  <si>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</si>
  <si>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</si>
  <si>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</si>
  <si>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</si>
  <si>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</si>
  <si>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</si>
  <si>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</si>
  <si>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</si>
  <si>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</si>
  <si>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</si>
  <si>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</si>
  <si>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</si>
  <si>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</si>
  <si>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</si>
  <si>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</si>
  <si>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</si>
  <si>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</si>
  <si>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</si>
  <si>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</si>
  <si>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</si>
  <si>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</si>
  <si>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</si>
  <si>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</si>
  <si>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</si>
  <si>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</si>
  <si>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</si>
  <si>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</si>
  <si>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</si>
  <si>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</si>
  <si>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</si>
  <si>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</si>
  <si>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</si>
  <si>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</si>
  <si>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</si>
  <si>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</si>
  <si>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</si>
  <si>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</si>
  <si>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</si>
  <si>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</si>
  <si>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</si>
  <si>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</si>
  <si>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</si>
  <si>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</si>
  <si>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</si>
  <si>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</si>
  <si>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</si>
  <si>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</si>
  <si>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</si>
  <si>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</si>
  <si>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</si>
  <si>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</si>
  <si>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</si>
  <si>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</si>
  <si>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</si>
  <si>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</si>
  <si>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</si>
  <si>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</si>
  <si>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</si>
  <si>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</si>
  <si>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</si>
  <si>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</si>
  <si>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</si>
  <si>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</si>
  <si>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</si>
  <si>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</si>
  <si>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</si>
  <si>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</si>
  <si>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</si>
  <si>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</si>
  <si>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</si>
  <si>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</si>
  <si>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</si>
  <si>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</si>
  <si>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</si>
  <si>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</si>
  <si>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</si>
  <si>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</si>
  <si>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</si>
  <si>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</si>
  <si>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</si>
  <si>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</si>
  <si>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</si>
  <si>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</si>
  <si>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</si>
  <si>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</si>
  <si>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</si>
  <si>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</si>
  <si>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</si>
  <si>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</si>
  <si>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</si>
  <si>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</si>
  <si>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</si>
  <si>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</si>
  <si>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</si>
  <si>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</si>
  <si>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</si>
  <si>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</si>
  <si>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</si>
  <si>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</si>
  <si>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</si>
  <si>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</si>
  <si>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</si>
  <si>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</si>
  <si>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</si>
  <si>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</si>
  <si>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</si>
  <si>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</si>
  <si>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</si>
  <si>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</si>
  <si>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</si>
  <si>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</si>
  <si>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</si>
  <si>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</si>
  <si>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</si>
  <si>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</si>
  <si>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</si>
  <si>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</si>
  <si>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</si>
  <si>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</si>
  <si>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</si>
  <si>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</si>
  <si>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</si>
  <si>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</si>
  <si>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</si>
  <si>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</si>
  <si>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</si>
  <si>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</si>
  <si>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</si>
  <si>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</si>
  <si>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</si>
  <si>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</si>
  <si>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</si>
  <si>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</si>
  <si>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</si>
  <si>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</si>
  <si>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</si>
  <si>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</si>
  <si>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</si>
  <si>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</si>
  <si>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</si>
  <si>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</si>
  <si>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</si>
  <si>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</si>
  <si>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</si>
  <si>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</si>
  <si>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</si>
  <si>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</si>
  <si>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</si>
  <si>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</si>
  <si>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</si>
  <si>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</si>
  <si>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</si>
  <si>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</si>
  <si>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</si>
  <si>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</si>
  <si>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</si>
  <si>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</si>
  <si>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</si>
  <si>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</si>
  <si>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</si>
  <si>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</si>
  <si>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</si>
  <si>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</si>
  <si>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</si>
  <si>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</si>
  <si>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</si>
  <si>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</si>
  <si>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</si>
  <si>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</si>
  <si>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</si>
  <si>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</si>
  <si>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</si>
  <si>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</si>
  <si>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</si>
  <si>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</si>
  <si>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</si>
  <si>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</si>
  <si>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</si>
  <si>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</si>
  <si>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</si>
  <si>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</si>
  <si>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</si>
  <si>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</si>
  <si>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</si>
  <si>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</si>
  <si>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</si>
  <si>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</si>
  <si>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</si>
  <si>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</si>
  <si>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</si>
  <si>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</si>
  <si>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</si>
  <si>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</si>
  <si>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</si>
  <si>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</si>
  <si>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</si>
  <si>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</si>
  <si>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</si>
  <si>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</si>
  <si>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</si>
  <si>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</si>
  <si>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</si>
  <si>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</si>
  <si>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</si>
  <si>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</si>
  <si>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</si>
  <si>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</si>
  <si>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</si>
  <si>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</si>
  <si>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</si>
  <si>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</si>
  <si>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</si>
  <si>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</si>
  <si>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</si>
  <si>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</si>
  <si>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</si>
  <si>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</si>
  <si>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</si>
  <si>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</si>
  <si>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</si>
  <si>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</si>
  <si>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</si>
  <si>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</si>
  <si>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</si>
  <si>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</si>
  <si>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</si>
  <si>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</si>
  <si>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</si>
  <si>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</si>
  <si>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</si>
  <si>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</si>
  <si>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</si>
  <si>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</si>
  <si>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</si>
  <si>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</si>
  <si>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</si>
  <si>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</si>
  <si>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</si>
  <si>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</si>
  <si>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</si>
  <si>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</si>
  <si>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</si>
  <si>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</si>
  <si>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</si>
  <si>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</si>
  <si>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</si>
  <si>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</si>
  <si>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</si>
  <si>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</si>
  <si>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</si>
  <si>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</si>
  <si>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</si>
  <si>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</si>
  <si>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</si>
  <si>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</si>
  <si>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</si>
  <si>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</si>
  <si>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</si>
  <si>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</si>
  <si>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</si>
  <si>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</si>
  <si>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</si>
  <si>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</si>
  <si>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</si>
  <si>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</si>
  <si>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</si>
  <si>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</si>
  <si>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</si>
  <si>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</si>
  <si>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</si>
  <si>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</si>
  <si>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</si>
  <si>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</si>
  <si>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</si>
  <si>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</si>
  <si>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</si>
  <si>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</si>
  <si>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</si>
  <si>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</si>
  <si>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</si>
  <si>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</si>
  <si>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</si>
  <si>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</si>
  <si>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</si>
  <si>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</si>
  <si>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</si>
  <si>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</si>
  <si>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</si>
  <si>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</si>
  <si>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</si>
  <si>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</si>
  <si>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</si>
  <si>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</si>
  <si>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</si>
  <si>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</si>
  <si>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</si>
  <si>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</si>
  <si>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</si>
  <si>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</si>
  <si>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</si>
  <si>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</si>
  <si>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</si>
  <si>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</si>
  <si>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</si>
  <si>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</si>
  <si>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</si>
  <si>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</si>
  <si>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</si>
  <si>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</si>
  <si>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</si>
  <si>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</si>
  <si>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</si>
  <si>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</si>
  <si>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</si>
  <si>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</si>
  <si>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</si>
  <si>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</si>
  <si>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</si>
  <si>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</si>
  <si>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</si>
  <si>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</si>
  <si>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</si>
  <si>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</si>
  <si>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</si>
  <si>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</si>
  <si>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</si>
  <si>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</si>
  <si>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</si>
  <si>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</si>
  <si>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</si>
  <si>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</si>
  <si>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</si>
  <si>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</si>
  <si>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</si>
  <si>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</si>
  <si>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</si>
  <si>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</si>
  <si>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</si>
  <si>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</si>
  <si>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</si>
  <si>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</si>
  <si>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</si>
  <si>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</si>
  <si>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</si>
  <si>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</si>
  <si>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</si>
  <si>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</si>
  <si>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</si>
  <si>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</si>
  <si>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</si>
  <si>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</si>
  <si>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</si>
  <si>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</si>
  <si>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</si>
  <si>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</si>
  <si>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</si>
  <si>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</si>
  <si>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</si>
  <si>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</si>
  <si>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</si>
  <si>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</si>
  <si>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</si>
  <si>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</si>
  <si>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</si>
  <si>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</si>
  <si>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</si>
  <si>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</si>
  <si>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</si>
  <si>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</si>
  <si>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</si>
  <si>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</si>
  <si>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</si>
  <si>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</si>
  <si>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</si>
  <si>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</si>
  <si>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</si>
  <si>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</si>
  <si>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</si>
  <si>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</si>
  <si>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</si>
  <si>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</si>
  <si>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</si>
  <si>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</si>
  <si>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</si>
  <si>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</si>
  <si>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</si>
  <si>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</si>
  <si>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</si>
  <si>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</si>
  <si>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</si>
  <si>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</si>
  <si>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</si>
  <si>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</si>
  <si>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</si>
  <si>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</si>
  <si>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</si>
  <si>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</si>
  <si>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</si>
  <si>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</si>
  <si>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</si>
  <si>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</si>
  <si>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</si>
  <si>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</si>
  <si>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</si>
  <si>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</si>
  <si>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</si>
  <si>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</si>
  <si>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</si>
  <si>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</si>
  <si>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</si>
  <si>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</si>
  <si>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</si>
  <si>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</si>
  <si>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</si>
  <si>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</si>
  <si>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</si>
  <si>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</si>
  <si>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</si>
  <si>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</si>
  <si>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</si>
  <si>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</si>
  <si>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</si>
  <si>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</si>
  <si>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</si>
  <si>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</si>
  <si>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</si>
  <si>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</si>
  <si>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</si>
  <si>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</si>
  <si>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</si>
  <si>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</si>
  <si>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</si>
  <si>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</si>
  <si>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</si>
  <si>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</si>
  <si>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</si>
  <si>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</si>
  <si>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</si>
  <si>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</si>
  <si>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</si>
  <si>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</si>
  <si>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</si>
  <si>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</si>
  <si>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</si>
  <si>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</si>
  <si>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</si>
  <si>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</si>
  <si>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</si>
  <si>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</si>
  <si>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</si>
  <si>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</si>
  <si>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</si>
  <si>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</si>
  <si>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</si>
  <si>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</si>
  <si>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</si>
  <si>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</si>
  <si>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</si>
  <si>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</si>
  <si>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</si>
  <si>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</si>
  <si>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</si>
  <si>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</si>
  <si>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</si>
  <si>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</si>
  <si>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</si>
  <si>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</si>
  <si>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</si>
  <si>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</si>
  <si>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</si>
  <si>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</si>
  <si>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</si>
  <si>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</si>
  <si>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</si>
  <si>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</si>
  <si>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</si>
  <si>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</si>
  <si>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</si>
  <si>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</si>
  <si>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</si>
  <si>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</si>
  <si>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</si>
  <si>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</si>
  <si>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</si>
  <si>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</si>
  <si>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</si>
  <si>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</si>
  <si>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</si>
  <si>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</si>
  <si>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</si>
  <si>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</si>
  <si>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</si>
  <si>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</si>
  <si>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</si>
  <si>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</si>
  <si>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</si>
  <si>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</si>
  <si>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</si>
  <si>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</si>
  <si>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</si>
  <si>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</si>
  <si>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</si>
  <si>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</si>
  <si>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</si>
  <si>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</si>
  <si>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</si>
  <si>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</si>
  <si>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</si>
  <si>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</si>
  <si>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</si>
  <si>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</si>
  <si>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</si>
  <si>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</si>
  <si>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</si>
  <si>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</si>
  <si>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</si>
  <si>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</si>
  <si>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</si>
  <si>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</si>
  <si>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</si>
  <si>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</si>
  <si>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</si>
  <si>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</si>
  <si>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</si>
  <si>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</si>
  <si>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</si>
  <si>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</si>
  <si>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</si>
  <si>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</si>
  <si>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</si>
  <si>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</si>
  <si>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</si>
  <si>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</si>
  <si>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</si>
  <si>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</si>
  <si>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</si>
  <si>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</si>
  <si>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</si>
  <si>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</si>
  <si>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</si>
  <si>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</si>
  <si>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</si>
  <si>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</si>
  <si>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</si>
  <si>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</si>
  <si>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</si>
  <si>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</si>
  <si>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</si>
  <si>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</si>
  <si>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</si>
  <si>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</si>
  <si>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</si>
  <si>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</si>
  <si>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</si>
  <si>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</si>
  <si>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</si>
  <si>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</si>
  <si>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</si>
  <si>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</si>
  <si>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</si>
  <si>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</si>
  <si>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</si>
  <si>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</si>
  <si>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</si>
  <si>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</si>
  <si>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</si>
  <si>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</si>
  <si>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</si>
  <si>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</si>
  <si>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</si>
  <si>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</si>
  <si>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</si>
  <si>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</si>
  <si>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</si>
  <si>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</si>
  <si>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</si>
  <si>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</si>
  <si>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</si>
  <si>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</si>
  <si>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</si>
  <si>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</si>
  <si>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</si>
  <si>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</si>
  <si>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</si>
  <si>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</si>
  <si>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</si>
  <si>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</si>
  <si>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</si>
  <si>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</si>
  <si>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</si>
  <si>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</si>
  <si>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</si>
  <si>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</si>
  <si>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</si>
  <si>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</si>
  <si>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</si>
  <si>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</si>
  <si>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</si>
  <si>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</si>
  <si>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</si>
  <si>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</si>
  <si>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</si>
  <si>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</si>
  <si>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</si>
  <si>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</si>
  <si>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</si>
  <si>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</si>
  <si>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</si>
  <si>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</si>
  <si>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</si>
  <si>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</si>
  <si>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</si>
  <si>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</si>
  <si>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</si>
  <si>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</si>
  <si>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</si>
  <si>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</si>
  <si>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</si>
  <si>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</si>
  <si>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</si>
  <si>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</si>
  <si>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</si>
  <si>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</si>
  <si>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</si>
  <si>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</si>
  <si>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</si>
  <si>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</si>
  <si>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</si>
  <si>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</si>
  <si>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</si>
  <si>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</si>
  <si>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</si>
  <si>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</si>
  <si>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</si>
  <si>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</si>
  <si>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</si>
  <si>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</si>
  <si>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</si>
  <si>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</si>
  <si>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</si>
  <si>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</si>
  <si>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</si>
  <si>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</si>
  <si>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</si>
  <si>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</si>
  <si>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</si>
  <si>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</si>
  <si>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</si>
  <si>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</si>
  <si>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</si>
  <si>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</si>
  <si>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</si>
  <si>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</si>
  <si>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</si>
  <si>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</si>
  <si>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</si>
  <si>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</si>
  <si>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</si>
  <si>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</si>
  <si>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</si>
  <si>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</si>
  <si>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</si>
  <si>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</si>
  <si>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</si>
  <si>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</si>
  <si>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</si>
  <si>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</si>
  <si>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</si>
  <si>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</si>
  <si>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</si>
  <si>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</si>
  <si>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</si>
  <si>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</si>
  <si>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</si>
  <si>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</si>
  <si>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</si>
  <si>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</si>
  <si>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</si>
  <si>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</si>
  <si>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</si>
  <si>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</si>
  <si>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</si>
  <si>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</si>
  <si>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</si>
  <si>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</si>
  <si>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</si>
  <si>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</si>
  <si>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</si>
  <si>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</si>
  <si>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</si>
  <si>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</si>
  <si>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</si>
  <si>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</si>
  <si>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</si>
  <si>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</si>
  <si>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</si>
  <si>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</si>
  <si>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</si>
  <si>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</si>
  <si>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</si>
  <si>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</si>
  <si>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</si>
  <si>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</si>
  <si>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</si>
  <si>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</si>
  <si>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</si>
  <si>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</si>
  <si>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</si>
  <si>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</si>
  <si>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</si>
  <si>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</si>
  <si>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</si>
  <si>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</si>
  <si>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</si>
  <si>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</si>
  <si>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</si>
  <si>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</si>
  <si>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</si>
  <si>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</si>
  <si>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</si>
  <si>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</si>
  <si>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</si>
  <si>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</si>
  <si>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</si>
  <si>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</si>
  <si>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</si>
  <si>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</si>
  <si>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</si>
  <si>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</si>
  <si>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</si>
  <si>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</si>
  <si>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</si>
  <si>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</si>
  <si>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</si>
  <si>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</si>
  <si>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</si>
  <si>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</si>
  <si>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</si>
  <si>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</si>
  <si>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</si>
  <si>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</si>
  <si>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</si>
  <si>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</si>
  <si>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</si>
  <si>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</si>
  <si>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</si>
  <si>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</si>
  <si>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</si>
  <si>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</si>
  <si>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</si>
  <si>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</si>
  <si>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</si>
  <si>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</si>
  <si>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</si>
  <si>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</si>
  <si>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</si>
  <si>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</si>
  <si>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</si>
  <si>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</si>
  <si>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</si>
  <si>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</si>
  <si>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</si>
  <si>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</si>
  <si>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</si>
  <si>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</si>
  <si>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</si>
  <si>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</si>
  <si>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</si>
  <si>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</si>
  <si>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</si>
  <si>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</si>
  <si>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</si>
  <si>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</si>
  <si>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</si>
  <si>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</si>
  <si>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</si>
  <si>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</si>
  <si>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</si>
  <si>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</si>
  <si>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</si>
  <si>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</si>
  <si>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</si>
  <si>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</si>
  <si>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</si>
  <si>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</si>
  <si>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</si>
  <si>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</si>
  <si>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</si>
  <si>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</si>
  <si>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</si>
  <si>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</si>
  <si>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</si>
  <si>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</si>
  <si>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</si>
  <si>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</si>
  <si>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</si>
  <si>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</si>
  <si>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</si>
  <si>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</si>
  <si>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</si>
  <si>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</si>
  <si>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</si>
  <si>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</si>
  <si>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</si>
  <si>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</si>
  <si>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</si>
  <si>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</si>
  <si>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</si>
  <si>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</si>
  <si>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</si>
  <si>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</si>
  <si>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</si>
  <si>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</si>
  <si>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</si>
  <si>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</si>
  <si>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</si>
  <si>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</si>
  <si>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</si>
  <si>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</si>
  <si>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</si>
  <si>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</si>
  <si>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</si>
  <si>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</si>
  <si>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</si>
  <si>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</si>
  <si>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</si>
  <si>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</si>
  <si>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</si>
  <si>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</si>
  <si>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</si>
  <si>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</si>
  <si>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</si>
  <si>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</si>
  <si>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</si>
  <si>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</si>
  <si>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</si>
  <si>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</si>
  <si>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</si>
  <si>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</si>
  <si>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</si>
  <si>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</si>
  <si>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</si>
  <si>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</si>
  <si>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</si>
  <si>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</si>
  <si>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</si>
  <si>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</si>
  <si>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</si>
  <si>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</si>
  <si>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</si>
  <si>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</si>
  <si>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</si>
  <si>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</si>
  <si>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</si>
  <si>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</si>
  <si>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</si>
  <si>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</si>
  <si>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</si>
  <si>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</si>
  <si>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</si>
  <si>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</si>
  <si>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</si>
  <si>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</si>
  <si>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</si>
  <si>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</si>
  <si>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</si>
  <si>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</si>
  <si>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</si>
  <si>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</si>
  <si>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</si>
  <si>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</si>
  <si>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</si>
  <si>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</si>
  <si>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</si>
  <si>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</si>
  <si>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</si>
  <si>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</si>
  <si>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</si>
  <si>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</si>
  <si>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</si>
  <si>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</si>
  <si>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</si>
  <si>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</si>
  <si>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</si>
  <si>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</si>
  <si>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</si>
  <si>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</si>
  <si>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</si>
  <si>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</si>
  <si>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</si>
  <si>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</si>
  <si>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</si>
  <si>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</si>
  <si>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</si>
  <si>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</si>
  <si>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</si>
  <si>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</si>
  <si>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</si>
  <si>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</si>
  <si>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</si>
  <si>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</si>
  <si>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</si>
  <si>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</si>
  <si>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</si>
  <si>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</si>
  <si>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</si>
  <si>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</si>
  <si>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</si>
  <si>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</si>
  <si>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</si>
  <si>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</si>
  <si>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</si>
  <si>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</si>
  <si>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</si>
  <si>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</si>
  <si>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</si>
  <si>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</si>
  <si>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</si>
  <si>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</si>
  <si>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</si>
  <si>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</si>
  <si>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</si>
  <si>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</si>
  <si>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</si>
  <si>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</si>
  <si>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</si>
  <si>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</si>
  <si>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</si>
  <si>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</si>
  <si>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</si>
  <si>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</si>
  <si>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</si>
  <si>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</si>
  <si>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</si>
  <si>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</si>
  <si>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</si>
  <si>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</si>
  <si>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</si>
  <si>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</si>
  <si>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</si>
  <si>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</si>
  <si>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</si>
  <si>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</si>
  <si>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</si>
  <si>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</si>
  <si>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</si>
  <si>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</si>
  <si>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</si>
  <si>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</si>
  <si>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</si>
  <si>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</si>
  <si>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</si>
  <si>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</si>
  <si>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</si>
  <si>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</si>
  <si>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</si>
  <si>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</si>
  <si>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</si>
  <si>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</si>
  <si>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</si>
  <si>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</si>
  <si>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</si>
  <si>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</si>
  <si>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</si>
  <si>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</si>
  <si>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</si>
  <si>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</si>
  <si>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</si>
  <si>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</si>
  <si>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</si>
  <si>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</si>
  <si>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</si>
  <si>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</si>
  <si>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</si>
  <si>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</si>
  <si>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</si>
  <si>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</si>
  <si>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</si>
  <si>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</si>
  <si>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</si>
  <si>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</si>
  <si>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</si>
  <si>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</si>
  <si>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</si>
  <si>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</si>
  <si>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</si>
  <si>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</si>
  <si>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</si>
  <si>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</si>
  <si>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</si>
  <si>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</si>
  <si>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</si>
  <si>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</si>
  <si>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</si>
  <si>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</si>
  <si>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</si>
  <si>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</si>
  <si>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</si>
  <si>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</si>
  <si>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</si>
  <si>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</si>
  <si>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</si>
  <si>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</si>
  <si>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</si>
  <si>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</si>
  <si>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</si>
  <si>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</si>
  <si>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</si>
  <si>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</si>
  <si>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</si>
  <si>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</si>
  <si>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</si>
  <si>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</si>
  <si>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</si>
  <si>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</si>
  <si>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</si>
  <si>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</si>
  <si>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</si>
  <si>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</si>
  <si>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</si>
  <si>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</si>
  <si>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</si>
  <si>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</si>
  <si>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</si>
  <si>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</si>
  <si>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</si>
  <si>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</si>
  <si>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</si>
  <si>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</si>
  <si>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</si>
  <si>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</si>
  <si>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</si>
  <si>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</si>
  <si>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</si>
  <si>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</si>
  <si>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</si>
  <si>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</si>
  <si>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</si>
  <si>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</si>
  <si>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</si>
  <si>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</si>
  <si>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</si>
  <si>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</si>
  <si>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</si>
  <si>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</si>
  <si>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</si>
  <si>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</si>
  <si>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</si>
  <si>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</si>
  <si>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</si>
  <si>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</si>
  <si>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</si>
  <si>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</si>
  <si>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</si>
  <si>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</si>
  <si>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</si>
  <si>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</si>
  <si>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</si>
  <si>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</si>
  <si>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</si>
  <si>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</si>
  <si>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</si>
  <si>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</si>
  <si>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</si>
  <si>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</si>
  <si>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</si>
  <si>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</si>
  <si>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</si>
  <si>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</si>
  <si>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</si>
  <si>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</si>
  <si>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</si>
  <si>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</si>
  <si>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</si>
  <si>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</si>
  <si>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</si>
  <si>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</si>
  <si>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</si>
  <si>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</si>
  <si>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</si>
  <si>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</si>
  <si>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</si>
  <si>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</si>
  <si>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</si>
  <si>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</si>
  <si>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</si>
  <si>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</si>
  <si>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</si>
  <si>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</si>
  <si>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</si>
  <si>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</si>
  <si>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</si>
  <si>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</si>
  <si>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</si>
  <si>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</si>
  <si>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</si>
  <si>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</si>
  <si>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</si>
  <si>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</si>
  <si>
    <t>BIMBO-QUESOS-POLLO-TOCINO</t>
  </si>
  <si>
    <t>CREMA-JAMON--QUESOS-CHORIZO-PATA-VINAGRE</t>
  </si>
  <si>
    <t>POLLO--QUESO</t>
  </si>
  <si>
    <t>PASTOR--POLLO-CHORIZO-VINAGRE-JAMON</t>
  </si>
  <si>
    <t>NOMINA  # 38</t>
  </si>
  <si>
    <t>Nomina # 38</t>
  </si>
  <si>
    <t>Lengua res-Tostadas-POLLO-QUESOS--FLETE</t>
  </si>
  <si>
    <t>QUESO-ARABE-SALAMI-PEPERONI-TOCINETA</t>
  </si>
  <si>
    <t>ARABE-JAMON-PECHUGA-POSTRES-QUESOS-POLLO-CHORIZO-SALCHICHA</t>
  </si>
  <si>
    <t>JAMON-QUESOS-POLLO- BIMBO</t>
  </si>
  <si>
    <t>Jamon-LOMO-MIEL-PAN-QUESO-SALCHICA-POLLO-PASTOR</t>
  </si>
  <si>
    <t>POLLO-CREMA-QUESOS-PASTOR-FILETE-VERDIRAS</t>
  </si>
  <si>
    <t>ERIKA 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</si>
</sst>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FFCCCC"/>
      <color rgb="FFCC9900"/>
      <color rgb="FFFFCC99"/>
      <color rgb="FF00FFFF"/>
      <color rgb="FF0000FF"/>
      <color rgb="FFCC99FF"/>
      <color rgb="FF00FF00"/>
      <color rgb="FFFF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26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3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40">
        <f>SUM(M5:M40)</f>
        <v>1399609.5</v>
      </c>
      <c r="N49" s="640">
        <f>SUM(N5:N40)</f>
        <v>910600</v>
      </c>
      <c r="P49" s="111">
        <f>SUM(P5:P40)</f>
        <v>3236981.46</v>
      </c>
      <c r="Q49" s="65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41"/>
      <c r="N50" s="641"/>
      <c r="P50" s="44"/>
      <c r="Q50" s="65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18">
        <f>M49+N49</f>
        <v>2310209.5</v>
      </c>
      <c r="N53" s="61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1552957.04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-123007.98000000021</v>
      </c>
      <c r="I78" s="157"/>
      <c r="J78" s="158"/>
    </row>
    <row r="79" spans="1:17" ht="18.75" x14ac:dyDescent="0.3">
      <c r="D79" s="643" t="s">
        <v>17</v>
      </c>
      <c r="E79" s="643"/>
      <c r="F79" s="101">
        <v>-1513561.68</v>
      </c>
      <c r="I79" s="644" t="s">
        <v>18</v>
      </c>
      <c r="J79" s="645"/>
      <c r="K79" s="646">
        <f>F81+F82+F83</f>
        <v>1950142.8099999996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47">
        <f>-C4</f>
        <v>-3445405.07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35" t="s">
        <v>24</v>
      </c>
      <c r="E83" s="636"/>
      <c r="F83" s="173">
        <v>3504178.07</v>
      </c>
      <c r="I83" s="637" t="s">
        <v>220</v>
      </c>
      <c r="J83" s="638"/>
      <c r="K83" s="639">
        <f>K79+K81</f>
        <v>-1495262.2600000002</v>
      </c>
      <c r="L83" s="63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63" t="s">
        <v>35</v>
      </c>
      <c r="J67" s="66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3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22"/>
      <c r="C1" s="624" t="s">
        <v>642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1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467" t="s">
        <v>509</v>
      </c>
      <c r="R3" s="674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40">
        <f>SUM(M5:M40)</f>
        <v>1601794.8800000001</v>
      </c>
      <c r="N49" s="640">
        <f>SUM(N5:N40)</f>
        <v>1523056</v>
      </c>
      <c r="P49" s="111">
        <f>SUM(P5:P40)</f>
        <v>3794729.3800000004</v>
      </c>
      <c r="Q49" s="652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41"/>
      <c r="N50" s="641"/>
      <c r="P50" s="44"/>
      <c r="Q50" s="653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18">
        <f>M49+N49</f>
        <v>3124850.88</v>
      </c>
      <c r="N53" s="61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48" t="s">
        <v>15</v>
      </c>
      <c r="I69" s="649"/>
      <c r="J69" s="154"/>
      <c r="K69" s="650">
        <f>I67+L67</f>
        <v>513056.63999999996</v>
      </c>
      <c r="L69" s="651"/>
      <c r="M69" s="155"/>
      <c r="N69" s="155"/>
      <c r="P69" s="44"/>
      <c r="Q69" s="19"/>
    </row>
    <row r="70" spans="1:17" x14ac:dyDescent="0.25">
      <c r="D70" s="642" t="s">
        <v>16</v>
      </c>
      <c r="E70" s="642"/>
      <c r="F70" s="156">
        <f>F67-K69-C67</f>
        <v>1446986.8899999997</v>
      </c>
      <c r="I70" s="157"/>
      <c r="J70" s="158"/>
    </row>
    <row r="71" spans="1:17" ht="18.75" x14ac:dyDescent="0.3">
      <c r="D71" s="643" t="s">
        <v>17</v>
      </c>
      <c r="E71" s="643"/>
      <c r="F71" s="101">
        <f>-'   COMPRAS     JUNIO     2023  '!G67</f>
        <v>-1585182.9300000004</v>
      </c>
      <c r="I71" s="644" t="s">
        <v>18</v>
      </c>
      <c r="J71" s="645"/>
      <c r="K71" s="646">
        <f>F73+F74+F75</f>
        <v>3054589.7999999993</v>
      </c>
      <c r="L71" s="646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47">
        <f>-C4</f>
        <v>-3897967.53</v>
      </c>
      <c r="L73" s="646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35" t="s">
        <v>24</v>
      </c>
      <c r="E75" s="636"/>
      <c r="F75" s="173">
        <v>3131387.04</v>
      </c>
      <c r="I75" s="637" t="s">
        <v>764</v>
      </c>
      <c r="J75" s="638"/>
      <c r="K75" s="639">
        <f>K71+K73</f>
        <v>-843377.73000000045</v>
      </c>
      <c r="L75" s="63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63" t="s">
        <v>35</v>
      </c>
      <c r="J67" s="66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7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2"/>
      <c r="C1" s="624" t="s">
        <v>765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40">
        <f>SUM(M5:M40)</f>
        <v>2422108.7600000002</v>
      </c>
      <c r="N49" s="640">
        <f>SUM(N5:N40)</f>
        <v>1603736</v>
      </c>
      <c r="P49" s="111">
        <f>SUM(P5:P40)</f>
        <v>4927758.76</v>
      </c>
      <c r="Q49" s="652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41"/>
      <c r="N50" s="641"/>
      <c r="P50" s="44"/>
      <c r="Q50" s="653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18">
        <f>M49+N49</f>
        <v>4025844.7600000002</v>
      </c>
      <c r="N53" s="619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48" t="s">
        <v>15</v>
      </c>
      <c r="I69" s="649"/>
      <c r="J69" s="154"/>
      <c r="K69" s="650">
        <f>I67+L67</f>
        <v>792651.90999999992</v>
      </c>
      <c r="L69" s="651"/>
      <c r="M69" s="155"/>
      <c r="N69" s="155"/>
      <c r="P69" s="44"/>
      <c r="Q69" s="19"/>
    </row>
    <row r="70" spans="1:17" x14ac:dyDescent="0.25">
      <c r="D70" s="642" t="s">
        <v>16</v>
      </c>
      <c r="E70" s="642"/>
      <c r="F70" s="156">
        <f>F67-K69-C67</f>
        <v>896993.63999999966</v>
      </c>
      <c r="I70" s="157"/>
      <c r="J70" s="158"/>
    </row>
    <row r="71" spans="1:17" ht="18.75" x14ac:dyDescent="0.3">
      <c r="D71" s="643" t="s">
        <v>17</v>
      </c>
      <c r="E71" s="643"/>
      <c r="F71" s="101">
        <v>-931631.77</v>
      </c>
      <c r="I71" s="644" t="s">
        <v>18</v>
      </c>
      <c r="J71" s="645"/>
      <c r="K71" s="646">
        <f>F73+F74+F75</f>
        <v>2818686.5799999996</v>
      </c>
      <c r="L71" s="646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47">
        <f>-C4</f>
        <v>-3131387.04</v>
      </c>
      <c r="L73" s="646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35" t="s">
        <v>24</v>
      </c>
      <c r="E75" s="636"/>
      <c r="F75" s="173">
        <v>2820551.31</v>
      </c>
      <c r="I75" s="637" t="s">
        <v>220</v>
      </c>
      <c r="J75" s="638"/>
      <c r="K75" s="639">
        <f>K71+K73</f>
        <v>-312700.46000000043</v>
      </c>
      <c r="L75" s="63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57" t="s">
        <v>35</v>
      </c>
      <c r="J37" s="658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59"/>
      <c r="J38" s="660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61"/>
      <c r="J39" s="662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63" t="s">
        <v>35</v>
      </c>
      <c r="J67" s="664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73" workbookViewId="0">
      <selection activeCell="K40" sqref="K4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2"/>
      <c r="C1" s="624" t="s">
        <v>765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40">
        <f>SUM(M5:M40)</f>
        <v>2901103.23</v>
      </c>
      <c r="N49" s="640">
        <f>SUM(N5:N40)</f>
        <v>2054394</v>
      </c>
      <c r="P49" s="111">
        <f>SUM(P5:P40)</f>
        <v>6121324.54</v>
      </c>
      <c r="Q49" s="652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41"/>
      <c r="N50" s="641"/>
      <c r="P50" s="44"/>
      <c r="Q50" s="653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18">
        <f>M49+N49</f>
        <v>4955497.2300000004</v>
      </c>
      <c r="N53" s="619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48" t="s">
        <v>15</v>
      </c>
      <c r="I81" s="649"/>
      <c r="J81" s="154"/>
      <c r="K81" s="650">
        <f>I79+L79</f>
        <v>778945.87000000011</v>
      </c>
      <c r="L81" s="651"/>
      <c r="M81" s="155"/>
      <c r="N81" s="155"/>
      <c r="P81" s="44"/>
      <c r="Q81" s="19"/>
    </row>
    <row r="82" spans="1:17" x14ac:dyDescent="0.25">
      <c r="D82" s="642" t="s">
        <v>16</v>
      </c>
      <c r="E82" s="642"/>
      <c r="F82" s="156">
        <f>F79-K81-C79</f>
        <v>-1236634.8499999987</v>
      </c>
      <c r="I82" s="157"/>
      <c r="J82" s="158"/>
    </row>
    <row r="83" spans="1:17" ht="18.75" x14ac:dyDescent="0.3">
      <c r="D83" s="643" t="s">
        <v>17</v>
      </c>
      <c r="E83" s="643"/>
      <c r="F83" s="101">
        <v>-1249902.31</v>
      </c>
      <c r="I83" s="644" t="s">
        <v>18</v>
      </c>
      <c r="J83" s="645"/>
      <c r="K83" s="646">
        <f>F85+F86+F87</f>
        <v>552770.9000000013</v>
      </c>
      <c r="L83" s="646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-2713122.7599999988</v>
      </c>
      <c r="H85" s="168"/>
      <c r="I85" s="169" t="s">
        <v>21</v>
      </c>
      <c r="J85" s="170"/>
      <c r="K85" s="647">
        <f>-C4</f>
        <v>-2820551.31</v>
      </c>
      <c r="L85" s="646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35" t="s">
        <v>24</v>
      </c>
      <c r="E87" s="636"/>
      <c r="F87" s="173">
        <v>3146460.66</v>
      </c>
      <c r="I87" s="637" t="s">
        <v>764</v>
      </c>
      <c r="J87" s="638"/>
      <c r="K87" s="639">
        <f>K83+K85</f>
        <v>-2267780.4099999988</v>
      </c>
      <c r="L87" s="639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34" workbookViewId="0">
      <selection activeCell="K45" sqref="K45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57" t="s">
        <v>35</v>
      </c>
      <c r="J49" s="658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63" t="s">
        <v>35</v>
      </c>
      <c r="J65" s="664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72"/>
      <c r="J66" s="673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C78" activePane="bottomRight" state="frozen"/>
      <selection pane="topRight" activeCell="C1" sqref="C1"/>
      <selection pane="bottomLeft" activeCell="A5" sqref="A5"/>
      <selection pane="bottomRight" activeCell="F87" sqref="F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22"/>
      <c r="C1" s="624" t="s">
        <v>1082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8" thickBot="1" x14ac:dyDescent="0.35">
      <c r="B2" s="623"/>
      <c r="C2" s="5"/>
      <c r="H2" s="8"/>
      <c r="I2" s="9"/>
      <c r="J2" s="676" t="s">
        <v>1122</v>
      </c>
      <c r="K2" s="677"/>
      <c r="L2" s="677"/>
      <c r="M2" s="678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>
        <v>11586</v>
      </c>
      <c r="D21" s="47" t="s">
        <v>1129</v>
      </c>
      <c r="E21" s="35">
        <v>45188</v>
      </c>
      <c r="F21" s="36">
        <v>153124</v>
      </c>
      <c r="G21" s="37"/>
      <c r="H21" s="38">
        <v>45188</v>
      </c>
      <c r="I21" s="39">
        <v>4559.5</v>
      </c>
      <c r="J21" s="40"/>
      <c r="K21" s="402"/>
      <c r="L21" s="55"/>
      <c r="M21" s="42">
        <f>81452.5+3776+1906+4400</f>
        <v>91534.5</v>
      </c>
      <c r="N21" s="43">
        <v>45444</v>
      </c>
      <c r="P21" s="49">
        <f t="shared" si="0"/>
        <v>153124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>
        <v>29238.5</v>
      </c>
      <c r="D22" s="47" t="s">
        <v>1130</v>
      </c>
      <c r="E22" s="35">
        <v>45189</v>
      </c>
      <c r="F22" s="36">
        <v>143277</v>
      </c>
      <c r="G22" s="37"/>
      <c r="H22" s="38">
        <v>45189</v>
      </c>
      <c r="I22" s="359">
        <v>2683</v>
      </c>
      <c r="J22" s="40"/>
      <c r="K22" s="506"/>
      <c r="L22" s="62"/>
      <c r="M22" s="42">
        <f>47742.5+3409+3320+7700</f>
        <v>62171.5</v>
      </c>
      <c r="N22" s="43">
        <v>49184</v>
      </c>
      <c r="P22" s="49">
        <f t="shared" si="0"/>
        <v>143277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>
        <v>8054</v>
      </c>
      <c r="D23" s="47" t="s">
        <v>1131</v>
      </c>
      <c r="E23" s="35">
        <v>45190</v>
      </c>
      <c r="F23" s="36">
        <v>126860</v>
      </c>
      <c r="G23" s="37"/>
      <c r="H23" s="38">
        <v>45190</v>
      </c>
      <c r="I23" s="39">
        <v>2847</v>
      </c>
      <c r="J23" s="64"/>
      <c r="K23" s="65"/>
      <c r="L23" s="55"/>
      <c r="M23" s="42">
        <f>44161+5165</f>
        <v>49326</v>
      </c>
      <c r="N23" s="43">
        <v>66633</v>
      </c>
      <c r="P23" s="49">
        <f t="shared" si="0"/>
        <v>126860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>
        <v>14000</v>
      </c>
      <c r="D24" s="51" t="s">
        <v>1132</v>
      </c>
      <c r="E24" s="35">
        <v>45191</v>
      </c>
      <c r="F24" s="36">
        <v>167942</v>
      </c>
      <c r="G24" s="37"/>
      <c r="H24" s="38">
        <v>45191</v>
      </c>
      <c r="I24" s="39">
        <v>2678</v>
      </c>
      <c r="J24" s="66"/>
      <c r="K24" s="65"/>
      <c r="L24" s="67"/>
      <c r="M24" s="42">
        <f>102995+648</f>
        <v>103643</v>
      </c>
      <c r="N24" s="43">
        <v>47621</v>
      </c>
      <c r="P24" s="49">
        <f>N24+M24+L24+I24+C24</f>
        <v>167942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>
        <v>20070.5</v>
      </c>
      <c r="D25" s="47" t="s">
        <v>1135</v>
      </c>
      <c r="E25" s="35">
        <v>45192</v>
      </c>
      <c r="F25" s="36">
        <v>165529</v>
      </c>
      <c r="G25" s="37"/>
      <c r="H25" s="38">
        <v>45192</v>
      </c>
      <c r="I25" s="39">
        <v>3710</v>
      </c>
      <c r="J25" s="64">
        <v>45192</v>
      </c>
      <c r="K25" s="65" t="s">
        <v>1133</v>
      </c>
      <c r="L25" s="68">
        <v>24181</v>
      </c>
      <c r="M25" s="42">
        <f>46834.5+6015</f>
        <v>52849.5</v>
      </c>
      <c r="N25" s="43">
        <v>64718</v>
      </c>
      <c r="P25" s="69">
        <f t="shared" si="0"/>
        <v>165529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>
        <v>12227</v>
      </c>
      <c r="D26" s="47" t="s">
        <v>1136</v>
      </c>
      <c r="E26" s="35">
        <v>45193</v>
      </c>
      <c r="F26" s="36">
        <v>128586</v>
      </c>
      <c r="G26" s="37"/>
      <c r="H26" s="38">
        <v>45193</v>
      </c>
      <c r="I26" s="39">
        <v>1380</v>
      </c>
      <c r="J26" s="40"/>
      <c r="K26" s="537"/>
      <c r="L26" s="71"/>
      <c r="M26" s="42">
        <f>66941+3794</f>
        <v>70735</v>
      </c>
      <c r="N26" s="43">
        <v>44244</v>
      </c>
      <c r="O26" s="2" t="s">
        <v>10</v>
      </c>
      <c r="P26" s="69">
        <f t="shared" si="0"/>
        <v>128586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>
        <v>31266</v>
      </c>
      <c r="D27" s="51" t="s">
        <v>1137</v>
      </c>
      <c r="E27" s="35">
        <v>45194</v>
      </c>
      <c r="F27" s="36">
        <v>133749</v>
      </c>
      <c r="G27" s="37"/>
      <c r="H27" s="38">
        <v>45194</v>
      </c>
      <c r="I27" s="39">
        <v>2472</v>
      </c>
      <c r="J27" s="337"/>
      <c r="K27" s="345"/>
      <c r="L27" s="68"/>
      <c r="M27" s="42">
        <v>67435</v>
      </c>
      <c r="N27" s="43">
        <v>32576</v>
      </c>
      <c r="P27" s="69">
        <f t="shared" si="0"/>
        <v>133749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>
        <v>16176</v>
      </c>
      <c r="D28" s="51" t="s">
        <v>1138</v>
      </c>
      <c r="E28" s="35">
        <v>45195</v>
      </c>
      <c r="F28" s="36">
        <v>163719</v>
      </c>
      <c r="G28" s="37"/>
      <c r="H28" s="38">
        <v>45195</v>
      </c>
      <c r="I28" s="39">
        <v>3190</v>
      </c>
      <c r="J28" s="338"/>
      <c r="K28" s="70"/>
      <c r="L28" s="68"/>
      <c r="M28" s="42">
        <f>80610+3210+1391+9900</f>
        <v>95111</v>
      </c>
      <c r="N28" s="43">
        <v>49242</v>
      </c>
      <c r="P28" s="69">
        <f t="shared" si="0"/>
        <v>163719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>
        <v>14045.5</v>
      </c>
      <c r="D29" s="76" t="s">
        <v>1139</v>
      </c>
      <c r="E29" s="35">
        <v>45196</v>
      </c>
      <c r="F29" s="36">
        <v>187881</v>
      </c>
      <c r="G29" s="37"/>
      <c r="H29" s="38">
        <v>45196</v>
      </c>
      <c r="I29" s="39">
        <v>3669</v>
      </c>
      <c r="J29" s="339"/>
      <c r="K29" s="539"/>
      <c r="L29" s="68"/>
      <c r="M29" s="42">
        <f>98355.5+25314+7700</f>
        <v>131369.5</v>
      </c>
      <c r="N29" s="43">
        <v>38797</v>
      </c>
      <c r="P29" s="69">
        <f t="shared" si="0"/>
        <v>187881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>
        <v>9192</v>
      </c>
      <c r="D30" s="76" t="s">
        <v>1140</v>
      </c>
      <c r="E30" s="35">
        <v>45197</v>
      </c>
      <c r="F30" s="36">
        <v>198970</v>
      </c>
      <c r="G30" s="37"/>
      <c r="H30" s="38">
        <v>45197</v>
      </c>
      <c r="I30" s="39">
        <v>2158</v>
      </c>
      <c r="J30" s="338">
        <v>45197</v>
      </c>
      <c r="K30" s="350" t="s">
        <v>1141</v>
      </c>
      <c r="L30" s="49">
        <v>4150</v>
      </c>
      <c r="M30" s="42">
        <f>122912+4669.74</f>
        <v>127581.74</v>
      </c>
      <c r="N30" s="43">
        <v>55888</v>
      </c>
      <c r="P30" s="69">
        <f t="shared" si="0"/>
        <v>198969.74</v>
      </c>
      <c r="Q30" s="45">
        <f t="shared" si="2"/>
        <v>-0.26000000000931323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>
        <v>6210</v>
      </c>
      <c r="D31" s="79" t="s">
        <v>1131</v>
      </c>
      <c r="E31" s="35">
        <v>45198</v>
      </c>
      <c r="F31" s="36">
        <v>164139</v>
      </c>
      <c r="G31" s="37"/>
      <c r="H31" s="38">
        <v>45198</v>
      </c>
      <c r="I31" s="39">
        <v>2755</v>
      </c>
      <c r="J31" s="338"/>
      <c r="K31" s="347"/>
      <c r="L31" s="68"/>
      <c r="M31" s="42">
        <f>92654+4668</f>
        <v>97322</v>
      </c>
      <c r="N31" s="43">
        <v>59102</v>
      </c>
      <c r="P31" s="69">
        <f t="shared" si="0"/>
        <v>165389</v>
      </c>
      <c r="Q31" s="45">
        <v>0</v>
      </c>
      <c r="R31" s="282">
        <v>1250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>
        <v>45192</v>
      </c>
      <c r="K36" s="610" t="s">
        <v>1134</v>
      </c>
      <c r="L36" s="611">
        <v>24149.5</v>
      </c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40">
        <f>SUM(M5:M40)</f>
        <v>2549017.7400000002</v>
      </c>
      <c r="N49" s="640">
        <f>SUM(N5:N40)</f>
        <v>1551885</v>
      </c>
      <c r="P49" s="111">
        <f>SUM(P5:P40)</f>
        <v>4761795.24</v>
      </c>
      <c r="Q49" s="652">
        <f>SUM(Q5:Q40)</f>
        <v>5.2399999999906868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41"/>
      <c r="N50" s="641"/>
      <c r="P50" s="44"/>
      <c r="Q50" s="653"/>
      <c r="R50" s="112">
        <f>SUM(R5:R49)</f>
        <v>37814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18">
        <f>M49+N49</f>
        <v>4100902.74</v>
      </c>
      <c r="N53" s="619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5538858.8500000006</v>
      </c>
      <c r="D79" s="520"/>
      <c r="E79" s="521" t="s">
        <v>12</v>
      </c>
      <c r="F79" s="522">
        <f>SUM(F5:F61)</f>
        <v>4723976</v>
      </c>
      <c r="G79" s="523"/>
      <c r="H79" s="521" t="s">
        <v>13</v>
      </c>
      <c r="I79" s="524">
        <f>SUM(I5:I61)</f>
        <v>86675.5</v>
      </c>
      <c r="J79" s="525"/>
      <c r="K79" s="526" t="s">
        <v>14</v>
      </c>
      <c r="L79" s="527">
        <f>SUM(L5:L77)-L26</f>
        <v>280156.63999999996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48" t="s">
        <v>15</v>
      </c>
      <c r="I81" s="649"/>
      <c r="J81" s="154"/>
      <c r="K81" s="650">
        <f>I79+L79</f>
        <v>366832.13999999996</v>
      </c>
      <c r="L81" s="651"/>
      <c r="M81" s="155"/>
      <c r="N81" s="155"/>
      <c r="P81" s="44"/>
      <c r="Q81" s="19"/>
    </row>
    <row r="82" spans="1:17" x14ac:dyDescent="0.25">
      <c r="D82" s="642" t="s">
        <v>16</v>
      </c>
      <c r="E82" s="642"/>
      <c r="F82" s="156">
        <f>F79-K81-C79</f>
        <v>-1181714.9900000002</v>
      </c>
      <c r="I82" s="157"/>
      <c r="J82" s="158"/>
    </row>
    <row r="83" spans="1:17" ht="18.75" x14ac:dyDescent="0.3">
      <c r="D83" s="643" t="s">
        <v>17</v>
      </c>
      <c r="E83" s="643"/>
      <c r="F83" s="101">
        <v>0</v>
      </c>
      <c r="I83" s="644" t="s">
        <v>18</v>
      </c>
      <c r="J83" s="645"/>
      <c r="K83" s="646">
        <f>F85+F86+F87</f>
        <v>2457933.2199999997</v>
      </c>
      <c r="L83" s="646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-1181714.9900000002</v>
      </c>
      <c r="H85" s="168"/>
      <c r="I85" s="169" t="s">
        <v>21</v>
      </c>
      <c r="J85" s="170"/>
      <c r="K85" s="647">
        <f>-C4</f>
        <v>-3146460.66</v>
      </c>
      <c r="L85" s="646"/>
      <c r="O85" s="536"/>
    </row>
    <row r="86" spans="1:17" ht="16.5" thickBot="1" x14ac:dyDescent="0.3">
      <c r="D86" s="171" t="s">
        <v>22</v>
      </c>
      <c r="E86" s="152" t="s">
        <v>23</v>
      </c>
      <c r="F86" s="101">
        <v>299136</v>
      </c>
    </row>
    <row r="87" spans="1:17" ht="20.25" thickTop="1" thickBot="1" x14ac:dyDescent="0.35">
      <c r="C87" s="172">
        <v>45198</v>
      </c>
      <c r="D87" s="635" t="s">
        <v>24</v>
      </c>
      <c r="E87" s="636"/>
      <c r="F87" s="173">
        <v>3340512.21</v>
      </c>
      <c r="I87" s="637" t="s">
        <v>764</v>
      </c>
      <c r="J87" s="638"/>
      <c r="K87" s="639">
        <f>K83+K85</f>
        <v>-688527.44000000041</v>
      </c>
      <c r="L87" s="639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  <mergeCell ref="J2:M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57" t="s">
        <v>35</v>
      </c>
      <c r="J49" s="658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63" t="s">
        <v>35</v>
      </c>
      <c r="J65" s="664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72"/>
      <c r="J66" s="673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63" t="s">
        <v>35</v>
      </c>
      <c r="J67" s="66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65"/>
      <c r="J68" s="66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120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3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40">
        <f>SUM(M5:M40)</f>
        <v>1964337.8699999999</v>
      </c>
      <c r="N49" s="640">
        <f>SUM(N5:N40)</f>
        <v>1314937</v>
      </c>
      <c r="P49" s="111">
        <f>SUM(P5:P40)</f>
        <v>3956557.8699999996</v>
      </c>
      <c r="Q49" s="652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41"/>
      <c r="N50" s="641"/>
      <c r="P50" s="44"/>
      <c r="Q50" s="653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18">
        <f>M49+N49</f>
        <v>3279274.87</v>
      </c>
      <c r="N53" s="61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526980.64000000013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1939381.5999999999</v>
      </c>
      <c r="I78" s="157"/>
      <c r="J78" s="158"/>
    </row>
    <row r="79" spans="1:17" ht="18.75" x14ac:dyDescent="0.3">
      <c r="D79" s="643" t="s">
        <v>17</v>
      </c>
      <c r="E79" s="643"/>
      <c r="F79" s="101">
        <v>-1830849.67</v>
      </c>
      <c r="I79" s="644" t="s">
        <v>18</v>
      </c>
      <c r="J79" s="645"/>
      <c r="K79" s="646">
        <f>F81+F82+F83</f>
        <v>3946521.55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47">
        <f>-C4</f>
        <v>-3504178.07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35" t="s">
        <v>24</v>
      </c>
      <c r="E83" s="636"/>
      <c r="F83" s="173">
        <v>3720574.62</v>
      </c>
      <c r="I83" s="669" t="s">
        <v>25</v>
      </c>
      <c r="J83" s="670"/>
      <c r="K83" s="671">
        <f>K79+K81</f>
        <v>442343.48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63" t="s">
        <v>35</v>
      </c>
      <c r="J67" s="66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238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40">
        <f>SUM(M5:M40)</f>
        <v>1803019.98</v>
      </c>
      <c r="N49" s="640">
        <f>SUM(N5:N40)</f>
        <v>1138524</v>
      </c>
      <c r="P49" s="111">
        <f>SUM(P5:P40)</f>
        <v>3684795.48</v>
      </c>
      <c r="Q49" s="652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41"/>
      <c r="N50" s="641"/>
      <c r="P50" s="44"/>
      <c r="Q50" s="653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18">
        <f>M49+N49</f>
        <v>2941543.98</v>
      </c>
      <c r="N53" s="61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646140.08000000031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1113109.92</v>
      </c>
      <c r="I78" s="157"/>
      <c r="J78" s="158"/>
    </row>
    <row r="79" spans="1:17" ht="18.75" x14ac:dyDescent="0.3">
      <c r="D79" s="643" t="s">
        <v>17</v>
      </c>
      <c r="E79" s="643"/>
      <c r="F79" s="101">
        <v>-1405309.97</v>
      </c>
      <c r="I79" s="644" t="s">
        <v>18</v>
      </c>
      <c r="J79" s="645"/>
      <c r="K79" s="646">
        <f>F81+F82+F83</f>
        <v>3400888.74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47">
        <f>-C4</f>
        <v>-3504178.07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35" t="s">
        <v>24</v>
      </c>
      <c r="E83" s="636"/>
      <c r="F83" s="173">
        <v>3567993.62</v>
      </c>
      <c r="I83" s="637" t="s">
        <v>220</v>
      </c>
      <c r="J83" s="638"/>
      <c r="K83" s="639">
        <f>K79+K81</f>
        <v>-103289.32999999961</v>
      </c>
      <c r="L83" s="63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63" t="s">
        <v>35</v>
      </c>
      <c r="J67" s="66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368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40">
        <f>SUM(M5:M40)</f>
        <v>2051765.3</v>
      </c>
      <c r="N49" s="640">
        <f>SUM(N5:N40)</f>
        <v>1741324</v>
      </c>
      <c r="P49" s="111">
        <f>SUM(P5:P40)</f>
        <v>4831473.13</v>
      </c>
      <c r="Q49" s="652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41"/>
      <c r="N50" s="641"/>
      <c r="P50" s="44"/>
      <c r="Q50" s="653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18">
        <f>M49+N49</f>
        <v>3793089.3</v>
      </c>
      <c r="N53" s="61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48" t="s">
        <v>15</v>
      </c>
      <c r="I79" s="649"/>
      <c r="J79" s="154"/>
      <c r="K79" s="650">
        <f>I77+L77</f>
        <v>739761.38</v>
      </c>
      <c r="L79" s="651"/>
      <c r="M79" s="155"/>
      <c r="N79" s="155"/>
      <c r="P79" s="44"/>
      <c r="Q79" s="19"/>
    </row>
    <row r="80" spans="1:17" x14ac:dyDescent="0.25">
      <c r="D80" s="642" t="s">
        <v>16</v>
      </c>
      <c r="E80" s="642"/>
      <c r="F80" s="156">
        <f>F77-K79-C77</f>
        <v>2011425.4899999998</v>
      </c>
      <c r="I80" s="157"/>
      <c r="J80" s="158"/>
    </row>
    <row r="81" spans="2:17" ht="18.75" x14ac:dyDescent="0.3">
      <c r="D81" s="643" t="s">
        <v>17</v>
      </c>
      <c r="E81" s="643"/>
      <c r="F81" s="101">
        <v>-2021696.34</v>
      </c>
      <c r="I81" s="644" t="s">
        <v>18</v>
      </c>
      <c r="J81" s="645"/>
      <c r="K81" s="646">
        <f>F83+F84+F85</f>
        <v>2945239.9399999995</v>
      </c>
      <c r="L81" s="646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47">
        <f>-C4</f>
        <v>-3567993.62</v>
      </c>
      <c r="L83" s="646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35" t="s">
        <v>24</v>
      </c>
      <c r="E85" s="636"/>
      <c r="F85" s="173">
        <v>3065283.79</v>
      </c>
      <c r="I85" s="637" t="s">
        <v>220</v>
      </c>
      <c r="J85" s="638"/>
      <c r="K85" s="639">
        <f>K81+K83</f>
        <v>-622753.68000000063</v>
      </c>
      <c r="L85" s="639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54"/>
      <c r="J36" s="655"/>
      <c r="K36" s="655"/>
      <c r="L36" s="65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54"/>
      <c r="J37" s="655"/>
      <c r="K37" s="655"/>
      <c r="L37" s="65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57" t="s">
        <v>35</v>
      </c>
      <c r="J40" s="65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59"/>
      <c r="J41" s="66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61"/>
      <c r="J42" s="66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63" t="s">
        <v>35</v>
      </c>
      <c r="J67" s="66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31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502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467" t="s">
        <v>509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40">
        <f>SUM(M5:M40)</f>
        <v>1683911.56</v>
      </c>
      <c r="N49" s="640">
        <f>SUM(N5:N40)</f>
        <v>1355406.15</v>
      </c>
      <c r="P49" s="111">
        <f>SUM(P5:P40)</f>
        <v>3685318.7</v>
      </c>
      <c r="Q49" s="652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41"/>
      <c r="N50" s="641"/>
      <c r="P50" s="44"/>
      <c r="Q50" s="653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18">
        <f>M49+N49</f>
        <v>3039317.71</v>
      </c>
      <c r="N53" s="61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484126.00999999989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1743477.6000000003</v>
      </c>
      <c r="I78" s="157"/>
      <c r="J78" s="158"/>
    </row>
    <row r="79" spans="1:17" ht="18.75" x14ac:dyDescent="0.3">
      <c r="D79" s="643" t="s">
        <v>17</v>
      </c>
      <c r="E79" s="643"/>
      <c r="F79" s="101">
        <v>-1542483.8</v>
      </c>
      <c r="I79" s="644" t="s">
        <v>18</v>
      </c>
      <c r="J79" s="645"/>
      <c r="K79" s="646">
        <f>F81+F82+F83</f>
        <v>4235033.33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47">
        <f>-C4</f>
        <v>-3065283.79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35" t="s">
        <v>24</v>
      </c>
      <c r="E83" s="636"/>
      <c r="F83" s="173">
        <v>3897967.53</v>
      </c>
      <c r="I83" s="669" t="s">
        <v>25</v>
      </c>
      <c r="J83" s="670"/>
      <c r="K83" s="671">
        <f>K79+K81</f>
        <v>1169749.54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2023-11-01T14:59:08Z</dcterms:modified>
</cp:coreProperties>
</file>