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state="hidden" r:id="rId8"/>
    <sheet name="   MANTECA      " sheetId="154" r:id="rId9"/>
    <sheet name="PULPA DE RES         " sheetId="192" r:id="rId10"/>
    <sheet name="T R I P A S       " sheetId="164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r:id="rId20"/>
    <sheet name="PIERNA DE CARNERO Nal " sheetId="178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r:id="rId32"/>
    <sheet name="MANITAS DE CERDO " sheetId="177" r:id="rId33"/>
    <sheet name="     M A R I S C A D A       " sheetId="181" state="hidden" r:id="rId34"/>
    <sheet name="TOCINO      NACIONAL        " sheetId="180" r:id="rId35"/>
    <sheet name="Hoja10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7" i="38" l="1"/>
  <c r="T117" i="38"/>
  <c r="S118" i="38"/>
  <c r="T118" i="38"/>
  <c r="S119" i="38"/>
  <c r="T119" i="38"/>
  <c r="S120" i="38"/>
  <c r="T120" i="38"/>
  <c r="S121" i="38"/>
  <c r="T121" i="38"/>
  <c r="S122" i="38"/>
  <c r="T122" i="38"/>
  <c r="T38" i="38" l="1"/>
  <c r="I14" i="177" l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J112" i="40"/>
  <c r="J113" i="40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G5" i="192"/>
  <c r="H5" i="192" s="1"/>
  <c r="I12" i="129" l="1"/>
  <c r="I11" i="129"/>
  <c r="I10" i="129"/>
  <c r="H7" i="135" l="1"/>
  <c r="NY30" i="1" l="1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93" i="40"/>
  <c r="K93" i="40" s="1"/>
  <c r="F95" i="40"/>
  <c r="K95" i="40" s="1"/>
  <c r="F97" i="40"/>
  <c r="F99" i="40"/>
  <c r="K99" i="40" s="1"/>
  <c r="F101" i="40"/>
  <c r="F105" i="40"/>
  <c r="F107" i="40"/>
  <c r="K107" i="40" s="1"/>
  <c r="F108" i="40"/>
  <c r="K108" i="40" s="1"/>
  <c r="F109" i="40"/>
  <c r="F111" i="40"/>
  <c r="K111" i="40" s="1"/>
  <c r="F112" i="40"/>
  <c r="K112" i="40" s="1"/>
  <c r="K97" i="40"/>
  <c r="K101" i="40"/>
  <c r="K105" i="40"/>
  <c r="K109" i="40"/>
  <c r="K91" i="40" l="1"/>
  <c r="T8" i="154"/>
  <c r="O8" i="154"/>
  <c r="Q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D21" i="191"/>
  <c r="D22" i="191"/>
  <c r="D23" i="191"/>
  <c r="F23" i="191" s="1"/>
  <c r="D24" i="191"/>
  <c r="D25" i="191"/>
  <c r="D26" i="191"/>
  <c r="D27" i="191"/>
  <c r="F27" i="191" s="1"/>
  <c r="D28" i="191"/>
  <c r="D10" i="191"/>
  <c r="C37" i="191"/>
  <c r="E38" i="191" s="1"/>
  <c r="F36" i="191"/>
  <c r="F35" i="191"/>
  <c r="F34" i="191"/>
  <c r="F33" i="191"/>
  <c r="F32" i="191"/>
  <c r="F31" i="191"/>
  <c r="F30" i="191"/>
  <c r="F29" i="191"/>
  <c r="F28" i="191"/>
  <c r="F26" i="191"/>
  <c r="F25" i="191"/>
  <c r="F24" i="191"/>
  <c r="F22" i="191"/>
  <c r="F21" i="191"/>
  <c r="F20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ES30" i="1"/>
  <c r="ES17" i="1"/>
  <c r="E40" i="191" l="1"/>
  <c r="S9" i="57"/>
  <c r="L9" i="57"/>
  <c r="Z14" i="163" l="1"/>
  <c r="Y14" i="163"/>
  <c r="AB11" i="163" l="1"/>
  <c r="AB10" i="163"/>
  <c r="AB9" i="163"/>
  <c r="U9" i="163"/>
  <c r="T9" i="163"/>
  <c r="Q13" i="163"/>
  <c r="Q12" i="163"/>
  <c r="Q11" i="163"/>
  <c r="Q10" i="163"/>
  <c r="Q9" i="163"/>
  <c r="K34" i="38" l="1"/>
  <c r="Q34" i="38"/>
  <c r="Q33" i="38" l="1"/>
  <c r="S112" i="38" l="1"/>
  <c r="T112" i="38" s="1"/>
  <c r="S109" i="38" l="1"/>
  <c r="Q35" i="38" l="1"/>
  <c r="Q41" i="38" l="1"/>
  <c r="Q39" i="38"/>
  <c r="Q40" i="38"/>
  <c r="Q37" i="38"/>
  <c r="Q36" i="38"/>
  <c r="AS78" i="57" l="1"/>
  <c r="AR78" i="57"/>
  <c r="AT81" i="57" s="1"/>
  <c r="AU76" i="57"/>
  <c r="AU75" i="57"/>
  <c r="AU74" i="57"/>
  <c r="AU73" i="57"/>
  <c r="AU72" i="57"/>
  <c r="AU71" i="57"/>
  <c r="AU70" i="57"/>
  <c r="AU69" i="57"/>
  <c r="AU68" i="57"/>
  <c r="AU67" i="57"/>
  <c r="AU66" i="57"/>
  <c r="AU65" i="57"/>
  <c r="AU64" i="57"/>
  <c r="AU63" i="57"/>
  <c r="AU62" i="57"/>
  <c r="AU61" i="57"/>
  <c r="AU60" i="57"/>
  <c r="AU59" i="57"/>
  <c r="AU58" i="57"/>
  <c r="AU57" i="57"/>
  <c r="AU56" i="57"/>
  <c r="AU55" i="57"/>
  <c r="AU54" i="57"/>
  <c r="AU53" i="57"/>
  <c r="AU52" i="57"/>
  <c r="AU51" i="57"/>
  <c r="AU50" i="57"/>
  <c r="AU49" i="57"/>
  <c r="AU48" i="57"/>
  <c r="AU47" i="57"/>
  <c r="AU46" i="57"/>
  <c r="AU45" i="57"/>
  <c r="AU44" i="57"/>
  <c r="AU43" i="57"/>
  <c r="AU42" i="57"/>
  <c r="AU41" i="57"/>
  <c r="AU40" i="57"/>
  <c r="AU39" i="57"/>
  <c r="AU38" i="57"/>
  <c r="AU37" i="57"/>
  <c r="AU36" i="57"/>
  <c r="AU35" i="57"/>
  <c r="AU34" i="57"/>
  <c r="AU33" i="57"/>
  <c r="AU32" i="57"/>
  <c r="AU31" i="57"/>
  <c r="AU30" i="57"/>
  <c r="AU29" i="57"/>
  <c r="AU28" i="57"/>
  <c r="AU27" i="57"/>
  <c r="AU26" i="57"/>
  <c r="AU25" i="57"/>
  <c r="AU24" i="57"/>
  <c r="AU23" i="57"/>
  <c r="AU22" i="57"/>
  <c r="AU21" i="57"/>
  <c r="AU20" i="57"/>
  <c r="AU19" i="57"/>
  <c r="AU18" i="57"/>
  <c r="AU17" i="57"/>
  <c r="AU16" i="57"/>
  <c r="AU15" i="57"/>
  <c r="AU14" i="57"/>
  <c r="AU13" i="57"/>
  <c r="AU12" i="57"/>
  <c r="AU11" i="57"/>
  <c r="AU10" i="57"/>
  <c r="AU9" i="57"/>
  <c r="AU78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F97" i="190" s="1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I8" i="190"/>
  <c r="I9" i="190" s="1"/>
  <c r="I10" i="190" s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8" i="190"/>
  <c r="B7" i="187"/>
  <c r="NE29" i="1" l="1"/>
  <c r="AX9" i="57"/>
  <c r="AX10" i="57" s="1"/>
  <c r="AX11" i="57" s="1"/>
  <c r="AX12" i="57" s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AT83" i="57"/>
  <c r="AV6" i="57"/>
  <c r="AW6" i="57" s="1"/>
  <c r="E100" i="190"/>
  <c r="G5" i="190"/>
  <c r="H5" i="190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N40" i="154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40" i="154" l="1"/>
  <c r="Q25" i="38"/>
  <c r="Q24" i="38"/>
  <c r="Q23" i="38"/>
  <c r="Q22" i="38"/>
  <c r="Q21" i="38"/>
  <c r="Q20" i="38"/>
  <c r="Q18" i="38"/>
  <c r="U8" i="154" l="1"/>
  <c r="Q40" i="154"/>
  <c r="T9" i="154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Q19" i="38"/>
  <c r="Q42" i="154" l="1"/>
  <c r="R5" i="154"/>
  <c r="S5" i="154" s="1"/>
  <c r="Q27" i="38"/>
  <c r="Q26" i="38"/>
  <c r="Q30" i="38"/>
  <c r="Q28" i="38"/>
  <c r="Q29" i="38" l="1"/>
  <c r="Q31" i="38"/>
  <c r="Q32" i="38"/>
  <c r="S17" i="38" l="1"/>
  <c r="B17" i="1" l="1"/>
  <c r="IX5" i="1" l="1"/>
  <c r="AI78" i="57"/>
  <c r="AH78" i="57"/>
  <c r="AJ81" i="57" s="1"/>
  <c r="AK76" i="57"/>
  <c r="AK75" i="57"/>
  <c r="AK74" i="57"/>
  <c r="AK73" i="57"/>
  <c r="AK72" i="57"/>
  <c r="AK71" i="57"/>
  <c r="AK70" i="57"/>
  <c r="AK69" i="57"/>
  <c r="AK68" i="57"/>
  <c r="AK67" i="57"/>
  <c r="AK66" i="57"/>
  <c r="AK65" i="57"/>
  <c r="AK64" i="57"/>
  <c r="AK63" i="57"/>
  <c r="AK62" i="57"/>
  <c r="AK61" i="57"/>
  <c r="AK60" i="57"/>
  <c r="AK59" i="57"/>
  <c r="AK58" i="57"/>
  <c r="AK57" i="57"/>
  <c r="AK56" i="57"/>
  <c r="AK55" i="57"/>
  <c r="AK54" i="57"/>
  <c r="AK53" i="57"/>
  <c r="AK52" i="57"/>
  <c r="AK51" i="57"/>
  <c r="AK50" i="57"/>
  <c r="AK49" i="57"/>
  <c r="AK48" i="57"/>
  <c r="AK47" i="57"/>
  <c r="AK46" i="57"/>
  <c r="AK45" i="57"/>
  <c r="AK44" i="57"/>
  <c r="AK43" i="57"/>
  <c r="AK42" i="57"/>
  <c r="AK41" i="57"/>
  <c r="AK40" i="57"/>
  <c r="AK39" i="57"/>
  <c r="AK38" i="57"/>
  <c r="AK37" i="57"/>
  <c r="AK36" i="57"/>
  <c r="AK35" i="57"/>
  <c r="AK34" i="57"/>
  <c r="AK33" i="57"/>
  <c r="AK32" i="57"/>
  <c r="AK31" i="57"/>
  <c r="AK30" i="57"/>
  <c r="AK29" i="57"/>
  <c r="AK28" i="57"/>
  <c r="AK27" i="57"/>
  <c r="AK26" i="57"/>
  <c r="AK25" i="57"/>
  <c r="AK24" i="57"/>
  <c r="AK23" i="57"/>
  <c r="AK22" i="57"/>
  <c r="AK21" i="57"/>
  <c r="AK20" i="57"/>
  <c r="AK19" i="57"/>
  <c r="AK18" i="57"/>
  <c r="AK17" i="57"/>
  <c r="AK16" i="57"/>
  <c r="AK15" i="57"/>
  <c r="AK14" i="57"/>
  <c r="AK13" i="57"/>
  <c r="AK12" i="57"/>
  <c r="AK11" i="57"/>
  <c r="AK10" i="57"/>
  <c r="AK9" i="57"/>
  <c r="AN9" i="57" s="1"/>
  <c r="AN10" i="57" s="1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N11" i="57" l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AK78" i="57"/>
  <c r="AJ83" i="57" l="1"/>
  <c r="AL6" i="57"/>
  <c r="AM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Q14" i="38"/>
  <c r="S28" i="161" l="1"/>
  <c r="Q13" i="38"/>
  <c r="Q12" i="38"/>
  <c r="Q15" i="38"/>
  <c r="Q16" i="38" l="1"/>
  <c r="AH78" i="188" l="1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10" i="188"/>
  <c r="AJ9" i="188"/>
  <c r="AF9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AA70" i="65"/>
  <c r="AB72" i="65" s="1"/>
  <c r="AB69" i="65"/>
  <c r="AD69" i="65" s="1"/>
  <c r="AD68" i="65"/>
  <c r="AI68" i="65" s="1"/>
  <c r="AB68" i="65"/>
  <c r="AB67" i="65"/>
  <c r="AD67" i="65" s="1"/>
  <c r="AI67" i="65" s="1"/>
  <c r="AD66" i="65"/>
  <c r="AI66" i="65" s="1"/>
  <c r="AB66" i="65"/>
  <c r="AB65" i="65"/>
  <c r="AD65" i="65" s="1"/>
  <c r="AI65" i="65" s="1"/>
  <c r="AD64" i="65"/>
  <c r="AI64" i="65" s="1"/>
  <c r="AB64" i="65"/>
  <c r="AB63" i="65"/>
  <c r="AD63" i="65" s="1"/>
  <c r="AI63" i="65" s="1"/>
  <c r="AD62" i="65"/>
  <c r="AI62" i="65" s="1"/>
  <c r="AB62" i="65"/>
  <c r="AB61" i="65"/>
  <c r="AD61" i="65" s="1"/>
  <c r="AI61" i="65" s="1"/>
  <c r="AD60" i="65"/>
  <c r="AI60" i="65" s="1"/>
  <c r="AB60" i="65"/>
  <c r="AB59" i="65"/>
  <c r="AD59" i="65" s="1"/>
  <c r="AI59" i="65" s="1"/>
  <c r="AD58" i="65"/>
  <c r="AI58" i="65" s="1"/>
  <c r="AB58" i="65"/>
  <c r="AB57" i="65"/>
  <c r="AD57" i="65" s="1"/>
  <c r="AI57" i="65" s="1"/>
  <c r="AD56" i="65"/>
  <c r="AI56" i="65" s="1"/>
  <c r="AB56" i="65"/>
  <c r="AB55" i="65"/>
  <c r="AD55" i="65" s="1"/>
  <c r="AI55" i="65" s="1"/>
  <c r="AD54" i="65"/>
  <c r="AI54" i="65" s="1"/>
  <c r="AB54" i="65"/>
  <c r="AB53" i="65"/>
  <c r="AD53" i="65" s="1"/>
  <c r="AI53" i="65" s="1"/>
  <c r="AD52" i="65"/>
  <c r="AI52" i="65" s="1"/>
  <c r="AB52" i="65"/>
  <c r="AB51" i="65"/>
  <c r="AD51" i="65" s="1"/>
  <c r="AI51" i="65" s="1"/>
  <c r="AD50" i="65"/>
  <c r="AI50" i="65" s="1"/>
  <c r="AB50" i="65"/>
  <c r="AB49" i="65"/>
  <c r="AD49" i="65" s="1"/>
  <c r="AI49" i="65" s="1"/>
  <c r="AD48" i="65"/>
  <c r="AI48" i="65" s="1"/>
  <c r="AB48" i="65"/>
  <c r="AB47" i="65"/>
  <c r="AD47" i="65" s="1"/>
  <c r="AI47" i="65" s="1"/>
  <c r="AD46" i="65"/>
  <c r="AI46" i="65" s="1"/>
  <c r="AB46" i="65"/>
  <c r="AB45" i="65"/>
  <c r="AD45" i="65" s="1"/>
  <c r="AI45" i="65" s="1"/>
  <c r="AD44" i="65"/>
  <c r="AI44" i="65" s="1"/>
  <c r="AB44" i="65"/>
  <c r="AB43" i="65"/>
  <c r="AD43" i="65" s="1"/>
  <c r="AI43" i="65" s="1"/>
  <c r="AD42" i="65"/>
  <c r="AI42" i="65" s="1"/>
  <c r="AB42" i="65"/>
  <c r="AB41" i="65"/>
  <c r="AD41" i="65" s="1"/>
  <c r="AI41" i="65" s="1"/>
  <c r="AD40" i="65"/>
  <c r="AI40" i="65" s="1"/>
  <c r="AB40" i="65"/>
  <c r="AB39" i="65"/>
  <c r="AD39" i="65" s="1"/>
  <c r="AI39" i="65" s="1"/>
  <c r="AD38" i="65"/>
  <c r="AI38" i="65" s="1"/>
  <c r="AB38" i="65"/>
  <c r="AB37" i="65"/>
  <c r="AD37" i="65" s="1"/>
  <c r="AI37" i="65" s="1"/>
  <c r="AD36" i="65"/>
  <c r="AI36" i="65" s="1"/>
  <c r="AB36" i="65"/>
  <c r="AB35" i="65"/>
  <c r="AD35" i="65" s="1"/>
  <c r="AI35" i="65" s="1"/>
  <c r="AD34" i="65"/>
  <c r="AI34" i="65" s="1"/>
  <c r="AB34" i="65"/>
  <c r="AB33" i="65"/>
  <c r="AD33" i="65" s="1"/>
  <c r="AI33" i="65" s="1"/>
  <c r="AD32" i="65"/>
  <c r="AI32" i="65" s="1"/>
  <c r="AB32" i="65"/>
  <c r="AI31" i="65"/>
  <c r="AB31" i="65"/>
  <c r="AD31" i="65" s="1"/>
  <c r="AD30" i="65"/>
  <c r="AI30" i="65" s="1"/>
  <c r="AB30" i="65"/>
  <c r="AB29" i="65"/>
  <c r="AD29" i="65" s="1"/>
  <c r="AI29" i="65" s="1"/>
  <c r="AD28" i="65"/>
  <c r="AI28" i="65" s="1"/>
  <c r="AB28" i="65"/>
  <c r="AB27" i="65"/>
  <c r="AD27" i="65" s="1"/>
  <c r="AI27" i="65" s="1"/>
  <c r="AD26" i="65"/>
  <c r="AI26" i="65" s="1"/>
  <c r="AB26" i="65"/>
  <c r="AB25" i="65"/>
  <c r="AD25" i="65" s="1"/>
  <c r="AI25" i="65" s="1"/>
  <c r="AD24" i="65"/>
  <c r="AI24" i="65" s="1"/>
  <c r="AB24" i="65"/>
  <c r="AB23" i="65"/>
  <c r="AD23" i="65" s="1"/>
  <c r="AI23" i="65" s="1"/>
  <c r="AD22" i="65"/>
  <c r="AI22" i="65" s="1"/>
  <c r="AB22" i="65"/>
  <c r="AB21" i="65"/>
  <c r="AD21" i="65" s="1"/>
  <c r="AI21" i="65" s="1"/>
  <c r="AD20" i="65"/>
  <c r="AI20" i="65" s="1"/>
  <c r="AB20" i="65"/>
  <c r="AB19" i="65"/>
  <c r="AD19" i="65" s="1"/>
  <c r="AI19" i="65" s="1"/>
  <c r="AD18" i="65"/>
  <c r="AI18" i="65" s="1"/>
  <c r="AB18" i="65"/>
  <c r="AB17" i="65"/>
  <c r="AD17" i="65" s="1"/>
  <c r="AI17" i="65" s="1"/>
  <c r="AD16" i="65"/>
  <c r="AI16" i="65" s="1"/>
  <c r="AB16" i="65"/>
  <c r="AI15" i="65"/>
  <c r="AB15" i="65"/>
  <c r="AD15" i="65" s="1"/>
  <c r="AD14" i="65"/>
  <c r="AI14" i="65" s="1"/>
  <c r="AB14" i="65"/>
  <c r="AB13" i="65"/>
  <c r="AD13" i="65" s="1"/>
  <c r="AI13" i="65" s="1"/>
  <c r="AD12" i="65"/>
  <c r="AI12" i="65" s="1"/>
  <c r="AB12" i="65"/>
  <c r="AB11" i="65"/>
  <c r="AD11" i="65" s="1"/>
  <c r="AI11" i="65" s="1"/>
  <c r="AD10" i="65"/>
  <c r="AI10" i="65" s="1"/>
  <c r="AB10" i="65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Y83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D70" i="65"/>
  <c r="AI9" i="65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70" i="65"/>
  <c r="Q7" i="38"/>
  <c r="Q99" i="38"/>
  <c r="Q11" i="38"/>
  <c r="Q8" i="38"/>
  <c r="AA6" i="188" l="1"/>
  <c r="AB6" i="188" s="1"/>
  <c r="AI83" i="188"/>
  <c r="AK6" i="188"/>
  <c r="AL6" i="188" s="1"/>
  <c r="AC73" i="65"/>
  <c r="AE5" i="65"/>
  <c r="AF5" i="65" s="1"/>
  <c r="Q10" i="38"/>
  <c r="Q5" i="38" l="1"/>
  <c r="Q6" i="38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8" i="163"/>
  <c r="Y98" i="163"/>
  <c r="AA99" i="163" s="1"/>
  <c r="Z97" i="163"/>
  <c r="AB97" i="163" s="1"/>
  <c r="Z96" i="163"/>
  <c r="AB96" i="163" s="1"/>
  <c r="AB42" i="163"/>
  <c r="Z42" i="163"/>
  <c r="AB41" i="163"/>
  <c r="Z41" i="163"/>
  <c r="AB40" i="163"/>
  <c r="Z40" i="163"/>
  <c r="AB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F9" i="163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F42" i="163" s="1"/>
  <c r="AE9" i="163"/>
  <c r="AE10" i="163" s="1"/>
  <c r="AE11" i="163" s="1"/>
  <c r="AE12" i="163" s="1"/>
  <c r="AE13" i="163" l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59" i="163" s="1"/>
  <c r="AE94" i="163" s="1"/>
  <c r="AE95" i="163" s="1"/>
  <c r="AE96" i="163" s="1"/>
  <c r="AB98" i="163"/>
  <c r="AA101" i="163" s="1"/>
  <c r="P79" i="129"/>
  <c r="AF43" i="163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59" i="163" s="1"/>
  <c r="AF94" i="163" s="1"/>
  <c r="AF95" i="163" s="1"/>
  <c r="AF96" i="163"/>
  <c r="L1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F95" i="163"/>
  <c r="J60" i="163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93" i="163" s="1"/>
  <c r="J59" i="163"/>
  <c r="K1" i="188"/>
  <c r="M1" i="65"/>
  <c r="AC5" i="163" l="1"/>
  <c r="AD5" i="163" s="1"/>
  <c r="Q6" i="129"/>
  <c r="R6" i="129" s="1"/>
  <c r="O84" i="129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F54" i="163"/>
  <c r="F55" i="163"/>
  <c r="F56" i="163"/>
  <c r="F57" i="163"/>
  <c r="F58" i="163"/>
  <c r="F9" i="188" l="1"/>
  <c r="I9" i="188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D9" i="154" l="1"/>
  <c r="D8" i="154"/>
  <c r="P10" i="188" l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28" i="188"/>
  <c r="P29" i="188"/>
  <c r="P30" i="188"/>
  <c r="P31" i="188"/>
  <c r="P32" i="188"/>
  <c r="P33" i="188"/>
  <c r="P34" i="188"/>
  <c r="P35" i="188"/>
  <c r="P36" i="188"/>
  <c r="P37" i="188"/>
  <c r="P38" i="188"/>
  <c r="P39" i="188"/>
  <c r="P40" i="188"/>
  <c r="P41" i="188"/>
  <c r="P42" i="188"/>
  <c r="P43" i="188"/>
  <c r="P44" i="188"/>
  <c r="P45" i="188"/>
  <c r="P46" i="188"/>
  <c r="P47" i="188"/>
  <c r="P48" i="188"/>
  <c r="P49" i="188"/>
  <c r="P50" i="188"/>
  <c r="P51" i="188"/>
  <c r="P52" i="188"/>
  <c r="P53" i="188"/>
  <c r="P54" i="188"/>
  <c r="P55" i="188"/>
  <c r="P56" i="188"/>
  <c r="P57" i="188"/>
  <c r="P58" i="188"/>
  <c r="P59" i="188"/>
  <c r="P60" i="188"/>
  <c r="P61" i="188"/>
  <c r="P62" i="188"/>
  <c r="P63" i="188"/>
  <c r="P64" i="188"/>
  <c r="P65" i="188"/>
  <c r="P66" i="188"/>
  <c r="P67" i="188"/>
  <c r="P68" i="188"/>
  <c r="P69" i="188"/>
  <c r="P70" i="188"/>
  <c r="P71" i="188"/>
  <c r="P72" i="188"/>
  <c r="P73" i="188"/>
  <c r="P74" i="188"/>
  <c r="P75" i="188"/>
  <c r="P76" i="188"/>
  <c r="P9" i="188"/>
  <c r="F53" i="163" l="1"/>
  <c r="F52" i="163"/>
  <c r="F51" i="163" l="1"/>
  <c r="IE17" i="1"/>
  <c r="IE18" i="1"/>
  <c r="HU18" i="1"/>
  <c r="S18" i="38" l="1"/>
  <c r="S23" i="38" l="1"/>
  <c r="F50" i="163" l="1"/>
  <c r="F49" i="163" l="1"/>
  <c r="F48" i="163"/>
  <c r="F47" i="163"/>
  <c r="F46" i="163"/>
  <c r="F45" i="163"/>
  <c r="F44" i="163"/>
  <c r="F43" i="163" l="1"/>
  <c r="S106" i="38" l="1"/>
  <c r="S107" i="38"/>
  <c r="I119" i="38" l="1"/>
  <c r="I118" i="38"/>
  <c r="I117" i="38"/>
  <c r="N78" i="188"/>
  <c r="M78" i="188"/>
  <c r="O81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I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F78" i="188" l="1"/>
  <c r="E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188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S21" i="38"/>
  <c r="G6" i="188" l="1"/>
  <c r="H6" i="188" s="1"/>
  <c r="O83" i="188"/>
  <c r="Q6" i="188"/>
  <c r="R6" i="188" s="1"/>
  <c r="Q73" i="65"/>
  <c r="S5" i="65"/>
  <c r="T5" i="65" s="1"/>
  <c r="N98" i="163" l="1"/>
  <c r="P99" i="163" s="1"/>
  <c r="O97" i="163"/>
  <c r="Q97" i="163" s="1"/>
  <c r="O96" i="163"/>
  <c r="Q96" i="163" s="1"/>
  <c r="O42" i="163"/>
  <c r="Q42" i="163" s="1"/>
  <c r="O41" i="163"/>
  <c r="Q41" i="163" s="1"/>
  <c r="O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U10" i="163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K1" i="57"/>
  <c r="V1" i="57" s="1"/>
  <c r="Y78" i="57"/>
  <c r="X78" i="57"/>
  <c r="Z81" i="57" s="1"/>
  <c r="N78" i="57"/>
  <c r="M78" i="57"/>
  <c r="O81" i="57" s="1"/>
  <c r="D78" i="57"/>
  <c r="C78" i="57"/>
  <c r="E81" i="57" s="1"/>
  <c r="AA76" i="57"/>
  <c r="P76" i="57"/>
  <c r="F76" i="57"/>
  <c r="AA75" i="57"/>
  <c r="P75" i="57"/>
  <c r="F75" i="57"/>
  <c r="AA74" i="57"/>
  <c r="P74" i="57"/>
  <c r="F74" i="57"/>
  <c r="AA73" i="57"/>
  <c r="P73" i="57"/>
  <c r="F73" i="57"/>
  <c r="AA72" i="57"/>
  <c r="P72" i="57"/>
  <c r="F72" i="57"/>
  <c r="AA71" i="57"/>
  <c r="P71" i="57"/>
  <c r="F71" i="57"/>
  <c r="AA70" i="57"/>
  <c r="P70" i="57"/>
  <c r="F70" i="57"/>
  <c r="AA69" i="57"/>
  <c r="P69" i="57"/>
  <c r="F69" i="57"/>
  <c r="AA68" i="57"/>
  <c r="P68" i="57"/>
  <c r="F68" i="57"/>
  <c r="AA67" i="57"/>
  <c r="P67" i="57"/>
  <c r="F67" i="57"/>
  <c r="AA66" i="57"/>
  <c r="P66" i="57"/>
  <c r="F66" i="57"/>
  <c r="AA65" i="57"/>
  <c r="P65" i="57"/>
  <c r="F65" i="57"/>
  <c r="AA64" i="57"/>
  <c r="P64" i="57"/>
  <c r="F64" i="57"/>
  <c r="AA63" i="57"/>
  <c r="P63" i="57"/>
  <c r="F63" i="57"/>
  <c r="AA62" i="57"/>
  <c r="P62" i="57"/>
  <c r="F62" i="57"/>
  <c r="AA61" i="57"/>
  <c r="P61" i="57"/>
  <c r="F61" i="57"/>
  <c r="AA60" i="57"/>
  <c r="P60" i="57"/>
  <c r="F60" i="57"/>
  <c r="AA59" i="57"/>
  <c r="P59" i="57"/>
  <c r="F59" i="57"/>
  <c r="AA58" i="57"/>
  <c r="P58" i="57"/>
  <c r="F58" i="57"/>
  <c r="AA57" i="57"/>
  <c r="P57" i="57"/>
  <c r="F57" i="57"/>
  <c r="AA56" i="57"/>
  <c r="P56" i="57"/>
  <c r="F56" i="57"/>
  <c r="AA55" i="57"/>
  <c r="P55" i="57"/>
  <c r="F55" i="57"/>
  <c r="AA54" i="57"/>
  <c r="P54" i="57"/>
  <c r="F54" i="57"/>
  <c r="AA53" i="57"/>
  <c r="P53" i="57"/>
  <c r="F53" i="57"/>
  <c r="AA52" i="57"/>
  <c r="P52" i="57"/>
  <c r="F52" i="57"/>
  <c r="AA51" i="57"/>
  <c r="P51" i="57"/>
  <c r="F51" i="57"/>
  <c r="AA50" i="57"/>
  <c r="P50" i="57"/>
  <c r="F50" i="57"/>
  <c r="AA49" i="57"/>
  <c r="P49" i="57"/>
  <c r="F49" i="57"/>
  <c r="AA48" i="57"/>
  <c r="P48" i="57"/>
  <c r="F48" i="57"/>
  <c r="AA47" i="57"/>
  <c r="P47" i="57"/>
  <c r="F47" i="57"/>
  <c r="AA46" i="57"/>
  <c r="P46" i="57"/>
  <c r="F46" i="57"/>
  <c r="AA45" i="57"/>
  <c r="P45" i="57"/>
  <c r="F45" i="57"/>
  <c r="AA44" i="57"/>
  <c r="P44" i="57"/>
  <c r="F44" i="57"/>
  <c r="AA43" i="57"/>
  <c r="P43" i="57"/>
  <c r="F43" i="57"/>
  <c r="AA42" i="57"/>
  <c r="P42" i="57"/>
  <c r="F42" i="57"/>
  <c r="AA41" i="57"/>
  <c r="P41" i="57"/>
  <c r="F41" i="57"/>
  <c r="AA40" i="57"/>
  <c r="P40" i="57"/>
  <c r="F40" i="57"/>
  <c r="AA39" i="57"/>
  <c r="P39" i="57"/>
  <c r="F39" i="57"/>
  <c r="AA38" i="57"/>
  <c r="P38" i="57"/>
  <c r="F38" i="57"/>
  <c r="AA37" i="57"/>
  <c r="P37" i="57"/>
  <c r="F37" i="57"/>
  <c r="AA36" i="57"/>
  <c r="P36" i="57"/>
  <c r="F36" i="57"/>
  <c r="AA35" i="57"/>
  <c r="P35" i="57"/>
  <c r="F35" i="57"/>
  <c r="AA34" i="57"/>
  <c r="P34" i="57"/>
  <c r="F34" i="57"/>
  <c r="AA33" i="57"/>
  <c r="P33" i="57"/>
  <c r="F33" i="57"/>
  <c r="AA32" i="57"/>
  <c r="P32" i="57"/>
  <c r="F32" i="57"/>
  <c r="AA31" i="57"/>
  <c r="P31" i="57"/>
  <c r="F31" i="57"/>
  <c r="AA30" i="57"/>
  <c r="P30" i="57"/>
  <c r="F30" i="57"/>
  <c r="AA29" i="57"/>
  <c r="P29" i="57"/>
  <c r="F29" i="57"/>
  <c r="AA28" i="57"/>
  <c r="P28" i="57"/>
  <c r="F28" i="57"/>
  <c r="AA27" i="57"/>
  <c r="P27" i="57"/>
  <c r="F27" i="57"/>
  <c r="AA26" i="57"/>
  <c r="P26" i="57"/>
  <c r="F26" i="57"/>
  <c r="AA25" i="57"/>
  <c r="P25" i="57"/>
  <c r="F25" i="57"/>
  <c r="AA24" i="57"/>
  <c r="P24" i="57"/>
  <c r="F24" i="57"/>
  <c r="AA23" i="57"/>
  <c r="P23" i="57"/>
  <c r="F23" i="57"/>
  <c r="AA22" i="57"/>
  <c r="P22" i="57"/>
  <c r="F22" i="57"/>
  <c r="AA21" i="57"/>
  <c r="P21" i="57"/>
  <c r="F21" i="57"/>
  <c r="AA20" i="57"/>
  <c r="P20" i="57"/>
  <c r="F20" i="57"/>
  <c r="AA19" i="57"/>
  <c r="P19" i="57"/>
  <c r="F19" i="57"/>
  <c r="AA18" i="57"/>
  <c r="P18" i="57"/>
  <c r="F18" i="57"/>
  <c r="AA17" i="57"/>
  <c r="P17" i="57"/>
  <c r="F17" i="57"/>
  <c r="AA16" i="57"/>
  <c r="P16" i="57"/>
  <c r="F16" i="57"/>
  <c r="AA15" i="57"/>
  <c r="P15" i="57"/>
  <c r="F15" i="57"/>
  <c r="AA14" i="57"/>
  <c r="P14" i="57"/>
  <c r="F14" i="57"/>
  <c r="AA13" i="57"/>
  <c r="P13" i="57"/>
  <c r="F13" i="57"/>
  <c r="AA12" i="57"/>
  <c r="P12" i="57"/>
  <c r="F12" i="57"/>
  <c r="AA11" i="57"/>
  <c r="P11" i="57"/>
  <c r="F11" i="57"/>
  <c r="AA10" i="57"/>
  <c r="P10" i="57"/>
  <c r="F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P9" i="57"/>
  <c r="S10" i="57" s="1"/>
  <c r="S11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2" i="163" l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94" i="163" s="1"/>
  <c r="U95" i="163" s="1"/>
  <c r="S12" i="57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O98" i="163"/>
  <c r="T10" i="163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Q40" i="163"/>
  <c r="Q98" i="163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AA78" i="57"/>
  <c r="P78" i="57"/>
  <c r="AD9" i="57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U96" i="163" l="1"/>
  <c r="T40" i="163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94" i="163" s="1"/>
  <c r="T95" i="163" s="1"/>
  <c r="T96" i="163" s="1"/>
  <c r="R5" i="163"/>
  <c r="S5" i="163" s="1"/>
  <c r="P101" i="163"/>
  <c r="G6" i="57"/>
  <c r="H6" i="57" s="1"/>
  <c r="E84" i="129"/>
  <c r="G6" i="129"/>
  <c r="H6" i="129" s="1"/>
  <c r="O83" i="57"/>
  <c r="Q6" i="57"/>
  <c r="R6" i="57" s="1"/>
  <c r="Z83" i="57"/>
  <c r="AB6" i="57"/>
  <c r="AC6" i="57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E73" i="65" l="1"/>
  <c r="G5" i="65"/>
  <c r="H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34" i="177" l="1"/>
  <c r="F35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F53" i="187" l="1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8" i="163" l="1"/>
  <c r="E99" i="163" s="1"/>
  <c r="D97" i="163"/>
  <c r="F97" i="163" s="1"/>
  <c r="D96" i="163"/>
  <c r="F96" i="163" s="1"/>
  <c r="F42" i="163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94" i="163" s="1"/>
  <c r="J95" i="163" s="1"/>
  <c r="J96" i="163" s="1"/>
  <c r="F9" i="163"/>
  <c r="I9" i="163" s="1"/>
  <c r="I10" i="163" l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D98" i="163"/>
  <c r="F98" i="163"/>
  <c r="I94" i="163" l="1"/>
  <c r="I95" i="163" s="1"/>
  <c r="I96" i="163" s="1"/>
  <c r="I60" i="163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I93" i="163" s="1"/>
  <c r="E101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3" i="38"/>
  <c r="T123" i="38" s="1"/>
  <c r="S124" i="38"/>
  <c r="T124" i="38" s="1"/>
  <c r="I115" i="38"/>
  <c r="I114" i="38"/>
  <c r="D35" i="179"/>
  <c r="C35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D22" i="154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D23" i="154" l="1"/>
  <c r="PC30" i="1"/>
  <c r="MU29" i="1"/>
  <c r="OS30" i="1"/>
  <c r="MK29" i="1"/>
  <c r="OI30" i="1"/>
  <c r="OB29" i="1"/>
  <c r="NO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40" i="154" l="1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V32" i="1"/>
  <c r="RV33" i="1" s="1"/>
  <c r="RT32" i="1"/>
  <c r="RM32" i="1"/>
  <c r="RM33" i="1" s="1"/>
  <c r="RK32" i="1"/>
  <c r="RX5" i="1"/>
  <c r="RO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3" i="38" l="1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<sst xmlns="http://schemas.openxmlformats.org/spreadsheetml/2006/main" count="3936" uniqueCount="694">
  <si>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</si>
  <si>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</si>
  <si>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</si>
  <si>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</si>
  <si>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</si>
  <si>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</si>
  <si>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</si>
  <si>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</si>
  <si>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</si>
  <si>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</si>
  <si>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</si>
  <si>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</si>
  <si>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</si>
  <si>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</si>
  <si>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</si>
  <si>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</si>
  <si>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</si>
  <si>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</si>
  <si>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</si>
  <si>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</si>
  <si>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</si>
  <si>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</si>
  <si>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</si>
  <si>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</si>
  <si>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</si>
  <si>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</si>
  <si>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</si>
  <si>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</si>
  <si>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</si>
  <si>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</si>
  <si>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</si>
  <si>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</si>
  <si>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</si>
  <si>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</si>
  <si>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</si>
  <si>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</si>
  <si>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</si>
  <si>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</si>
  <si>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</si>
  <si>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</si>
  <si>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</si>
  <si>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</si>
  <si>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</si>
  <si>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</si>
  <si>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</si>
  <si>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</si>
  <si>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</si>
  <si>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</si>
  <si>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</si>
  <si>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</si>
  <si>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</si>
  <si>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</si>
  <si>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</si>
  <si>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</si>
  <si>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</si>
  <si>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</si>
  <si>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</si>
  <si>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</si>
  <si>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</si>
  <si>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</si>
  <si>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</si>
  <si>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</si>
  <si>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</si>
  <si>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</si>
  <si>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</si>
  <si>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</si>
  <si>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</si>
  <si>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</si>
  <si>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</si>
  <si>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</si>
  <si>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</si>
  <si>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</si>
  <si>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</si>
  <si>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</si>
  <si>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Valor Traspaso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</si>
  <si>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</si>
  <si>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</si>
  <si>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</si>
  <si>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</si>
  <si>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</si>
  <si>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</si>
  <si>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</si>
  <si>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</si>
  <si>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</si>
  <si>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</si>
  <si>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</si>
  <si>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</si>
  <si>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</si>
  <si>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</si>
  <si>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</si>
  <si>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</si>
  <si>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</si>
  <si>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</si>
  <si>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</si>
  <si>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</si>
  <si>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</si>
  <si>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</si>
  <si>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</si>
  <si>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</si>
  <si>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</si>
  <si>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</si>
  <si>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</si>
  <si>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</si>
  <si>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M A N S I V A </t>
  </si>
  <si>
    <t xml:space="preserve">ESPALDILLA 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</si>
  <si>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</si>
  <si>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</si>
  <si>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</si>
  <si>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</si>
  <si>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</si>
  <si>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</si>
  <si>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</si>
  <si>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</si>
  <si>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</si>
  <si>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</si>
  <si>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</si>
  <si>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</si>
  <si>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</si>
  <si>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</si>
  <si>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</si>
  <si>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</si>
  <si>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</si>
  <si>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</si>
  <si>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</si>
  <si>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</si>
  <si>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</si>
  <si>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0185 Y</t>
  </si>
  <si>
    <t>0197 Y</t>
  </si>
  <si>
    <t>0207 Y</t>
  </si>
  <si>
    <t>0212 Y</t>
  </si>
  <si>
    <t>0215 Y</t>
  </si>
  <si>
    <t>0267 Y</t>
  </si>
  <si>
    <t>0226 Y</t>
  </si>
  <si>
    <t>0285 Y</t>
  </si>
  <si>
    <t>0302 Y</t>
  </si>
  <si>
    <t>0311 Y</t>
  </si>
  <si>
    <t>0315 Y</t>
  </si>
  <si>
    <t>0360 Y</t>
  </si>
  <si>
    <t>0329 Y</t>
  </si>
  <si>
    <t>0332 Y</t>
  </si>
  <si>
    <t>0337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</si>
  <si>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</si>
  <si>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</si>
  <si>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</si>
  <si>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</si>
  <si>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</si>
  <si>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</si>
  <si>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</si>
  <si>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</si>
  <si>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0361 Y</t>
  </si>
  <si>
    <t>0366 Y</t>
  </si>
  <si>
    <t>0373 Y</t>
  </si>
  <si>
    <t>0374 Y</t>
  </si>
  <si>
    <t>0376 Y</t>
  </si>
  <si>
    <t>0382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</si>
  <si>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</si>
  <si>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</si>
  <si>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</si>
  <si>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</si>
  <si>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</si>
  <si>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</si>
  <si>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</si>
  <si>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</si>
  <si>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ENTRADA DEL MES DE NOVIEMBRE  2021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</si>
  <si>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</si>
  <si>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</si>
  <si>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</si>
  <si>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</si>
  <si>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</si>
  <si>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</si>
  <si>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</si>
  <si>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0453 Y</t>
  </si>
  <si>
    <t>0445 Y</t>
  </si>
  <si>
    <t>0455 Y</t>
  </si>
  <si>
    <t>0418 Y</t>
  </si>
  <si>
    <t>0419 Y</t>
  </si>
  <si>
    <t>0430 Y</t>
  </si>
  <si>
    <t>0440 Y</t>
  </si>
  <si>
    <t>0460 Y</t>
  </si>
  <si>
    <t>0444 Y</t>
  </si>
  <si>
    <t>0454 Y</t>
  </si>
  <si>
    <t>0429 Y</t>
  </si>
  <si>
    <t>0436 Y</t>
  </si>
  <si>
    <t>0438 Y</t>
  </si>
  <si>
    <t>0446 Y</t>
  </si>
  <si>
    <t>0447 Y</t>
  </si>
  <si>
    <t>0448 Y</t>
  </si>
  <si>
    <t>0449 Y</t>
  </si>
  <si>
    <t>0451 Y</t>
  </si>
  <si>
    <t>0452 Y</t>
  </si>
  <si>
    <t>0461 Y</t>
  </si>
  <si>
    <t>0464 Y</t>
  </si>
  <si>
    <t>0467 Y</t>
  </si>
  <si>
    <t>0468 Y</t>
  </si>
  <si>
    <t>0469 Y</t>
  </si>
  <si>
    <t>0475 Y</t>
  </si>
  <si>
    <t>0476 Y</t>
  </si>
  <si>
    <t>0479 Y</t>
  </si>
  <si>
    <t>0482 Y</t>
  </si>
  <si>
    <t>0485 Y</t>
  </si>
  <si>
    <t>0486 Y</t>
  </si>
  <si>
    <t>0490 Y</t>
  </si>
  <si>
    <t>0491 Y</t>
  </si>
  <si>
    <t>0496 Y</t>
  </si>
  <si>
    <t>0497 Y</t>
  </si>
  <si>
    <t>0498 Y</t>
  </si>
  <si>
    <t>0499 Y</t>
  </si>
  <si>
    <t>0500 Y</t>
  </si>
  <si>
    <t>0502 Y</t>
  </si>
  <si>
    <t>0503 Y</t>
  </si>
  <si>
    <t>0506 Y</t>
  </si>
  <si>
    <t>0509 Y</t>
  </si>
  <si>
    <t>0510 Y</t>
  </si>
  <si>
    <t>0512 Y</t>
  </si>
  <si>
    <t>0513 Y</t>
  </si>
  <si>
    <t>0517 Y</t>
  </si>
  <si>
    <t>0523 Y</t>
  </si>
  <si>
    <t>0524 Y</t>
  </si>
  <si>
    <t>0525 Y</t>
  </si>
  <si>
    <t>0529 Y</t>
  </si>
  <si>
    <t>0530 Y</t>
  </si>
  <si>
    <t>0532 Y</t>
  </si>
  <si>
    <t>0533 Y</t>
  </si>
  <si>
    <t>0535 Y</t>
  </si>
  <si>
    <t>0536 Y</t>
  </si>
  <si>
    <t>0537 Y</t>
  </si>
  <si>
    <t>0541 Y</t>
  </si>
  <si>
    <t>0544 Y</t>
  </si>
  <si>
    <t>0545 Y</t>
  </si>
  <si>
    <t>0548 Y</t>
  </si>
  <si>
    <t>0549 Y</t>
  </si>
  <si>
    <t>0550 Y</t>
  </si>
  <si>
    <t>0553 Y</t>
  </si>
  <si>
    <t>0554 Y</t>
  </si>
  <si>
    <t>0555 Y</t>
  </si>
  <si>
    <t>0561 Y</t>
  </si>
  <si>
    <t>0563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</si>
  <si>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</si>
  <si>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</si>
  <si>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</si>
  <si>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</si>
  <si>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</si>
  <si>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</si>
  <si>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</si>
  <si>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</si>
  <si>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</si>
  <si>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ENTRADA DEL MES DE DICIEMBRE 2021</t>
  </si>
  <si>
    <t>SALMON</t>
  </si>
  <si>
    <t>PED. 7458862</t>
  </si>
  <si>
    <t>0551 Y</t>
  </si>
  <si>
    <t>0579 Y</t>
  </si>
  <si>
    <t>CHULETA</t>
  </si>
  <si>
    <t>ENTRADAS DEL MES DE   DICIEMBRE      2021</t>
  </si>
  <si>
    <t>TOTAL DE ENTRADAS DEL MES    DICIEMBRE            2021</t>
  </si>
  <si>
    <t>INVENTARIO    DEL MES DE NOVIEMBRE 2021</t>
  </si>
  <si>
    <t>INVENTARIO     DEL MES DE NOVIEMBRE 2021</t>
  </si>
  <si>
    <t>INVENTARIO  DEL MES DE   NOVIEMBRE  2021</t>
  </si>
  <si>
    <t>INVENTARIO DE NOVIEMBRE  2021</t>
  </si>
  <si>
    <t>INVENTARIO     DEL MES DE    NOVIEMBRE    2021</t>
  </si>
  <si>
    <t>INVENTARIO   DEL MES DE   NOVIEMBRE         2021</t>
  </si>
  <si>
    <t>INVENTARIO    DEL MES DE   NOVIEMBRE   2021</t>
  </si>
  <si>
    <t>PED. 7454777</t>
  </si>
  <si>
    <t xml:space="preserve">QUESOS GOUDA </t>
  </si>
  <si>
    <t>Ma. DE LOURDES CABRERA</t>
  </si>
  <si>
    <t>PED. 74558450</t>
  </si>
  <si>
    <t>ENTRADA DEL MES DE DICIEMBRE  2021</t>
  </si>
  <si>
    <t>TYSON FRESH MEAT</t>
  </si>
  <si>
    <t xml:space="preserve"> CAÑA DE LOMO  I B P </t>
  </si>
  <si>
    <t>CARBENZES</t>
  </si>
  <si>
    <t xml:space="preserve">I B P </t>
  </si>
  <si>
    <t xml:space="preserve">PED. </t>
  </si>
  <si>
    <t>PED. 74613520</t>
  </si>
  <si>
    <t>PED. 74684148</t>
  </si>
  <si>
    <t>DISTRIBUIDORA ASGAR S DE RL</t>
  </si>
  <si>
    <t>SWIFT</t>
  </si>
  <si>
    <t>PED. 74627061</t>
  </si>
  <si>
    <t>PED. 74810581</t>
  </si>
  <si>
    <t>PED. 74836354</t>
  </si>
  <si>
    <t>COMERCIALIZADORA INT MANSIVA</t>
  </si>
  <si>
    <t>NLSE21-190</t>
  </si>
  <si>
    <t>Ma DE LOURDES HDZ CABRERA</t>
  </si>
  <si>
    <t>QUESO GOUDA</t>
  </si>
  <si>
    <t>NLSE21-182</t>
  </si>
  <si>
    <t>LOMO DE CAÑA</t>
  </si>
  <si>
    <t>DIST PROD. CARNICOS DERIVADOS CARBENZES BEEF</t>
  </si>
  <si>
    <t>CONTRA EXCEL</t>
  </si>
  <si>
    <t>NLSE21-191</t>
  </si>
  <si>
    <t>C-3992</t>
  </si>
  <si>
    <t>NLSE21-194</t>
  </si>
  <si>
    <t>NLSE21-195</t>
  </si>
  <si>
    <t xml:space="preserve">COMERCIALIZADORA INT  MANSIVA </t>
  </si>
  <si>
    <t>PECHO C*/CUERO</t>
  </si>
  <si>
    <t>Transfer B 30-Nov-21</t>
  </si>
  <si>
    <t>Transfer B 23-Nov-21</t>
  </si>
  <si>
    <t>Fact  31531</t>
  </si>
  <si>
    <t>Transfer S 3-Dic-21</t>
  </si>
  <si>
    <t>Transfer S 9-Dic-21</t>
  </si>
  <si>
    <t>Transfer B 6-Dic-21</t>
  </si>
  <si>
    <t>D-3537</t>
  </si>
  <si>
    <t>Transfer B 7-Dic-21</t>
  </si>
  <si>
    <t>Transfer B 8-Dic-21</t>
  </si>
  <si>
    <t>Transfer Bnte 6-Dic-21</t>
  </si>
  <si>
    <t>Transfer Bnte 7-Dic-21</t>
  </si>
  <si>
    <t>Tranfera Bnte 8-Dic-21</t>
  </si>
  <si>
    <t>Transfer Bnte 8-Dic-21</t>
  </si>
  <si>
    <t>Transfer Bnte 9-Dic-21</t>
  </si>
  <si>
    <t>Transfer Bnte 10-Dic-21</t>
  </si>
  <si>
    <t>PED. 74887472</t>
  </si>
  <si>
    <t>PED. 74889620</t>
  </si>
  <si>
    <t>PED. 74887470</t>
  </si>
  <si>
    <t>PED. 74941814</t>
  </si>
  <si>
    <t>PED. 75026366</t>
  </si>
  <si>
    <t xml:space="preserve">DISTRIBUIDORA ASGAR S DE RL </t>
  </si>
  <si>
    <t>PED. 74923163</t>
  </si>
  <si>
    <t xml:space="preserve">COMERCIAL MARIMEX </t>
  </si>
  <si>
    <t>PLA-1371</t>
  </si>
  <si>
    <t>CAMARON  41/50</t>
  </si>
  <si>
    <t>CAMARON  100/200</t>
  </si>
  <si>
    <t>NLSE21-196</t>
  </si>
  <si>
    <t>NLSE21-197</t>
  </si>
  <si>
    <t>NLSE21-198</t>
  </si>
  <si>
    <t>C-3993</t>
  </si>
  <si>
    <t>NLSE21-199</t>
  </si>
  <si>
    <t>F-299</t>
  </si>
  <si>
    <t>F73A2</t>
  </si>
  <si>
    <t>Transfer B 13-Dic-21</t>
  </si>
  <si>
    <t>Transfer B 14-Dic-21</t>
  </si>
  <si>
    <t>Transfer S 13-Dic-21</t>
  </si>
  <si>
    <t>Transfer B 2-Dic-21</t>
  </si>
  <si>
    <t>Transfer B 3-Dic-21</t>
  </si>
  <si>
    <t>Transfer Bnte 13-Dic-21</t>
  </si>
  <si>
    <t>Traansfer Bnte 14-Dic-21</t>
  </si>
  <si>
    <t>Transfer Bnte 14-Dic-21</t>
  </si>
  <si>
    <t>Tranfer Bnte 15-Dic-21</t>
  </si>
  <si>
    <t>Transfer Bnte 15-Dic-21</t>
  </si>
  <si>
    <t>Transfer Bnte 16-Dic-21</t>
  </si>
  <si>
    <t>PED. 75144557</t>
  </si>
  <si>
    <t>CABEZA DE LOMO</t>
  </si>
  <si>
    <t>ENTRADA DEL MES DE DICIEMBRE   2021</t>
  </si>
  <si>
    <t xml:space="preserve">I N N O VA </t>
  </si>
  <si>
    <t>PED. 75147700</t>
  </si>
  <si>
    <t>PED. 75144206</t>
  </si>
  <si>
    <t>TRIPAS</t>
  </si>
  <si>
    <t>PED. 75231613</t>
  </si>
  <si>
    <t>PED. 75231589</t>
  </si>
  <si>
    <t>SeAboard</t>
  </si>
  <si>
    <t>PED. 75232363</t>
  </si>
  <si>
    <t>PED. 75307143</t>
  </si>
  <si>
    <t>PED. 75291957</t>
  </si>
  <si>
    <t>TYSON FRESH MEATS</t>
  </si>
  <si>
    <t>PED. 75314616</t>
  </si>
  <si>
    <t>PED. 75368484</t>
  </si>
  <si>
    <t xml:space="preserve">Seaboard </t>
  </si>
  <si>
    <t>PED. 75400289</t>
  </si>
  <si>
    <t>PED. 75418454</t>
  </si>
  <si>
    <t>PED. 75417567</t>
  </si>
  <si>
    <t>PED. 75443423</t>
  </si>
  <si>
    <t>NLSE21-200</t>
  </si>
  <si>
    <t xml:space="preserve">ALIMENTOS CERTIFICADOS PUEBLA                              I N N O V A </t>
  </si>
  <si>
    <t>PULPAS DE PIERNA</t>
  </si>
  <si>
    <t>NLSE21-201</t>
  </si>
  <si>
    <t>NLSE21-202</t>
  </si>
  <si>
    <t>A14-24117</t>
  </si>
  <si>
    <t>NLSE21-205</t>
  </si>
  <si>
    <t>NLSE21-206</t>
  </si>
  <si>
    <t>NLSE21-207</t>
  </si>
  <si>
    <t>ABASTECEDORA DE CARNES FRES ROEL</t>
  </si>
  <si>
    <t>SESOS MARQUETA</t>
  </si>
  <si>
    <t>NLSE21-208</t>
  </si>
  <si>
    <t>C-3996</t>
  </si>
  <si>
    <t>C-3997</t>
  </si>
  <si>
    <t>C-3998</t>
  </si>
  <si>
    <t xml:space="preserve">ALIMENTOS CERTIFICADOS PUEBLA    I N N O V A </t>
  </si>
  <si>
    <t>NLSE21-209</t>
  </si>
  <si>
    <t>NLSE21-210</t>
  </si>
  <si>
    <t>NLSE21-212</t>
  </si>
  <si>
    <t>NLSE21-213</t>
  </si>
  <si>
    <t>A14-24209</t>
  </si>
  <si>
    <t>NLSE21-211</t>
  </si>
  <si>
    <t>Transfer S 23-Dic-21</t>
  </si>
  <si>
    <t>ODELPA</t>
  </si>
  <si>
    <t>Transfer S 16-Dic-21</t>
  </si>
  <si>
    <t>Transfer S 27-Dic-21</t>
  </si>
  <si>
    <t>Transfer S 17-Dic-21</t>
  </si>
  <si>
    <t>Transfer B 16-Dic-21</t>
  </si>
  <si>
    <t>Transfer B 17-Dic-21</t>
  </si>
  <si>
    <t>Transfer B 22-Dic-21</t>
  </si>
  <si>
    <t>Transfer B 23-Dic-21</t>
  </si>
  <si>
    <t>Transfer Bnte 20-Dic-21</t>
  </si>
  <si>
    <t>Transfer Bnte 21-Dic-21</t>
  </si>
  <si>
    <t>Transfer Bnte 22-Dic-21</t>
  </si>
  <si>
    <t>Transfer Bnte 23-Dic-21</t>
  </si>
  <si>
    <t>Transfer Bnte 24-Dic-21</t>
  </si>
  <si>
    <t>Transfer S 10-Dic-21</t>
  </si>
  <si>
    <t>Transfer B 10-Dic-21</t>
  </si>
  <si>
    <t>Transfer B 15-Dic-21</t>
  </si>
  <si>
    <t>Transfer B 21-Dic -21</t>
  </si>
  <si>
    <t>PED. 75517509</t>
  </si>
  <si>
    <t>PED. 75528932</t>
  </si>
  <si>
    <t>PED. 75543977</t>
  </si>
  <si>
    <t>PED. 75544391</t>
  </si>
  <si>
    <t>PED. 75602717</t>
  </si>
  <si>
    <t>PED. 75641030</t>
  </si>
  <si>
    <t>PROCESADORA DE ALIMENTOS OMEX</t>
  </si>
  <si>
    <t>NLSE21-214</t>
  </si>
  <si>
    <t>D-0823</t>
  </si>
  <si>
    <t>C-3999</t>
  </si>
  <si>
    <t>NLSE21-215</t>
  </si>
  <si>
    <t>NLSE21-216</t>
  </si>
  <si>
    <t>NLSE21-218</t>
  </si>
  <si>
    <t>Transfer S 28-Dic-21</t>
  </si>
  <si>
    <t>Transfer S 30-Dic-21</t>
  </si>
  <si>
    <t>S/H</t>
  </si>
  <si>
    <t xml:space="preserve">I N N O V  A </t>
  </si>
  <si>
    <t>PIERNA S/H</t>
  </si>
  <si>
    <t>DISTRIBUIDORA ASGAR</t>
  </si>
  <si>
    <t>CLEMENS FOOD</t>
  </si>
  <si>
    <t>PED. 75530313</t>
  </si>
  <si>
    <t>PED. 75659701</t>
  </si>
  <si>
    <t>PED. 75659167</t>
  </si>
  <si>
    <t>ALIMENTOS CERTIFICADOS PUEBLA</t>
  </si>
  <si>
    <t>ESPALDILLA S/H</t>
  </si>
  <si>
    <t>GRANJERO FELIZ S DE RL</t>
  </si>
  <si>
    <t>TAMPIQUEÑA</t>
  </si>
  <si>
    <t>A14-24282</t>
  </si>
  <si>
    <t>NLSE21-217</t>
  </si>
  <si>
    <t>NLSE21-219</t>
  </si>
  <si>
    <t>Transfer B 24-Dic-21</t>
  </si>
  <si>
    <t>Transfer B 29-Dic-21</t>
  </si>
  <si>
    <t>Transfer Bnte 28-Dic-21</t>
  </si>
  <si>
    <t>Transfer Bnte 29-Dic-21</t>
  </si>
  <si>
    <t>Transfer Bnte 30-Dic-21</t>
  </si>
  <si>
    <t>HCO-9231</t>
  </si>
  <si>
    <t>Transfer B 30-Dic-21</t>
  </si>
  <si>
    <t>70B8F0</t>
  </si>
  <si>
    <t>Transfer B 31-12-21</t>
  </si>
  <si>
    <t>Transfer Bnte 17-Dic-21</t>
  </si>
  <si>
    <t>Transfer B 21-12-21</t>
  </si>
  <si>
    <t>Transfer B 28-Dic-21</t>
  </si>
  <si>
    <t>Transfer Bnte 27-Dic-21</t>
  </si>
  <si>
    <t>0593 Y</t>
  </si>
  <si>
    <t>0594 Y</t>
  </si>
  <si>
    <t>0595 Y</t>
  </si>
  <si>
    <t>0596 Y</t>
  </si>
  <si>
    <t>0597 Y</t>
  </si>
  <si>
    <t>0598 Y</t>
  </si>
  <si>
    <t>0600 Y</t>
  </si>
  <si>
    <t>0601 Y</t>
  </si>
  <si>
    <t>0602 Y</t>
  </si>
  <si>
    <t>0603 Y</t>
  </si>
  <si>
    <t>0604 Y</t>
  </si>
  <si>
    <t>0605 Y</t>
  </si>
  <si>
    <t>0606 Y</t>
  </si>
  <si>
    <t>0607 Y</t>
  </si>
  <si>
    <t>0608 Y</t>
  </si>
  <si>
    <t>0609 y</t>
  </si>
  <si>
    <t>0611 Y</t>
  </si>
  <si>
    <t>0612 Y</t>
  </si>
  <si>
    <t>0622 Y</t>
  </si>
  <si>
    <t>0632 Y</t>
  </si>
  <si>
    <t>0642 Y</t>
  </si>
  <si>
    <t>0652 Y</t>
  </si>
  <si>
    <t>0662 Y</t>
  </si>
  <si>
    <t>0672 Y</t>
  </si>
  <si>
    <t>0682 Y</t>
  </si>
  <si>
    <t>0613 Y</t>
  </si>
  <si>
    <t>0614 Y</t>
  </si>
  <si>
    <t>0615 Y</t>
  </si>
  <si>
    <t>0616 Y</t>
  </si>
  <si>
    <t>0617 Y</t>
  </si>
  <si>
    <t>0618 Y</t>
  </si>
  <si>
    <t>0619 Y</t>
  </si>
  <si>
    <t>0626 Y</t>
  </si>
  <si>
    <t>0636 Y</t>
  </si>
  <si>
    <t>0656 Y</t>
  </si>
  <si>
    <t>0666 Y</t>
  </si>
  <si>
    <t>0676 Y</t>
  </si>
  <si>
    <t>0686 Y</t>
  </si>
  <si>
    <t>0620 Y</t>
  </si>
  <si>
    <t>0621 Y</t>
  </si>
  <si>
    <t>0623 Y</t>
  </si>
  <si>
    <t>0624 Y</t>
  </si>
  <si>
    <t>0634 Y</t>
  </si>
  <si>
    <t>0644 Y</t>
  </si>
  <si>
    <t>0654 Y</t>
  </si>
  <si>
    <t>0664 Y</t>
  </si>
  <si>
    <t>0674 Y</t>
  </si>
  <si>
    <t>0684 Y</t>
  </si>
  <si>
    <t>0625 Y</t>
  </si>
  <si>
    <t>0628 Y</t>
  </si>
  <si>
    <t>0629 Y</t>
  </si>
  <si>
    <t>0630 Y</t>
  </si>
  <si>
    <t>0631 Y</t>
  </si>
  <si>
    <t>0641 Y</t>
  </si>
  <si>
    <t>0661 Y</t>
  </si>
  <si>
    <t>0691 Y</t>
  </si>
  <si>
    <t>0633 Y</t>
  </si>
  <si>
    <t>0635 Y</t>
  </si>
  <si>
    <t>0638 Y</t>
  </si>
  <si>
    <t>0639 Y</t>
  </si>
  <si>
    <t>0640 Y</t>
  </si>
  <si>
    <t>0643 Y</t>
  </si>
  <si>
    <t>0645 y</t>
  </si>
  <si>
    <t>0647 Y</t>
  </si>
  <si>
    <t>0648 Y</t>
  </si>
  <si>
    <t>0649 Y</t>
  </si>
  <si>
    <t>0650 Y</t>
  </si>
  <si>
    <t>0651 Y</t>
  </si>
  <si>
    <t>0653 Y</t>
  </si>
  <si>
    <t>0655 Y</t>
  </si>
  <si>
    <t>0657 Y</t>
  </si>
  <si>
    <t>0658 Y</t>
  </si>
  <si>
    <t>0659 Y</t>
  </si>
  <si>
    <t>0659 y</t>
  </si>
  <si>
    <t>0663 Y</t>
  </si>
  <si>
    <t>0665 Y</t>
  </si>
  <si>
    <t>0668 Y</t>
  </si>
  <si>
    <t>0669 Y</t>
  </si>
  <si>
    <t>0670 Y</t>
  </si>
  <si>
    <t>0671 Y</t>
  </si>
  <si>
    <t>0673 Y</t>
  </si>
  <si>
    <t>0675 Y</t>
  </si>
  <si>
    <t>0677 Y</t>
  </si>
  <si>
    <t>0678 Y</t>
  </si>
  <si>
    <t>0679 Y</t>
  </si>
  <si>
    <t>0680 Y</t>
  </si>
  <si>
    <t>0681 Y</t>
  </si>
  <si>
    <t>0683 Y</t>
  </si>
  <si>
    <t>0685 Y</t>
  </si>
  <si>
    <t>0687 Y</t>
  </si>
  <si>
    <t>0689 Y</t>
  </si>
  <si>
    <t>0690 Y</t>
  </si>
  <si>
    <t>0692 Y</t>
  </si>
  <si>
    <t>0693 Y</t>
  </si>
  <si>
    <t>0694 Y</t>
  </si>
  <si>
    <t>0695 Y</t>
  </si>
  <si>
    <t>0696 Y</t>
  </si>
  <si>
    <t>0698 Y</t>
  </si>
  <si>
    <t>0699 Y</t>
  </si>
  <si>
    <t>0700 Y</t>
  </si>
  <si>
    <t>0701 Y</t>
  </si>
  <si>
    <t>0703 Y</t>
  </si>
  <si>
    <t>0704 Y</t>
  </si>
  <si>
    <t>0705 Y</t>
  </si>
  <si>
    <t>0706 Y</t>
  </si>
  <si>
    <t>0708 Y</t>
  </si>
  <si>
    <t>0709 Y</t>
  </si>
  <si>
    <t>0710 Y</t>
  </si>
  <si>
    <t>0711 Y</t>
  </si>
  <si>
    <t>0712 Y</t>
  </si>
  <si>
    <t>0713 Y</t>
  </si>
  <si>
    <t>0721 Y</t>
  </si>
  <si>
    <t>0722 Y</t>
  </si>
  <si>
    <t>0714 Y</t>
  </si>
  <si>
    <t>0715 Y</t>
  </si>
  <si>
    <t>0716 Y</t>
  </si>
  <si>
    <t>0718 Y</t>
  </si>
  <si>
    <t>0719 Y</t>
  </si>
  <si>
    <t>0720 Y</t>
  </si>
  <si>
    <t>0723 Y</t>
  </si>
  <si>
    <t>0724 Y</t>
  </si>
  <si>
    <t>0725 Y</t>
  </si>
  <si>
    <t>0726 Y</t>
  </si>
  <si>
    <t>0727 Y</t>
  </si>
  <si>
    <t>0728 Y</t>
  </si>
  <si>
    <t>0730 Y</t>
  </si>
  <si>
    <t>0731 Y</t>
  </si>
  <si>
    <t>0732 Y</t>
  </si>
  <si>
    <t>0734 Y</t>
  </si>
  <si>
    <t>0735 Y</t>
  </si>
  <si>
    <t>0733 Y</t>
  </si>
  <si>
    <t xml:space="preserve">SESOS MARQUETA </t>
  </si>
  <si>
    <t>0737 Y</t>
  </si>
  <si>
    <t>0738 Y</t>
  </si>
  <si>
    <t>0739 Y</t>
  </si>
  <si>
    <t>0740 Y</t>
  </si>
  <si>
    <t>0741 Y</t>
  </si>
  <si>
    <t>0742 Y</t>
  </si>
  <si>
    <t>0743 Y</t>
  </si>
  <si>
    <t>0744 Y</t>
  </si>
  <si>
    <t>0745 Y</t>
  </si>
  <si>
    <t>0746 Y</t>
  </si>
  <si>
    <t>0747 Y</t>
  </si>
  <si>
    <t>0748 Y</t>
  </si>
  <si>
    <t>0750 Y</t>
  </si>
  <si>
    <t>0751 Y</t>
  </si>
  <si>
    <t>0752 Y</t>
  </si>
  <si>
    <t>0753 Y</t>
  </si>
  <si>
    <t>0754 Y</t>
  </si>
  <si>
    <t>0755 Y</t>
  </si>
  <si>
    <t>0756 Y</t>
  </si>
  <si>
    <t>0757 Y</t>
  </si>
  <si>
    <t>0758 Y</t>
  </si>
  <si>
    <t>0759 Y</t>
  </si>
  <si>
    <t>0762 Y</t>
  </si>
  <si>
    <t>0763 Y</t>
  </si>
  <si>
    <t>0764 Y</t>
  </si>
  <si>
    <t>0765 Y</t>
  </si>
  <si>
    <t>0766 Y</t>
  </si>
  <si>
    <t>0767 Y</t>
  </si>
  <si>
    <t>0768 Y</t>
  </si>
  <si>
    <t>0770 Y</t>
  </si>
  <si>
    <t>0771 Y</t>
  </si>
  <si>
    <t>0772 Y</t>
  </si>
  <si>
    <t>0773 Y</t>
  </si>
  <si>
    <t>0774 Y</t>
  </si>
  <si>
    <t>0775 Y</t>
  </si>
  <si>
    <t>0776 Y</t>
  </si>
  <si>
    <t>0777 Y</t>
  </si>
  <si>
    <t>0778 Y</t>
  </si>
  <si>
    <t>0779 Y</t>
  </si>
  <si>
    <t>0780 Y</t>
  </si>
  <si>
    <t>0781 Y</t>
  </si>
  <si>
    <t>0782 Y</t>
  </si>
  <si>
    <t>0784 Y</t>
  </si>
  <si>
    <t>0785 Y</t>
  </si>
  <si>
    <t>0786 Y</t>
  </si>
  <si>
    <t>0787 Y</t>
  </si>
  <si>
    <t>0788 Y</t>
  </si>
  <si>
    <t>0789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</si>
  <si>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</si>
  <si>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</si>
  <si>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</si>
  <si>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</si>
  <si>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</si>
  <si>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</si>
  <si>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</si>
  <si>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</si>
  <si>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</si>
  <si>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</si>
  <si>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</si>
  <si>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</si>
  <si>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</si>
  <si>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</si>
  <si>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</si>
  <si>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</si>
  <si>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0806 Y</t>
  </si>
  <si>
    <t>0807 Y</t>
  </si>
  <si>
    <t>0808 Y</t>
  </si>
  <si>
    <t>0809 Y</t>
  </si>
  <si>
    <t>0810 Y</t>
  </si>
  <si>
    <t>0811 Y</t>
  </si>
  <si>
    <t>0812 Y</t>
  </si>
  <si>
    <t>0813 Y</t>
  </si>
  <si>
    <t>0823 Y</t>
  </si>
  <si>
    <t>0833 Y</t>
  </si>
  <si>
    <t>0815 Y</t>
  </si>
  <si>
    <t>0816 Y</t>
  </si>
  <si>
    <t>0817 Y</t>
  </si>
  <si>
    <t>0818 Y</t>
  </si>
  <si>
    <t>0819 Y</t>
  </si>
  <si>
    <t>0829 Y</t>
  </si>
  <si>
    <t>0821 Y</t>
  </si>
  <si>
    <t>0822 Y</t>
  </si>
  <si>
    <t>0824 Y</t>
  </si>
  <si>
    <t>0825 Y</t>
  </si>
  <si>
    <t>0826 Y</t>
  </si>
  <si>
    <t>0828 Y</t>
  </si>
  <si>
    <t>0827 Y</t>
  </si>
  <si>
    <t>0830 Y</t>
  </si>
  <si>
    <t>0831 Y</t>
  </si>
  <si>
    <t>0832 Y</t>
  </si>
  <si>
    <t>0834 Y</t>
  </si>
  <si>
    <t>0835 Y</t>
  </si>
  <si>
    <t>0836 Y</t>
  </si>
  <si>
    <t>0837 Y</t>
  </si>
  <si>
    <t>0838 Y</t>
  </si>
  <si>
    <t>0841 Y</t>
  </si>
  <si>
    <t>0842 Y</t>
  </si>
  <si>
    <t>08453 Y</t>
  </si>
  <si>
    <t>0843 Y</t>
  </si>
  <si>
    <t>0844 Y</t>
  </si>
  <si>
    <t>0845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</si>
  <si>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</si>
  <si>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</si>
  <si>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</si>
  <si>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</si>
  <si>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</si>
  <si>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</si>
  <si>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</si>
  <si>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</si>
  <si>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0856 Y</t>
  </si>
  <si>
    <t>0857 Y</t>
  </si>
  <si>
    <t>0858 Y</t>
  </si>
  <si>
    <t>PULPA DE RES</t>
  </si>
  <si>
    <t>0610 Y</t>
  </si>
  <si>
    <t>F--324</t>
  </si>
  <si>
    <t>Transfer B 10-Ene-21</t>
  </si>
  <si>
    <t>TOCINO  Nal</t>
  </si>
  <si>
    <t>PECHO  C/CUERO  OLYMEL</t>
  </si>
  <si>
    <t>Transfer S 6-Ene-22</t>
  </si>
  <si>
    <t>Tramsfer B 5-Ene-22</t>
  </si>
  <si>
    <t>Transfer Bnte 3-Ene-22</t>
  </si>
  <si>
    <t>Transfer Bnte 11-Ene-22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</si>
</sst>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6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0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0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" xfId="0" applyNumberFormat="1" applyFont="1" applyFill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1" fontId="41" fillId="0" borderId="69" xfId="0" applyNumberFormat="1" applyFont="1" applyFill="1" applyBorder="1" applyAlignment="1">
      <alignment vertical="center"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7" fillId="0" borderId="69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0" fillId="0" borderId="78" xfId="0" applyNumberFormat="1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2" fontId="35" fillId="0" borderId="0" xfId="0" applyNumberFormat="1" applyFont="1" applyBorder="1"/>
    <xf numFmtId="164" fontId="35" fillId="0" borderId="0" xfId="0" applyNumberFormat="1" applyFont="1" applyBorder="1"/>
    <xf numFmtId="15" fontId="35" fillId="0" borderId="0" xfId="0" applyNumberFormat="1" applyFont="1" applyFill="1"/>
    <xf numFmtId="2" fontId="35" fillId="0" borderId="0" xfId="0" applyNumberFormat="1" applyFont="1" applyFill="1"/>
    <xf numFmtId="167" fontId="35" fillId="0" borderId="0" xfId="0" applyNumberFormat="1" applyFont="1" applyFill="1"/>
    <xf numFmtId="15" fontId="35" fillId="0" borderId="15" xfId="0" applyNumberFormat="1" applyFont="1" applyFill="1" applyBorder="1"/>
    <xf numFmtId="168" fontId="35" fillId="0" borderId="0" xfId="0" applyNumberFormat="1" applyFont="1"/>
    <xf numFmtId="168" fontId="35" fillId="0" borderId="4" xfId="0" applyNumberFormat="1" applyFont="1" applyBorder="1"/>
    <xf numFmtId="15" fontId="35" fillId="0" borderId="10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4" fontId="31" fillId="0" borderId="51" xfId="0" applyNumberFormat="1" applyFont="1" applyBorder="1"/>
    <xf numFmtId="2" fontId="31" fillId="0" borderId="51" xfId="0" applyNumberFormat="1" applyFont="1" applyBorder="1" applyAlignment="1">
      <alignment horizontal="right"/>
    </xf>
    <xf numFmtId="2" fontId="76" fillId="0" borderId="5" xfId="0" applyNumberFormat="1" applyFont="1" applyBorder="1" applyAlignment="1">
      <alignment horizontal="right"/>
    </xf>
    <xf numFmtId="16" fontId="77" fillId="0" borderId="0" xfId="0" applyNumberFormat="1" applyFont="1"/>
    <xf numFmtId="2" fontId="77" fillId="0" borderId="5" xfId="0" applyNumberFormat="1" applyFont="1" applyFill="1" applyBorder="1" applyAlignment="1">
      <alignment horizontal="right"/>
    </xf>
    <xf numFmtId="16" fontId="76" fillId="0" borderId="0" xfId="0" applyNumberFormat="1" applyFont="1"/>
    <xf numFmtId="2" fontId="76" fillId="0" borderId="0" xfId="0" applyNumberFormat="1" applyFont="1" applyAlignment="1">
      <alignment horizontal="right"/>
    </xf>
    <xf numFmtId="0" fontId="7" fillId="2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79" fillId="0" borderId="33" xfId="0" applyFont="1" applyFill="1" applyBorder="1"/>
    <xf numFmtId="0" fontId="79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19" borderId="33" xfId="0" applyFont="1" applyFill="1" applyBorder="1" applyAlignment="1">
      <alignment horizontal="center"/>
    </xf>
    <xf numFmtId="164" fontId="7" fillId="0" borderId="77" xfId="0" applyNumberFormat="1" applyFont="1" applyFill="1" applyBorder="1" applyAlignment="1"/>
    <xf numFmtId="164" fontId="7" fillId="0" borderId="70" xfId="0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7" fillId="0" borderId="78" xfId="0" applyNumberFormat="1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16" fontId="7" fillId="0" borderId="77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22" fillId="23" borderId="0" xfId="0" applyFont="1" applyFill="1" applyAlignment="1">
      <alignment horizontal="center"/>
    </xf>
    <xf numFmtId="168" fontId="7" fillId="23" borderId="0" xfId="0" applyNumberFormat="1" applyFont="1" applyFill="1"/>
    <xf numFmtId="2" fontId="12" fillId="23" borderId="0" xfId="0" applyNumberFormat="1" applyFont="1" applyFill="1"/>
    <xf numFmtId="0" fontId="12" fillId="23" borderId="0" xfId="0" applyFont="1" applyFill="1" applyAlignment="1">
      <alignment horizontal="center"/>
    </xf>
    <xf numFmtId="2" fontId="7" fillId="23" borderId="0" xfId="0" applyNumberFormat="1" applyFont="1" applyFill="1"/>
    <xf numFmtId="0" fontId="7" fillId="23" borderId="33" xfId="0" applyFont="1" applyFill="1" applyBorder="1" applyAlignment="1">
      <alignment horizontal="center"/>
    </xf>
    <xf numFmtId="1" fontId="41" fillId="0" borderId="78" xfId="0" applyNumberFormat="1" applyFont="1" applyFill="1" applyBorder="1" applyAlignment="1">
      <alignment horizontal="center"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7" fillId="24" borderId="33" xfId="0" applyFont="1" applyFill="1" applyBorder="1" applyAlignment="1">
      <alignment horizontal="center"/>
    </xf>
    <xf numFmtId="164" fontId="7" fillId="24" borderId="33" xfId="0" applyNumberFormat="1" applyFont="1" applyFill="1" applyBorder="1"/>
    <xf numFmtId="4" fontId="8" fillId="7" borderId="0" xfId="0" applyNumberFormat="1" applyFont="1" applyFill="1"/>
    <xf numFmtId="4" fontId="8" fillId="5" borderId="0" xfId="0" applyNumberFormat="1" applyFont="1" applyFill="1"/>
    <xf numFmtId="0" fontId="35" fillId="5" borderId="10" xfId="0" applyFont="1" applyFill="1" applyBorder="1" applyAlignment="1">
      <alignment horizontal="right"/>
    </xf>
    <xf numFmtId="164" fontId="35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4" fontId="7" fillId="5" borderId="0" xfId="0" applyNumberFormat="1" applyFont="1" applyFill="1"/>
    <xf numFmtId="0" fontId="35" fillId="0" borderId="0" xfId="0" applyFont="1" applyFill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164" fontId="10" fillId="5" borderId="0" xfId="0" applyNumberFormat="1" applyFont="1" applyFill="1"/>
    <xf numFmtId="2" fontId="35" fillId="5" borderId="0" xfId="0" applyNumberFormat="1" applyFont="1" applyFill="1" applyAlignment="1">
      <alignment horizontal="right"/>
    </xf>
    <xf numFmtId="164" fontId="7" fillId="5" borderId="0" xfId="0" applyNumberFormat="1" applyFont="1" applyFill="1"/>
    <xf numFmtId="2" fontId="7" fillId="5" borderId="0" xfId="0" applyNumberFormat="1" applyFont="1" applyFill="1"/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right"/>
    </xf>
    <xf numFmtId="2" fontId="0" fillId="7" borderId="0" xfId="0" applyNumberFormat="1" applyFill="1"/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0" fontId="26" fillId="0" borderId="0" xfId="0" applyFont="1" applyFill="1" applyAlignment="1">
      <alignment horizontal="right"/>
    </xf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46" fillId="7" borderId="0" xfId="0" applyNumberFormat="1" applyFont="1" applyFill="1"/>
    <xf numFmtId="16" fontId="7" fillId="0" borderId="51" xfId="0" applyNumberFormat="1" applyFont="1" applyBorder="1"/>
    <xf numFmtId="0" fontId="7" fillId="0" borderId="51" xfId="0" applyFont="1" applyBorder="1"/>
    <xf numFmtId="0" fontId="7" fillId="8" borderId="33" xfId="0" applyFont="1" applyFill="1" applyBorder="1" applyAlignment="1">
      <alignment vertical="center"/>
    </xf>
    <xf numFmtId="164" fontId="35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25" borderId="4" xfId="0" applyNumberFormat="1" applyFont="1" applyFill="1" applyBorder="1"/>
    <xf numFmtId="2" fontId="7" fillId="25" borderId="0" xfId="0" applyNumberFormat="1" applyFont="1" applyFill="1" applyAlignment="1">
      <alignment horizontal="right"/>
    </xf>
    <xf numFmtId="0" fontId="7" fillId="25" borderId="10" xfId="0" applyFont="1" applyFill="1" applyBorder="1" applyAlignment="1">
      <alignment horizontal="right"/>
    </xf>
    <xf numFmtId="164" fontId="7" fillId="25" borderId="0" xfId="0" applyNumberFormat="1" applyFont="1" applyFill="1"/>
    <xf numFmtId="44" fontId="7" fillId="25" borderId="0" xfId="1" applyFont="1" applyFill="1"/>
    <xf numFmtId="2" fontId="35" fillId="7" borderId="0" xfId="0" applyNumberFormat="1" applyFont="1" applyFill="1" applyAlignment="1">
      <alignment horizontal="right"/>
    </xf>
    <xf numFmtId="0" fontId="7" fillId="11" borderId="0" xfId="0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4" fontId="0" fillId="7" borderId="5" xfId="0" applyNumberFormat="1" applyFill="1" applyBorder="1"/>
    <xf numFmtId="164" fontId="10" fillId="7" borderId="87" xfId="0" applyNumberFormat="1" applyFont="1" applyFill="1" applyBorder="1"/>
    <xf numFmtId="43" fontId="28" fillId="4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164" fontId="10" fillId="7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80" fillId="0" borderId="0" xfId="0" applyFont="1"/>
    <xf numFmtId="166" fontId="10" fillId="2" borderId="33" xfId="0" applyNumberFormat="1" applyFont="1" applyFill="1" applyBorder="1" applyAlignment="1">
      <alignment horizontal="right"/>
    </xf>
    <xf numFmtId="0" fontId="23" fillId="2" borderId="33" xfId="0" applyFont="1" applyFill="1" applyBorder="1" applyAlignment="1">
      <alignment horizontal="left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17" fillId="0" borderId="48" xfId="0" applyNumberFormat="1" applyFont="1" applyFill="1" applyBorder="1" applyAlignment="1">
      <alignment horizontal="center" vertical="center" wrapText="1"/>
    </xf>
    <xf numFmtId="164" fontId="17" fillId="0" borderId="51" xfId="0" applyNumberFormat="1" applyFont="1" applyFill="1" applyBorder="1" applyAlignment="1">
      <alignment horizontal="center" vertical="center" wrapText="1"/>
    </xf>
    <xf numFmtId="164" fontId="17" fillId="0" borderId="49" xfId="0" applyNumberFormat="1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95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5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65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1" fontId="41" fillId="0" borderId="95" xfId="0" applyNumberFormat="1" applyFont="1" applyFill="1" applyBorder="1" applyAlignment="1">
      <alignment horizontal="center" vertical="center" wrapText="1"/>
    </xf>
    <xf numFmtId="164" fontId="10" fillId="2" borderId="95" xfId="0" applyNumberFormat="1" applyFont="1" applyFill="1" applyBorder="1" applyAlignment="1">
      <alignment horizontal="center" vertical="center" wrapText="1"/>
    </xf>
    <xf numFmtId="164" fontId="18" fillId="0" borderId="77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vertical="center" wrapText="1"/>
    </xf>
    <xf numFmtId="164" fontId="10" fillId="2" borderId="48" xfId="0" applyNumberFormat="1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/>
    <xf numFmtId="0" fontId="81" fillId="2" borderId="77" xfId="0" applyFont="1" applyFill="1" applyBorder="1" applyAlignment="1">
      <alignment horizontal="left"/>
    </xf>
    <xf numFmtId="166" fontId="7" fillId="25" borderId="33" xfId="0" applyNumberFormat="1" applyFont="1" applyFill="1" applyBorder="1" applyAlignment="1">
      <alignment horizontal="right"/>
    </xf>
    <xf numFmtId="166" fontId="7" fillId="25" borderId="33" xfId="0" applyNumberFormat="1" applyFont="1" applyFill="1" applyBorder="1"/>
    <xf numFmtId="166" fontId="7" fillId="25" borderId="33" xfId="0" applyNumberFormat="1" applyFont="1" applyFill="1" applyBorder="1" applyAlignment="1">
      <alignment horizontal="center"/>
    </xf>
    <xf numFmtId="44" fontId="7" fillId="25" borderId="33" xfId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00FF"/>
      <color rgb="FFFFCCFF"/>
      <color rgb="FF00FFCC"/>
      <color rgb="FF00FF00"/>
      <color rgb="FF99FFCC"/>
      <color rgb="FF66FF99"/>
      <color rgb="FFFF3399"/>
      <color rgb="FFFF99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44535</c:v>
                </c:pt>
                <c:pt idx="1">
                  <c:v>44536</c:v>
                </c:pt>
                <c:pt idx="2">
                  <c:v>44537</c:v>
                </c:pt>
                <c:pt idx="3">
                  <c:v>44538</c:v>
                </c:pt>
                <c:pt idx="4">
                  <c:v>44539</c:v>
                </c:pt>
                <c:pt idx="5">
                  <c:v>44510</c:v>
                </c:pt>
                <c:pt idx="6">
                  <c:v>44541</c:v>
                </c:pt>
                <c:pt idx="7">
                  <c:v>44541</c:v>
                </c:pt>
                <c:pt idx="8">
                  <c:v>44544</c:v>
                </c:pt>
                <c:pt idx="9">
                  <c:v>44544</c:v>
                </c:pt>
                <c:pt idx="10">
                  <c:v>44544</c:v>
                </c:pt>
                <c:pt idx="11">
                  <c:v>44545</c:v>
                </c:pt>
                <c:pt idx="12">
                  <c:v>44546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44548</c:v>
                </c:pt>
                <c:pt idx="17">
                  <c:v>44551</c:v>
                </c:pt>
                <c:pt idx="18">
                  <c:v>44551</c:v>
                </c:pt>
                <c:pt idx="19">
                  <c:v>44551</c:v>
                </c:pt>
                <c:pt idx="20">
                  <c:v>44552</c:v>
                </c:pt>
                <c:pt idx="21">
                  <c:v>44552</c:v>
                </c:pt>
                <c:pt idx="22">
                  <c:v>44553</c:v>
                </c:pt>
                <c:pt idx="23">
                  <c:v>44553</c:v>
                </c:pt>
                <c:pt idx="24">
                  <c:v>44554</c:v>
                </c:pt>
                <c:pt idx="25">
                  <c:v>44554</c:v>
                </c:pt>
                <c:pt idx="26">
                  <c:v>44554</c:v>
                </c:pt>
                <c:pt idx="27">
                  <c:v>44554</c:v>
                </c:pt>
                <c:pt idx="28">
                  <c:v>44556</c:v>
                </c:pt>
                <c:pt idx="29">
                  <c:v>44558</c:v>
                </c:pt>
                <c:pt idx="30">
                  <c:v>44558</c:v>
                </c:pt>
                <c:pt idx="31">
                  <c:v>44559</c:v>
                </c:pt>
                <c:pt idx="32">
                  <c:v>44559</c:v>
                </c:pt>
                <c:pt idx="33">
                  <c:v>44560</c:v>
                </c:pt>
                <c:pt idx="34">
                  <c:v>44560</c:v>
                </c:pt>
                <c:pt idx="35">
                  <c:v>44561</c:v>
                </c:pt>
                <c:pt idx="36">
                  <c:v>44563</c:v>
                </c:pt>
                <c:pt idx="37">
                  <c:v>44563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18834.02</c:v>
                </c:pt>
                <c:pt idx="1">
                  <c:v>19015.13</c:v>
                </c:pt>
                <c:pt idx="2">
                  <c:v>19130.48</c:v>
                </c:pt>
                <c:pt idx="3">
                  <c:v>18428.150000000001</c:v>
                </c:pt>
                <c:pt idx="4">
                  <c:v>18444.29</c:v>
                </c:pt>
                <c:pt idx="5">
                  <c:v>18330.04</c:v>
                </c:pt>
                <c:pt idx="6">
                  <c:v>18880.55</c:v>
                </c:pt>
                <c:pt idx="7">
                  <c:v>19120.43</c:v>
                </c:pt>
                <c:pt idx="8">
                  <c:v>19062.13</c:v>
                </c:pt>
                <c:pt idx="9">
                  <c:v>18870.150000000001</c:v>
                </c:pt>
                <c:pt idx="10">
                  <c:v>18879.93</c:v>
                </c:pt>
                <c:pt idx="11">
                  <c:v>18662.64</c:v>
                </c:pt>
                <c:pt idx="12">
                  <c:v>18925.2</c:v>
                </c:pt>
                <c:pt idx="13">
                  <c:v>18946.189999999999</c:v>
                </c:pt>
                <c:pt idx="14">
                  <c:v>18982.43</c:v>
                </c:pt>
                <c:pt idx="15">
                  <c:v>18979.97</c:v>
                </c:pt>
                <c:pt idx="16">
                  <c:v>16374.71</c:v>
                </c:pt>
                <c:pt idx="17">
                  <c:v>18911.37</c:v>
                </c:pt>
                <c:pt idx="18">
                  <c:v>19160.599999999999</c:v>
                </c:pt>
                <c:pt idx="19">
                  <c:v>19089.04</c:v>
                </c:pt>
                <c:pt idx="20">
                  <c:v>18916.740000000002</c:v>
                </c:pt>
                <c:pt idx="21">
                  <c:v>18545.189999999999</c:v>
                </c:pt>
                <c:pt idx="22">
                  <c:v>18339.52</c:v>
                </c:pt>
                <c:pt idx="23">
                  <c:v>18453.52</c:v>
                </c:pt>
                <c:pt idx="24">
                  <c:v>18701.990000000002</c:v>
                </c:pt>
                <c:pt idx="25">
                  <c:v>18697.38</c:v>
                </c:pt>
                <c:pt idx="26">
                  <c:v>19104.060000000001</c:v>
                </c:pt>
                <c:pt idx="27">
                  <c:v>19049.900000000001</c:v>
                </c:pt>
                <c:pt idx="28">
                  <c:v>18914.25</c:v>
                </c:pt>
                <c:pt idx="29">
                  <c:v>18868.09</c:v>
                </c:pt>
                <c:pt idx="30">
                  <c:v>18387.689999999999</c:v>
                </c:pt>
                <c:pt idx="31">
                  <c:v>18533.84</c:v>
                </c:pt>
                <c:pt idx="32">
                  <c:v>18934.95</c:v>
                </c:pt>
                <c:pt idx="33">
                  <c:v>18933.580000000002</c:v>
                </c:pt>
                <c:pt idx="34">
                  <c:v>18503.34</c:v>
                </c:pt>
                <c:pt idx="35">
                  <c:v>18788.04</c:v>
                </c:pt>
                <c:pt idx="36">
                  <c:v>18943.84</c:v>
                </c:pt>
                <c:pt idx="37">
                  <c:v>18944.310000000001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18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18864.900000000001</c:v>
                </c:pt>
                <c:pt idx="1">
                  <c:v>19041.599999999999</c:v>
                </c:pt>
                <c:pt idx="2">
                  <c:v>19179.7</c:v>
                </c:pt>
                <c:pt idx="3">
                  <c:v>18493.310000000001</c:v>
                </c:pt>
                <c:pt idx="4">
                  <c:v>18463.38</c:v>
                </c:pt>
                <c:pt idx="5">
                  <c:v>18375.900000000001</c:v>
                </c:pt>
                <c:pt idx="6">
                  <c:v>19005</c:v>
                </c:pt>
                <c:pt idx="7">
                  <c:v>19204.5</c:v>
                </c:pt>
                <c:pt idx="8">
                  <c:v>19061.900000000001</c:v>
                </c:pt>
                <c:pt idx="9">
                  <c:v>18841.400000000001</c:v>
                </c:pt>
                <c:pt idx="10">
                  <c:v>18878.400000000001</c:v>
                </c:pt>
                <c:pt idx="11">
                  <c:v>18667.04</c:v>
                </c:pt>
                <c:pt idx="12">
                  <c:v>18989.5</c:v>
                </c:pt>
                <c:pt idx="13">
                  <c:v>18995.2</c:v>
                </c:pt>
                <c:pt idx="14">
                  <c:v>19009.400000000001</c:v>
                </c:pt>
                <c:pt idx="15">
                  <c:v>18965.2</c:v>
                </c:pt>
                <c:pt idx="16">
                  <c:v>16413.599999999999</c:v>
                </c:pt>
                <c:pt idx="17">
                  <c:v>18931.5</c:v>
                </c:pt>
                <c:pt idx="18">
                  <c:v>19165.099999999999</c:v>
                </c:pt>
                <c:pt idx="19">
                  <c:v>19026.8</c:v>
                </c:pt>
                <c:pt idx="20">
                  <c:v>18916.7</c:v>
                </c:pt>
                <c:pt idx="21">
                  <c:v>18538.59</c:v>
                </c:pt>
                <c:pt idx="22">
                  <c:v>18447.490000000002</c:v>
                </c:pt>
                <c:pt idx="23">
                  <c:v>18532.759999999998</c:v>
                </c:pt>
                <c:pt idx="24">
                  <c:v>18740</c:v>
                </c:pt>
                <c:pt idx="25">
                  <c:v>18734.8</c:v>
                </c:pt>
                <c:pt idx="26">
                  <c:v>19110.400000000001</c:v>
                </c:pt>
                <c:pt idx="27">
                  <c:v>19048.8</c:v>
                </c:pt>
                <c:pt idx="28">
                  <c:v>18951</c:v>
                </c:pt>
                <c:pt idx="29">
                  <c:v>18937.2</c:v>
                </c:pt>
                <c:pt idx="30">
                  <c:v>18445.669999999998</c:v>
                </c:pt>
                <c:pt idx="31">
                  <c:v>18548.650000000001</c:v>
                </c:pt>
                <c:pt idx="32">
                  <c:v>19077.5</c:v>
                </c:pt>
                <c:pt idx="33">
                  <c:v>18995.599999999999</c:v>
                </c:pt>
                <c:pt idx="34">
                  <c:v>18531.39</c:v>
                </c:pt>
                <c:pt idx="35">
                  <c:v>18849.7</c:v>
                </c:pt>
                <c:pt idx="36">
                  <c:v>19073.7</c:v>
                </c:pt>
                <c:pt idx="37">
                  <c:v>19120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-30.880000000001019</c:v>
                </c:pt>
                <c:pt idx="1">
                  <c:v>-26.469999999997526</c:v>
                </c:pt>
                <c:pt idx="2">
                  <c:v>-49.220000000001164</c:v>
                </c:pt>
                <c:pt idx="3">
                  <c:v>-65.159999999999854</c:v>
                </c:pt>
                <c:pt idx="4">
                  <c:v>-19.090000000000146</c:v>
                </c:pt>
                <c:pt idx="5">
                  <c:v>-45.860000000000582</c:v>
                </c:pt>
                <c:pt idx="6">
                  <c:v>-124.45000000000073</c:v>
                </c:pt>
                <c:pt idx="7">
                  <c:v>-84.069999999999709</c:v>
                </c:pt>
                <c:pt idx="8">
                  <c:v>0.22999999999956344</c:v>
                </c:pt>
                <c:pt idx="9">
                  <c:v>28.75</c:v>
                </c:pt>
                <c:pt idx="10">
                  <c:v>1.5299999999988358</c:v>
                </c:pt>
                <c:pt idx="11">
                  <c:v>-4.4000000000014552</c:v>
                </c:pt>
                <c:pt idx="12">
                  <c:v>-64.299999999999272</c:v>
                </c:pt>
                <c:pt idx="13">
                  <c:v>-49.010000000002037</c:v>
                </c:pt>
                <c:pt idx="14">
                  <c:v>-26.970000000001164</c:v>
                </c:pt>
                <c:pt idx="15">
                  <c:v>14.770000000000437</c:v>
                </c:pt>
                <c:pt idx="16">
                  <c:v>-38.889999999999418</c:v>
                </c:pt>
                <c:pt idx="17">
                  <c:v>-20.130000000001019</c:v>
                </c:pt>
                <c:pt idx="18">
                  <c:v>-4.5</c:v>
                </c:pt>
                <c:pt idx="19">
                  <c:v>62.240000000001601</c:v>
                </c:pt>
                <c:pt idx="20">
                  <c:v>4.0000000000873115E-2</c:v>
                </c:pt>
                <c:pt idx="21">
                  <c:v>6.5999999999985448</c:v>
                </c:pt>
                <c:pt idx="22">
                  <c:v>-107.97000000000116</c:v>
                </c:pt>
                <c:pt idx="23">
                  <c:v>-79.239999999997963</c:v>
                </c:pt>
                <c:pt idx="24">
                  <c:v>-38.009999999998399</c:v>
                </c:pt>
                <c:pt idx="25">
                  <c:v>-37.419999999998254</c:v>
                </c:pt>
                <c:pt idx="26">
                  <c:v>-6.3400000000001455</c:v>
                </c:pt>
                <c:pt idx="27">
                  <c:v>1.1000000000021828</c:v>
                </c:pt>
                <c:pt idx="28">
                  <c:v>-36.75</c:v>
                </c:pt>
                <c:pt idx="29">
                  <c:v>-69.110000000000582</c:v>
                </c:pt>
                <c:pt idx="30">
                  <c:v>-57.979999999999563</c:v>
                </c:pt>
                <c:pt idx="31">
                  <c:v>-14.81000000000131</c:v>
                </c:pt>
                <c:pt idx="32">
                  <c:v>-142.54999999999927</c:v>
                </c:pt>
                <c:pt idx="33">
                  <c:v>-62.019999999996799</c:v>
                </c:pt>
                <c:pt idx="34">
                  <c:v>-28.049999999999272</c:v>
                </c:pt>
                <c:pt idx="35">
                  <c:v>-61.659999999999854</c:v>
                </c:pt>
                <c:pt idx="36">
                  <c:v>-129.86000000000058</c:v>
                </c:pt>
                <c:pt idx="37">
                  <c:v>-175.68999999999869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3954</c:v>
                </c:pt>
                <c:pt idx="4">
                  <c:v>0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9663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10963</c:v>
                </c:pt>
                <c:pt idx="4">
                  <c:v>9913</c:v>
                </c:pt>
                <c:pt idx="6">
                  <c:v>9663</c:v>
                </c:pt>
                <c:pt idx="7">
                  <c:v>11813</c:v>
                </c:pt>
                <c:pt idx="8">
                  <c:v>10963</c:v>
                </c:pt>
                <c:pt idx="9">
                  <c:v>10963</c:v>
                </c:pt>
                <c:pt idx="10">
                  <c:v>11813</c:v>
                </c:pt>
                <c:pt idx="11">
                  <c:v>11963</c:v>
                </c:pt>
                <c:pt idx="12">
                  <c:v>11813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11963</c:v>
                </c:pt>
                <c:pt idx="16">
                  <c:v>11813</c:v>
                </c:pt>
                <c:pt idx="17">
                  <c:v>11813</c:v>
                </c:pt>
                <c:pt idx="18">
                  <c:v>10963</c:v>
                </c:pt>
                <c:pt idx="19">
                  <c:v>11963</c:v>
                </c:pt>
                <c:pt idx="20">
                  <c:v>11963</c:v>
                </c:pt>
                <c:pt idx="21">
                  <c:v>10963</c:v>
                </c:pt>
                <c:pt idx="22">
                  <c:v>11973</c:v>
                </c:pt>
                <c:pt idx="23">
                  <c:v>10963</c:v>
                </c:pt>
                <c:pt idx="24">
                  <c:v>9663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11813</c:v>
                </c:pt>
                <c:pt idx="27">
                  <c:v>10963</c:v>
                </c:pt>
                <c:pt idx="28">
                  <c:v>10963</c:v>
                </c:pt>
                <c:pt idx="29" formatCode="_(&quot;$&quot;* #,##0.00_);_(&quot;$&quot;* \(#,##0.00\);_(&quot;$&quot;* &quot;-&quot;??_);_(@_)">
                  <c:v>11973</c:v>
                </c:pt>
                <c:pt idx="30">
                  <c:v>17053</c:v>
                </c:pt>
                <c:pt idx="31">
                  <c:v>11813</c:v>
                </c:pt>
                <c:pt idx="32">
                  <c:v>9663</c:v>
                </c:pt>
                <c:pt idx="33">
                  <c:v>10963</c:v>
                </c:pt>
                <c:pt idx="35" formatCode="_(&quot;$&quot;* #,##0.00_);_(&quot;$&quot;* \(#,##0.00\);_(&quot;$&quot;* &quot;-&quot;??_);_(@_)">
                  <c:v>11963</c:v>
                </c:pt>
                <c:pt idx="36">
                  <c:v>10963</c:v>
                </c:pt>
                <c:pt idx="37" formatCode="_(&quot;$&quot;* #,##0.00_);_(&quot;$&quot;* \(#,##0.00\);_(&quot;$&quot;* &quot;-&quot;??_);_(@_)">
                  <c:v>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27840</c:v>
                </c:pt>
                <c:pt idx="23">
                  <c:v>30160</c:v>
                </c:pt>
                <c:pt idx="24">
                  <c:v>30160</c:v>
                </c:pt>
                <c:pt idx="25">
                  <c:v>27840</c:v>
                </c:pt>
                <c:pt idx="26">
                  <c:v>30160</c:v>
                </c:pt>
                <c:pt idx="27">
                  <c:v>30160</c:v>
                </c:pt>
                <c:pt idx="28">
                  <c:v>27840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  <c:pt idx="35">
                  <c:v>30160</c:v>
                </c:pt>
                <c:pt idx="36">
                  <c:v>27840</c:v>
                </c:pt>
                <c:pt idx="37">
                  <c:v>27840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1977186</c:v>
                </c:pt>
                <c:pt idx="2">
                  <c:v>1977184</c:v>
                </c:pt>
                <c:pt idx="3">
                  <c:v>89960</c:v>
                </c:pt>
                <c:pt idx="4">
                  <c:v>91474</c:v>
                </c:pt>
                <c:pt idx="5">
                  <c:v>277</c:v>
                </c:pt>
                <c:pt idx="6">
                  <c:v>1979298</c:v>
                </c:pt>
                <c:pt idx="7">
                  <c:v>1979299</c:v>
                </c:pt>
                <c:pt idx="8">
                  <c:v>1980099</c:v>
                </c:pt>
                <c:pt idx="9">
                  <c:v>1980100</c:v>
                </c:pt>
                <c:pt idx="10">
                  <c:v>1980101</c:v>
                </c:pt>
                <c:pt idx="11">
                  <c:v>701817</c:v>
                </c:pt>
                <c:pt idx="12">
                  <c:v>1981176</c:v>
                </c:pt>
                <c:pt idx="13">
                  <c:v>299</c:v>
                </c:pt>
                <c:pt idx="14">
                  <c:v>1981916</c:v>
                </c:pt>
                <c:pt idx="15">
                  <c:v>1982088</c:v>
                </c:pt>
                <c:pt idx="16">
                  <c:v>1982423</c:v>
                </c:pt>
                <c:pt idx="17">
                  <c:v>1983213</c:v>
                </c:pt>
                <c:pt idx="18">
                  <c:v>1983214</c:v>
                </c:pt>
                <c:pt idx="19">
                  <c:v>1983215</c:v>
                </c:pt>
                <c:pt idx="20">
                  <c:v>1983216</c:v>
                </c:pt>
                <c:pt idx="21">
                  <c:v>712670</c:v>
                </c:pt>
                <c:pt idx="22">
                  <c:v>711702</c:v>
                </c:pt>
                <c:pt idx="23">
                  <c:v>714606</c:v>
                </c:pt>
                <c:pt idx="24">
                  <c:v>1984413</c:v>
                </c:pt>
                <c:pt idx="25">
                  <c:v>1984414</c:v>
                </c:pt>
                <c:pt idx="26">
                  <c:v>1984770</c:v>
                </c:pt>
                <c:pt idx="27">
                  <c:v>1984771</c:v>
                </c:pt>
                <c:pt idx="28">
                  <c:v>1984769</c:v>
                </c:pt>
                <c:pt idx="29">
                  <c:v>1986038</c:v>
                </c:pt>
                <c:pt idx="30">
                  <c:v>717863</c:v>
                </c:pt>
                <c:pt idx="31">
                  <c:v>721621</c:v>
                </c:pt>
                <c:pt idx="32">
                  <c:v>1985712</c:v>
                </c:pt>
                <c:pt idx="33">
                  <c:v>1986972</c:v>
                </c:pt>
                <c:pt idx="34">
                  <c:v>324</c:v>
                </c:pt>
                <c:pt idx="35">
                  <c:v>1986973</c:v>
                </c:pt>
                <c:pt idx="36">
                  <c:v>1987349</c:v>
                </c:pt>
                <c:pt idx="37">
                  <c:v>1986974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3712</c:v>
                </c:pt>
                <c:pt idx="1">
                  <c:v>3741</c:v>
                </c:pt>
                <c:pt idx="2">
                  <c:v>3712</c:v>
                </c:pt>
                <c:pt idx="3">
                  <c:v>3654</c:v>
                </c:pt>
                <c:pt idx="4">
                  <c:v>3654</c:v>
                </c:pt>
                <c:pt idx="5" formatCode="General">
                  <c:v>0</c:v>
                </c:pt>
                <c:pt idx="6">
                  <c:v>3712</c:v>
                </c:pt>
                <c:pt idx="7" formatCode="_(&quot;$&quot;* #,##0.00_);_(&quot;$&quot;* \(#,##0.00\);_(&quot;$&quot;* &quot;-&quot;??_);_(@_)">
                  <c:v>3654</c:v>
                </c:pt>
                <c:pt idx="8" formatCode="_(&quot;$&quot;* #,##0.00_);_(&quot;$&quot;* \(#,##0.00\);_(&quot;$&quot;* &quot;-&quot;??_);_(@_)">
                  <c:v>3683</c:v>
                </c:pt>
                <c:pt idx="9" formatCode="_(&quot;$&quot;* #,##0.00_);_(&quot;$&quot;* \(#,##0.00\);_(&quot;$&quot;* &quot;-&quot;??_);_(@_)">
                  <c:v>3683</c:v>
                </c:pt>
                <c:pt idx="10" formatCode="_(&quot;$&quot;* #,##0.00_);_(&quot;$&quot;* \(#,##0.00\);_(&quot;$&quot;* &quot;-&quot;??_);_(@_)">
                  <c:v>3683</c:v>
                </c:pt>
                <c:pt idx="11" formatCode="_(&quot;$&quot;* #,##0.00_);_(&quot;$&quot;* \(#,##0.00\);_(&quot;$&quot;* &quot;-&quot;??_);_(@_)">
                  <c:v>3712</c:v>
                </c:pt>
                <c:pt idx="12" formatCode="_(&quot;$&quot;* #,##0.00_);_(&quot;$&quot;* \(#,##0.00\);_(&quot;$&quot;* &quot;-&quot;??_);_(@_)">
                  <c:v>3538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27877.84</c:v>
                </c:pt>
                <c:pt idx="2">
                  <c:v>588006.57545</c:v>
                </c:pt>
                <c:pt idx="3">
                  <c:v>570474.08334000001</c:v>
                </c:pt>
                <c:pt idx="4">
                  <c:v>563792.08050000004</c:v>
                </c:pt>
                <c:pt idx="5">
                  <c:v>630300.92000000004</c:v>
                </c:pt>
                <c:pt idx="6">
                  <c:v>588272.19659999991</c:v>
                </c:pt>
                <c:pt idx="7">
                  <c:v>574956.47785000002</c:v>
                </c:pt>
                <c:pt idx="8">
                  <c:v>583197.87239999999</c:v>
                </c:pt>
                <c:pt idx="9" formatCode="_(&quot;$&quot;* #,##0.00_);_(&quot;$&quot;* \(#,##0.00\);_(&quot;$&quot;* &quot;-&quot;??_);_(@_)">
                  <c:v>574818.7648</c:v>
                </c:pt>
                <c:pt idx="10" formatCode="_(&quot;$&quot;* #,##0.00_);_(&quot;$&quot;* \(#,##0.00\);_(&quot;$&quot;* &quot;-&quot;??_);_(@_)">
                  <c:v>575276.98994999996</c:v>
                </c:pt>
                <c:pt idx="11" formatCode="_(&quot;$&quot;* #,##0.00_);_(&quot;$&quot;* \(#,##0.00\);_(&quot;$&quot;* &quot;-&quot;??_);_(@_)">
                  <c:v>566062.93779999996</c:v>
                </c:pt>
                <c:pt idx="12">
                  <c:v>555791.01911999995</c:v>
                </c:pt>
                <c:pt idx="13">
                  <c:v>664850.9</c:v>
                </c:pt>
                <c:pt idx="14">
                  <c:v>570735.11</c:v>
                </c:pt>
                <c:pt idx="15">
                  <c:v>568774.03184999991</c:v>
                </c:pt>
                <c:pt idx="16">
                  <c:v>492561.13199999998</c:v>
                </c:pt>
                <c:pt idx="17">
                  <c:v>615302.55615000008</c:v>
                </c:pt>
                <c:pt idx="18">
                  <c:v>622880.01884999999</c:v>
                </c:pt>
                <c:pt idx="19">
                  <c:v>624407.23749999993</c:v>
                </c:pt>
                <c:pt idx="20">
                  <c:v>619621.51650000003</c:v>
                </c:pt>
                <c:pt idx="21">
                  <c:v>598886.42669999995</c:v>
                </c:pt>
                <c:pt idx="22">
                  <c:v>596090.63474999997</c:v>
                </c:pt>
                <c:pt idx="23">
                  <c:v>579218.30530000001</c:v>
                </c:pt>
                <c:pt idx="24">
                  <c:v>587029.63119999995</c:v>
                </c:pt>
                <c:pt idx="25">
                  <c:v>582026.90960000001</c:v>
                </c:pt>
                <c:pt idx="26">
                  <c:v>556560.56854999997</c:v>
                </c:pt>
                <c:pt idx="27">
                  <c:v>553831.81629999995</c:v>
                </c:pt>
                <c:pt idx="28">
                  <c:v>551381.39769999997</c:v>
                </c:pt>
                <c:pt idx="29">
                  <c:v>566924.11600000004</c:v>
                </c:pt>
                <c:pt idx="30" formatCode="&quot;$&quot;#,##0.00">
                  <c:v>520477.98339999997</c:v>
                </c:pt>
                <c:pt idx="31" formatCode="&quot;$&quot;#,##0.00">
                  <c:v>555003.17740000004</c:v>
                </c:pt>
                <c:pt idx="32" formatCode="&quot;$&quot;#,##0.00">
                  <c:v>570887.69319999998</c:v>
                </c:pt>
                <c:pt idx="33">
                  <c:v>568294.1002499999</c:v>
                </c:pt>
                <c:pt idx="34">
                  <c:v>648588.5</c:v>
                </c:pt>
                <c:pt idx="35">
                  <c:v>517126.86164999998</c:v>
                </c:pt>
                <c:pt idx="36">
                  <c:v>523286.64779999998</c:v>
                </c:pt>
                <c:pt idx="37">
                  <c:v>522907.52880000003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71441.84</c:v>
                </c:pt>
                <c:pt idx="2">
                  <c:v>633691.57545</c:v>
                </c:pt>
                <c:pt idx="3">
                  <c:v>615251.08334000001</c:v>
                </c:pt>
                <c:pt idx="4">
                  <c:v>607519.08050000004</c:v>
                </c:pt>
                <c:pt idx="5">
                  <c:v>630300.92000000004</c:v>
                </c:pt>
                <c:pt idx="6">
                  <c:v>631807.19659999991</c:v>
                </c:pt>
                <c:pt idx="7">
                  <c:v>620583.47785000002</c:v>
                </c:pt>
                <c:pt idx="8">
                  <c:v>624320.87239999999</c:v>
                </c:pt>
                <c:pt idx="9">
                  <c:v>619624.7648</c:v>
                </c:pt>
                <c:pt idx="10">
                  <c:v>617249.98994999996</c:v>
                </c:pt>
                <c:pt idx="11">
                  <c:v>566062.93779999996</c:v>
                </c:pt>
                <c:pt idx="12">
                  <c:v>601302.01911999995</c:v>
                </c:pt>
                <c:pt idx="13">
                  <c:v>664850.9</c:v>
                </c:pt>
                <c:pt idx="14">
                  <c:v>610558.11</c:v>
                </c:pt>
                <c:pt idx="15">
                  <c:v>610897.03184999991</c:v>
                </c:pt>
                <c:pt idx="16">
                  <c:v>534534.13199999998</c:v>
                </c:pt>
                <c:pt idx="17">
                  <c:v>657275.55615000008</c:v>
                </c:pt>
                <c:pt idx="18">
                  <c:v>664003.01884999999</c:v>
                </c:pt>
                <c:pt idx="19">
                  <c:v>666530.23749999993</c:v>
                </c:pt>
                <c:pt idx="20">
                  <c:v>661744.51650000003</c:v>
                </c:pt>
                <c:pt idx="21">
                  <c:v>640009.42669999995</c:v>
                </c:pt>
                <c:pt idx="22">
                  <c:v>635903.63474999997</c:v>
                </c:pt>
                <c:pt idx="23">
                  <c:v>620341.30530000001</c:v>
                </c:pt>
                <c:pt idx="24">
                  <c:v>626852.63119999995</c:v>
                </c:pt>
                <c:pt idx="25">
                  <c:v>621679.90960000001</c:v>
                </c:pt>
                <c:pt idx="26">
                  <c:v>598533.56854999997</c:v>
                </c:pt>
                <c:pt idx="27">
                  <c:v>594954.81629999995</c:v>
                </c:pt>
                <c:pt idx="28">
                  <c:v>590184.39769999997</c:v>
                </c:pt>
                <c:pt idx="29">
                  <c:v>609057.11600000004</c:v>
                </c:pt>
                <c:pt idx="30">
                  <c:v>567690.98340000003</c:v>
                </c:pt>
                <c:pt idx="31">
                  <c:v>596976.17740000004</c:v>
                </c:pt>
                <c:pt idx="32">
                  <c:v>610710.69319999998</c:v>
                </c:pt>
                <c:pt idx="33">
                  <c:v>609417.1002499999</c:v>
                </c:pt>
                <c:pt idx="34">
                  <c:v>648588.5</c:v>
                </c:pt>
                <c:pt idx="35">
                  <c:v>559249.86164999998</c:v>
                </c:pt>
                <c:pt idx="36">
                  <c:v>562089.64779999992</c:v>
                </c:pt>
                <c:pt idx="37">
                  <c:v>560410.52879999997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3.8518821947735487</c:v>
                </c:pt>
                <c:pt idx="2">
                  <c:v>33.13970215644666</c:v>
                </c:pt>
                <c:pt idx="3">
                  <c:v>33.268846049733661</c:v>
                </c:pt>
                <c:pt idx="4">
                  <c:v>33.004001352948379</c:v>
                </c:pt>
                <c:pt idx="5">
                  <c:v>34.300410864229782</c:v>
                </c:pt>
                <c:pt idx="6">
                  <c:v>33.34426185740594</c:v>
                </c:pt>
                <c:pt idx="7">
                  <c:v>32.414482431201023</c:v>
                </c:pt>
                <c:pt idx="8">
                  <c:v>32.752289771743634</c:v>
                </c:pt>
                <c:pt idx="9">
                  <c:v>32.886344157015934</c:v>
                </c:pt>
                <c:pt idx="10">
                  <c:v>32.696096594520718</c:v>
                </c:pt>
                <c:pt idx="11">
                  <c:v>30.324193755410601</c:v>
                </c:pt>
                <c:pt idx="12">
                  <c:v>31.66497375496985</c:v>
                </c:pt>
                <c:pt idx="13">
                  <c:v>35.000994988207545</c:v>
                </c:pt>
                <c:pt idx="14">
                  <c:v>32.118747040937642</c:v>
                </c:pt>
                <c:pt idx="15">
                  <c:v>32.311473216733802</c:v>
                </c:pt>
                <c:pt idx="16">
                  <c:v>32.666538236584302</c:v>
                </c:pt>
                <c:pt idx="17">
                  <c:v>34.718620085571672</c:v>
                </c:pt>
                <c:pt idx="18">
                  <c:v>34.746467738232518</c:v>
                </c:pt>
                <c:pt idx="19">
                  <c:v>35.031126490003572</c:v>
                </c:pt>
                <c:pt idx="20">
                  <c:v>35.082027335634649</c:v>
                </c:pt>
                <c:pt idx="21">
                  <c:v>34.523090844557217</c:v>
                </c:pt>
                <c:pt idx="22">
                  <c:v>34.471011218870423</c:v>
                </c:pt>
                <c:pt idx="23">
                  <c:v>33.572688649720824</c:v>
                </c:pt>
                <c:pt idx="24">
                  <c:v>33.449980320170752</c:v>
                </c:pt>
                <c:pt idx="25">
                  <c:v>33.183162328927985</c:v>
                </c:pt>
                <c:pt idx="26">
                  <c:v>31.419782346261719</c:v>
                </c:pt>
                <c:pt idx="27">
                  <c:v>31.333191397883333</c:v>
                </c:pt>
                <c:pt idx="28">
                  <c:v>31.242651981425784</c:v>
                </c:pt>
                <c:pt idx="29">
                  <c:v>32.261941364087619</c:v>
                </c:pt>
                <c:pt idx="30">
                  <c:v>30.876381850049366</c:v>
                </c:pt>
                <c:pt idx="31">
                  <c:v>32.284346429524518</c:v>
                </c:pt>
                <c:pt idx="32">
                  <c:v>32.112092423011404</c:v>
                </c:pt>
                <c:pt idx="33">
                  <c:v>32.182013742656196</c:v>
                </c:pt>
                <c:pt idx="34">
                  <c:v>34.999452280697781</c:v>
                </c:pt>
                <c:pt idx="35">
                  <c:v>29.768899857822671</c:v>
                </c:pt>
                <c:pt idx="36">
                  <c:v>29.56935559435243</c:v>
                </c:pt>
                <c:pt idx="37">
                  <c:v>29.410174100418409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P17" sqref="P17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83" customWidth="1"/>
    <col min="13" max="13" width="14.140625" bestFit="1" customWidth="1"/>
    <col min="14" max="14" width="16" style="193" customWidth="1"/>
    <col min="15" max="15" width="16.28515625" style="61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71" t="s">
        <v>253</v>
      </c>
      <c r="C1" s="375"/>
      <c r="D1" s="102"/>
      <c r="E1" s="756"/>
      <c r="F1" s="54"/>
      <c r="G1" s="716"/>
      <c r="H1" s="54"/>
      <c r="I1" s="377"/>
      <c r="K1" s="1127" t="s">
        <v>26</v>
      </c>
      <c r="L1" s="676"/>
      <c r="M1" s="1129" t="s">
        <v>27</v>
      </c>
      <c r="N1" s="478"/>
      <c r="P1" s="98" t="s">
        <v>38</v>
      </c>
      <c r="Q1" s="1125" t="s">
        <v>28</v>
      </c>
      <c r="R1" s="155"/>
    </row>
    <row r="2" spans="1:29" ht="17.25" thickTop="1" thickBot="1" x14ac:dyDescent="0.3">
      <c r="A2" s="34"/>
      <c r="B2" s="572" t="s">
        <v>0</v>
      </c>
      <c r="C2" s="381" t="s">
        <v>10</v>
      </c>
      <c r="D2" s="25"/>
      <c r="E2" s="757" t="s">
        <v>25</v>
      </c>
      <c r="F2" s="55" t="s">
        <v>3</v>
      </c>
      <c r="G2" s="68" t="s">
        <v>8</v>
      </c>
      <c r="H2" s="559" t="s">
        <v>5</v>
      </c>
      <c r="I2" s="380" t="s">
        <v>6</v>
      </c>
      <c r="K2" s="1128"/>
      <c r="L2" s="677" t="s">
        <v>29</v>
      </c>
      <c r="M2" s="1130"/>
      <c r="N2" s="479" t="s">
        <v>29</v>
      </c>
      <c r="O2" s="613" t="s">
        <v>30</v>
      </c>
      <c r="P2" s="99" t="s">
        <v>39</v>
      </c>
      <c r="Q2" s="1126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58">
        <f>PIERNA!E3</f>
        <v>0</v>
      </c>
      <c r="F3" s="749">
        <f>PIERNA!F3</f>
        <v>0</v>
      </c>
      <c r="G3" s="101">
        <f>PIERNA!G3</f>
        <v>0</v>
      </c>
      <c r="H3" s="560">
        <f>PIERNA!H3</f>
        <v>0</v>
      </c>
      <c r="I3" s="107">
        <f>PIERNA!I3</f>
        <v>0</v>
      </c>
      <c r="J3" s="512"/>
      <c r="K3" s="306"/>
      <c r="L3" s="678"/>
      <c r="M3" s="525"/>
      <c r="N3" s="526"/>
      <c r="O3" s="281"/>
      <c r="P3" s="304"/>
      <c r="Q3" s="279"/>
      <c r="R3" s="530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11" t="str">
        <f>PIERNA!B4</f>
        <v>SEABOARD FOODS</v>
      </c>
      <c r="C4" s="255" t="str">
        <f>PIERNA!C4</f>
        <v>Seaboard</v>
      </c>
      <c r="D4" s="257" t="str">
        <f>PIERNA!D4</f>
        <v>PED. 7458862</v>
      </c>
      <c r="E4" s="261">
        <f>PIERNA!E4</f>
        <v>44535</v>
      </c>
      <c r="F4" s="749">
        <f>PIERNA!F4</f>
        <v>18834.02</v>
      </c>
      <c r="G4" s="101">
        <f>PIERNA!G4</f>
        <v>21</v>
      </c>
      <c r="H4" s="560">
        <f>PIERNA!H4</f>
        <v>18864.900000000001</v>
      </c>
      <c r="I4" s="107">
        <f>PIERNA!I4</f>
        <v>-30.880000000001019</v>
      </c>
      <c r="J4" s="553" t="s">
        <v>286</v>
      </c>
      <c r="K4" s="598">
        <v>10963</v>
      </c>
      <c r="L4" s="599" t="s">
        <v>301</v>
      </c>
      <c r="M4" s="598">
        <v>30160</v>
      </c>
      <c r="N4" s="600" t="s">
        <v>302</v>
      </c>
      <c r="O4" s="614"/>
      <c r="P4" s="1256">
        <v>3712</v>
      </c>
      <c r="Q4" s="1021"/>
      <c r="R4" s="1022"/>
      <c r="S4" s="66">
        <f>Q4</f>
        <v>0</v>
      </c>
      <c r="T4" s="66">
        <f>S4/H4</f>
        <v>0</v>
      </c>
      <c r="U4" s="238"/>
    </row>
    <row r="5" spans="1:29" s="163" customFormat="1" ht="15.75" x14ac:dyDescent="0.25">
      <c r="A5" s="101">
        <v>2</v>
      </c>
      <c r="B5" s="610" t="str">
        <f>PIERNA!B5</f>
        <v>SEABOARD FOODS</v>
      </c>
      <c r="C5" s="255" t="str">
        <f>PIERNA!C5</f>
        <v>Seaboard</v>
      </c>
      <c r="D5" s="257" t="str">
        <f>PIERNA!D5</f>
        <v>PED. 7454777</v>
      </c>
      <c r="E5" s="140">
        <f>PIERNA!E5</f>
        <v>44536</v>
      </c>
      <c r="F5" s="749">
        <f>PIERNA!F5</f>
        <v>19015.13</v>
      </c>
      <c r="G5" s="101">
        <f>PIERNA!G5</f>
        <v>21</v>
      </c>
      <c r="H5" s="560">
        <f>PIERNA!H5</f>
        <v>19041.599999999999</v>
      </c>
      <c r="I5" s="107">
        <f>PIERNA!I5</f>
        <v>-26.469999999997526</v>
      </c>
      <c r="J5" s="553" t="s">
        <v>279</v>
      </c>
      <c r="K5" s="598">
        <v>9663</v>
      </c>
      <c r="L5" s="599" t="s">
        <v>301</v>
      </c>
      <c r="M5" s="598">
        <v>30160</v>
      </c>
      <c r="N5" s="600" t="s">
        <v>302</v>
      </c>
      <c r="O5" s="603">
        <v>1977186</v>
      </c>
      <c r="P5" s="1256">
        <v>3741</v>
      </c>
      <c r="Q5" s="1023">
        <f>27877.84</f>
        <v>27877.84</v>
      </c>
      <c r="R5" s="1024" t="s">
        <v>292</v>
      </c>
      <c r="S5" s="66">
        <f>Q5+M5+K5+P5</f>
        <v>71441.84</v>
      </c>
      <c r="T5" s="66">
        <f>S5/H5+0.1</f>
        <v>3.8518821947735487</v>
      </c>
      <c r="U5" s="210"/>
    </row>
    <row r="6" spans="1:29" s="163" customFormat="1" ht="24.75" x14ac:dyDescent="0.25">
      <c r="A6" s="101">
        <v>3</v>
      </c>
      <c r="B6" s="1019" t="str">
        <f>PIERNA!B6</f>
        <v>SEABOARD FOODS</v>
      </c>
      <c r="C6" s="255" t="str">
        <f>PIERNA!C6</f>
        <v>Seaboard</v>
      </c>
      <c r="D6" s="104" t="str">
        <f>PIERNA!D6</f>
        <v>PED. 74558450</v>
      </c>
      <c r="E6" s="140">
        <f>PIERNA!E6</f>
        <v>44537</v>
      </c>
      <c r="F6" s="749">
        <f>PIERNA!F6</f>
        <v>19130.48</v>
      </c>
      <c r="G6" s="101">
        <f>PIERNA!G6</f>
        <v>21</v>
      </c>
      <c r="H6" s="560">
        <f>PIERNA!H6</f>
        <v>19179.7</v>
      </c>
      <c r="I6" s="107">
        <f>PIERNA!I6</f>
        <v>-49.220000000001164</v>
      </c>
      <c r="J6" s="553" t="s">
        <v>282</v>
      </c>
      <c r="K6" s="598">
        <v>11813</v>
      </c>
      <c r="L6" s="599" t="s">
        <v>301</v>
      </c>
      <c r="M6" s="598">
        <v>30160</v>
      </c>
      <c r="N6" s="600" t="s">
        <v>302</v>
      </c>
      <c r="O6" s="603">
        <v>1977184</v>
      </c>
      <c r="P6" s="1256">
        <v>3712</v>
      </c>
      <c r="Q6" s="1023">
        <f>27677.41*21.245</f>
        <v>588006.57545</v>
      </c>
      <c r="R6" s="1025" t="s">
        <v>293</v>
      </c>
      <c r="S6" s="66">
        <f t="shared" si="0"/>
        <v>633691.57545</v>
      </c>
      <c r="T6" s="66">
        <f>S6/H6+0.1</f>
        <v>33.13970215644666</v>
      </c>
      <c r="U6" s="238"/>
    </row>
    <row r="7" spans="1:29" s="163" customFormat="1" ht="15.75" customHeight="1" x14ac:dyDescent="0.25">
      <c r="A7" s="101">
        <v>4</v>
      </c>
      <c r="B7" s="340" t="str">
        <f>PIERNA!B7</f>
        <v>TYSON FRESH MEAT</v>
      </c>
      <c r="C7" s="255" t="str">
        <f>PIERNA!C7</f>
        <v xml:space="preserve">I B P </v>
      </c>
      <c r="D7" s="104" t="str">
        <f>PIERNA!D7</f>
        <v>PED. 74613520</v>
      </c>
      <c r="E7" s="140">
        <f>PIERNA!E7</f>
        <v>44538</v>
      </c>
      <c r="F7" s="749">
        <f>PIERNA!F7</f>
        <v>18428.150000000001</v>
      </c>
      <c r="G7" s="101">
        <f>PIERNA!G7</f>
        <v>20</v>
      </c>
      <c r="H7" s="560">
        <f>PIERNA!H7</f>
        <v>18493.310000000001</v>
      </c>
      <c r="I7" s="107">
        <f>PIERNA!I7</f>
        <v>-65.159999999999854</v>
      </c>
      <c r="J7" s="553">
        <v>3954</v>
      </c>
      <c r="K7" s="604">
        <v>10963</v>
      </c>
      <c r="L7" s="599" t="s">
        <v>302</v>
      </c>
      <c r="M7" s="598">
        <v>30160</v>
      </c>
      <c r="N7" s="600" t="s">
        <v>304</v>
      </c>
      <c r="O7" s="603">
        <v>89960</v>
      </c>
      <c r="P7" s="1257">
        <v>3654</v>
      </c>
      <c r="Q7" s="601">
        <f>27084.18*21.063</f>
        <v>570474.08334000001</v>
      </c>
      <c r="R7" s="602" t="s">
        <v>300</v>
      </c>
      <c r="S7" s="66">
        <f t="shared" si="0"/>
        <v>615251.08334000001</v>
      </c>
      <c r="T7" s="66">
        <f>S7/H7</f>
        <v>33.268846049733661</v>
      </c>
      <c r="U7" s="210"/>
      <c r="W7" s="74"/>
      <c r="X7" s="74"/>
      <c r="Y7" s="191"/>
      <c r="Z7" s="192">
        <v>5.0000000000000001E-3</v>
      </c>
      <c r="AA7" s="191">
        <f t="shared" ref="AA7:AA22" si="1">Y7*Z7</f>
        <v>0</v>
      </c>
      <c r="AB7" s="191">
        <f t="shared" ref="AB7:AB22" si="2">AA7*16%</f>
        <v>0</v>
      </c>
      <c r="AC7" s="191">
        <f t="shared" ref="AC7:AC22" si="3">AA7+AB7</f>
        <v>0</v>
      </c>
    </row>
    <row r="8" spans="1:29" s="163" customFormat="1" ht="15.75" x14ac:dyDescent="0.25">
      <c r="A8" s="101">
        <v>5</v>
      </c>
      <c r="B8" s="263" t="str">
        <f>PIERNA!B8</f>
        <v>TYSON FRESH MEAT</v>
      </c>
      <c r="C8" s="263" t="str">
        <f>PIERNA!C8</f>
        <v xml:space="preserve">I B P </v>
      </c>
      <c r="D8" s="104" t="str">
        <f>PIERNA!D8</f>
        <v>PED. 74684148</v>
      </c>
      <c r="E8" s="140">
        <f>PIERNA!E8</f>
        <v>44539</v>
      </c>
      <c r="F8" s="749">
        <f>PIERNA!F8</f>
        <v>18444.29</v>
      </c>
      <c r="G8" s="101">
        <f>PIERNA!G8</f>
        <v>20</v>
      </c>
      <c r="H8" s="560">
        <f>PIERNA!H8</f>
        <v>18463.38</v>
      </c>
      <c r="I8" s="107">
        <f>PIERNA!I8</f>
        <v>-19.090000000000146</v>
      </c>
      <c r="J8" s="553" t="s">
        <v>287</v>
      </c>
      <c r="K8" s="598">
        <v>9913</v>
      </c>
      <c r="L8" s="599" t="s">
        <v>303</v>
      </c>
      <c r="M8" s="598">
        <v>30160</v>
      </c>
      <c r="N8" s="600" t="s">
        <v>305</v>
      </c>
      <c r="O8" s="614">
        <v>91474</v>
      </c>
      <c r="P8" s="1258">
        <v>3654</v>
      </c>
      <c r="Q8" s="601">
        <f>26885.65*20.97</f>
        <v>563792.08050000004</v>
      </c>
      <c r="R8" s="602" t="s">
        <v>296</v>
      </c>
      <c r="S8" s="66">
        <f t="shared" si="0"/>
        <v>607519.08050000004</v>
      </c>
      <c r="T8" s="66">
        <f t="shared" ref="T8:T41" si="4">S8/H8+0.1</f>
        <v>33.004001352948379</v>
      </c>
      <c r="U8" s="238"/>
      <c r="W8" s="74"/>
      <c r="X8" s="74"/>
      <c r="Y8" s="191"/>
      <c r="Z8" s="192">
        <v>5.0000000000000001E-3</v>
      </c>
      <c r="AA8" s="191">
        <f t="shared" si="1"/>
        <v>0</v>
      </c>
      <c r="AB8" s="191">
        <f t="shared" si="2"/>
        <v>0</v>
      </c>
      <c r="AC8" s="191">
        <f t="shared" si="3"/>
        <v>0</v>
      </c>
    </row>
    <row r="9" spans="1:29" s="163" customFormat="1" ht="15.75" x14ac:dyDescent="0.25">
      <c r="A9" s="101">
        <v>6</v>
      </c>
      <c r="B9" s="1042" t="str">
        <f>PIERNA!B9</f>
        <v>DISTRIBUIDORA ASGAR S DE RL</v>
      </c>
      <c r="C9" s="255" t="str">
        <f>PIERNA!C9</f>
        <v>SWIFT</v>
      </c>
      <c r="D9" s="104" t="str">
        <f>PIERNA!D9</f>
        <v>PED. 74627061</v>
      </c>
      <c r="E9" s="140">
        <f>PIERNA!E9</f>
        <v>44510</v>
      </c>
      <c r="F9" s="749">
        <f>PIERNA!F9</f>
        <v>18330.04</v>
      </c>
      <c r="G9" s="101">
        <f>PIERNA!G9</f>
        <v>20</v>
      </c>
      <c r="H9" s="560">
        <f>PIERNA!H9</f>
        <v>18375.900000000001</v>
      </c>
      <c r="I9" s="107">
        <f>PIERNA!I9</f>
        <v>-45.860000000000582</v>
      </c>
      <c r="J9" s="553">
        <v>277</v>
      </c>
      <c r="K9" s="598"/>
      <c r="L9" s="599"/>
      <c r="M9" s="598"/>
      <c r="N9" s="600"/>
      <c r="O9" s="603">
        <v>277</v>
      </c>
      <c r="P9" s="1043" t="s">
        <v>380</v>
      </c>
      <c r="Q9" s="601">
        <v>630300.92000000004</v>
      </c>
      <c r="R9" s="602" t="s">
        <v>379</v>
      </c>
      <c r="S9" s="66">
        <f>Q9+M9+K9</f>
        <v>630300.92000000004</v>
      </c>
      <c r="T9" s="66">
        <f>S9/H9</f>
        <v>34.300410864229782</v>
      </c>
      <c r="U9" s="238"/>
      <c r="W9" s="74"/>
      <c r="X9" s="74"/>
      <c r="Y9" s="191"/>
      <c r="Z9" s="192">
        <v>5.0000000000000001E-3</v>
      </c>
      <c r="AA9" s="191">
        <f t="shared" si="1"/>
        <v>0</v>
      </c>
      <c r="AB9" s="191">
        <f t="shared" si="2"/>
        <v>0</v>
      </c>
      <c r="AC9" s="191">
        <f t="shared" si="3"/>
        <v>0</v>
      </c>
    </row>
    <row r="10" spans="1:29" s="163" customFormat="1" x14ac:dyDescent="0.25">
      <c r="A10" s="101">
        <v>7</v>
      </c>
      <c r="B10" s="255" t="str">
        <f>PIERNA!B10</f>
        <v>SEABOARD FOODS</v>
      </c>
      <c r="C10" s="255" t="str">
        <f>PIERNA!C10</f>
        <v>Seaboard</v>
      </c>
      <c r="D10" s="104" t="str">
        <f>PIERNA!D10</f>
        <v>PED. 74810581</v>
      </c>
      <c r="E10" s="140">
        <f>PIERNA!E10</f>
        <v>44541</v>
      </c>
      <c r="F10" s="749">
        <f>PIERNA!F10</f>
        <v>18880.55</v>
      </c>
      <c r="G10" s="101">
        <f>PIERNA!G10</f>
        <v>21</v>
      </c>
      <c r="H10" s="560">
        <f>PIERNA!H10</f>
        <v>19005</v>
      </c>
      <c r="I10" s="107">
        <f>PIERNA!I10</f>
        <v>-124.45000000000073</v>
      </c>
      <c r="J10" s="553" t="s">
        <v>288</v>
      </c>
      <c r="K10" s="598">
        <v>9663</v>
      </c>
      <c r="L10" s="599" t="s">
        <v>306</v>
      </c>
      <c r="M10" s="598">
        <v>30160</v>
      </c>
      <c r="N10" s="600" t="s">
        <v>306</v>
      </c>
      <c r="O10" s="603">
        <v>1979298</v>
      </c>
      <c r="P10" s="1256">
        <v>3712</v>
      </c>
      <c r="Q10" s="601">
        <f>27515.07*21.38</f>
        <v>588272.19659999991</v>
      </c>
      <c r="R10" s="602" t="s">
        <v>295</v>
      </c>
      <c r="S10" s="66">
        <f>Q10+M10+K10+P10</f>
        <v>631807.19659999991</v>
      </c>
      <c r="T10" s="66">
        <f>S10/H10+0.1</f>
        <v>33.34426185740594</v>
      </c>
      <c r="U10" s="238"/>
      <c r="W10" s="74"/>
      <c r="X10" s="74"/>
      <c r="Y10" s="191"/>
      <c r="Z10" s="192">
        <v>5.0000000000000001E-3</v>
      </c>
      <c r="AA10" s="191">
        <f t="shared" si="1"/>
        <v>0</v>
      </c>
      <c r="AB10" s="191">
        <f t="shared" si="2"/>
        <v>0</v>
      </c>
      <c r="AC10" s="191">
        <f t="shared" si="3"/>
        <v>0</v>
      </c>
    </row>
    <row r="11" spans="1:29" s="163" customFormat="1" x14ac:dyDescent="0.25">
      <c r="A11" s="101">
        <v>8</v>
      </c>
      <c r="B11" s="263" t="str">
        <f>PIERNA!B11</f>
        <v>SEABOARD FOODS</v>
      </c>
      <c r="C11" s="255" t="str">
        <f>PIERNA!C11</f>
        <v>Seaboard</v>
      </c>
      <c r="D11" s="104" t="str">
        <f>PIERNA!D11</f>
        <v>PED. 74836354</v>
      </c>
      <c r="E11" s="140">
        <f>PIERNA!E11</f>
        <v>44541</v>
      </c>
      <c r="F11" s="749">
        <f>PIERNA!F11</f>
        <v>19120.43</v>
      </c>
      <c r="G11" s="101">
        <f>PIERNA!G11</f>
        <v>21</v>
      </c>
      <c r="H11" s="560">
        <f>PIERNA!H11</f>
        <v>19204.5</v>
      </c>
      <c r="I11" s="107">
        <f>PIERNA!I11</f>
        <v>-84.069999999999709</v>
      </c>
      <c r="J11" s="553" t="s">
        <v>289</v>
      </c>
      <c r="K11" s="598">
        <v>11813</v>
      </c>
      <c r="L11" s="599" t="s">
        <v>306</v>
      </c>
      <c r="M11" s="598">
        <v>30160</v>
      </c>
      <c r="N11" s="600" t="s">
        <v>306</v>
      </c>
      <c r="O11" s="615">
        <v>1979299</v>
      </c>
      <c r="P11" s="1259">
        <v>3654</v>
      </c>
      <c r="Q11" s="601">
        <f>27037.69*21.265</f>
        <v>574956.47785000002</v>
      </c>
      <c r="R11" s="602" t="s">
        <v>297</v>
      </c>
      <c r="S11" s="66">
        <f t="shared" si="0"/>
        <v>620583.47785000002</v>
      </c>
      <c r="T11" s="66">
        <f>S11/H11+0.1</f>
        <v>32.414482431201023</v>
      </c>
      <c r="U11" s="238"/>
      <c r="W11" s="74"/>
      <c r="X11" s="74"/>
      <c r="Y11" s="191"/>
      <c r="Z11" s="192">
        <v>5.0000000000000001E-3</v>
      </c>
      <c r="AA11" s="191">
        <f t="shared" si="1"/>
        <v>0</v>
      </c>
      <c r="AB11" s="191">
        <f t="shared" si="2"/>
        <v>0</v>
      </c>
      <c r="AC11" s="191">
        <f t="shared" si="3"/>
        <v>0</v>
      </c>
    </row>
    <row r="12" spans="1:29" s="163" customFormat="1" x14ac:dyDescent="0.25">
      <c r="A12" s="101">
        <v>9</v>
      </c>
      <c r="B12" s="255" t="str">
        <f>PIERNA!B12</f>
        <v>SEABOARD FOODS</v>
      </c>
      <c r="C12" s="255" t="str">
        <f>PIERNA!C12</f>
        <v>Seaboard</v>
      </c>
      <c r="D12" s="104" t="str">
        <f>PIERNA!D12</f>
        <v>PED. 74887472</v>
      </c>
      <c r="E12" s="140">
        <f>PIERNA!E12</f>
        <v>44544</v>
      </c>
      <c r="F12" s="749">
        <f>PIERNA!F12</f>
        <v>19062.13</v>
      </c>
      <c r="G12" s="101">
        <f>PIERNA!G12</f>
        <v>21</v>
      </c>
      <c r="H12" s="560">
        <f>PIERNA!H12</f>
        <v>19061.900000000001</v>
      </c>
      <c r="I12" s="107">
        <f>PIERNA!I12</f>
        <v>0.22999999999956344</v>
      </c>
      <c r="J12" s="553" t="s">
        <v>318</v>
      </c>
      <c r="K12" s="598">
        <v>10963</v>
      </c>
      <c r="L12" s="599" t="s">
        <v>330</v>
      </c>
      <c r="M12" s="598">
        <v>30160</v>
      </c>
      <c r="N12" s="600" t="s">
        <v>334</v>
      </c>
      <c r="O12" s="615">
        <v>1980099</v>
      </c>
      <c r="P12" s="1259">
        <v>3683</v>
      </c>
      <c r="Q12" s="601">
        <f>27328.86*21.34</f>
        <v>583197.87239999999</v>
      </c>
      <c r="R12" s="602" t="s">
        <v>328</v>
      </c>
      <c r="S12" s="66">
        <f>Q12+M12+K12</f>
        <v>624320.87239999999</v>
      </c>
      <c r="T12" s="66">
        <f t="shared" ref="T12:T18" si="5">S12/H12</f>
        <v>32.752289771743634</v>
      </c>
      <c r="U12" s="239"/>
      <c r="W12" s="74"/>
      <c r="X12" s="74"/>
      <c r="Y12" s="191"/>
      <c r="Z12" s="192">
        <v>5.0000000000000001E-3</v>
      </c>
      <c r="AA12" s="191">
        <f t="shared" si="1"/>
        <v>0</v>
      </c>
      <c r="AB12" s="191">
        <f t="shared" si="2"/>
        <v>0</v>
      </c>
      <c r="AC12" s="191">
        <f t="shared" si="3"/>
        <v>0</v>
      </c>
    </row>
    <row r="13" spans="1:29" s="163" customFormat="1" ht="15.75" x14ac:dyDescent="0.25">
      <c r="A13" s="101">
        <v>10</v>
      </c>
      <c r="B13" s="340" t="str">
        <f>PIERNA!B13</f>
        <v>SEABOARD FOODS</v>
      </c>
      <c r="C13" s="255" t="str">
        <f>PIERNA!C13</f>
        <v>Seaboard</v>
      </c>
      <c r="D13" s="104" t="str">
        <f>PIERNA!D13</f>
        <v>PED. 74889620</v>
      </c>
      <c r="E13" s="140">
        <f>PIERNA!E13</f>
        <v>44544</v>
      </c>
      <c r="F13" s="749">
        <f>PIERNA!F13</f>
        <v>18870.150000000001</v>
      </c>
      <c r="G13" s="101">
        <f>PIERNA!G13</f>
        <v>21</v>
      </c>
      <c r="H13" s="560">
        <f>PIERNA!H13</f>
        <v>18841.400000000001</v>
      </c>
      <c r="I13" s="107">
        <f>PIERNA!I13</f>
        <v>28.75</v>
      </c>
      <c r="J13" s="605" t="s">
        <v>319</v>
      </c>
      <c r="K13" s="598">
        <v>10963</v>
      </c>
      <c r="L13" s="599" t="s">
        <v>330</v>
      </c>
      <c r="M13" s="598">
        <v>30160</v>
      </c>
      <c r="N13" s="600" t="s">
        <v>332</v>
      </c>
      <c r="O13" s="615">
        <v>1980100</v>
      </c>
      <c r="P13" s="1259">
        <v>3683</v>
      </c>
      <c r="Q13" s="604">
        <f>27012.16*21.28</f>
        <v>574818.7648</v>
      </c>
      <c r="R13" s="602" t="s">
        <v>329</v>
      </c>
      <c r="S13" s="66">
        <f t="shared" si="0"/>
        <v>619624.7648</v>
      </c>
      <c r="T13" s="66">
        <f t="shared" si="5"/>
        <v>32.886344157015934</v>
      </c>
      <c r="U13" s="210"/>
      <c r="W13" s="74"/>
      <c r="X13" s="74"/>
      <c r="Y13" s="191"/>
      <c r="Z13" s="192">
        <v>5.0000000000000001E-3</v>
      </c>
      <c r="AA13" s="191">
        <f t="shared" si="1"/>
        <v>0</v>
      </c>
      <c r="AB13" s="191">
        <f t="shared" si="2"/>
        <v>0</v>
      </c>
      <c r="AC13" s="191">
        <f t="shared" si="3"/>
        <v>0</v>
      </c>
    </row>
    <row r="14" spans="1:29" s="163" customFormat="1" x14ac:dyDescent="0.25">
      <c r="A14" s="101">
        <v>11</v>
      </c>
      <c r="B14" s="295" t="str">
        <f>PIERNA!B14</f>
        <v>SEABOARD FOODS</v>
      </c>
      <c r="C14" s="255" t="str">
        <f>PIERNA!C14</f>
        <v>Seaboard</v>
      </c>
      <c r="D14" s="104" t="str">
        <f>PIERNA!D14</f>
        <v>PED. 74887470</v>
      </c>
      <c r="E14" s="140">
        <f>PIERNA!E14</f>
        <v>44544</v>
      </c>
      <c r="F14" s="749">
        <f>PIERNA!F14</f>
        <v>18879.93</v>
      </c>
      <c r="G14" s="101">
        <f>PIERNA!G14</f>
        <v>21</v>
      </c>
      <c r="H14" s="560">
        <f>PIERNA!H14</f>
        <v>18878.400000000001</v>
      </c>
      <c r="I14" s="107">
        <f>PIERNA!I14</f>
        <v>1.5299999999988358</v>
      </c>
      <c r="J14" s="553" t="s">
        <v>320</v>
      </c>
      <c r="K14" s="598">
        <v>11813</v>
      </c>
      <c r="L14" s="599" t="s">
        <v>330</v>
      </c>
      <c r="M14" s="598">
        <v>30160</v>
      </c>
      <c r="N14" s="600" t="s">
        <v>332</v>
      </c>
      <c r="O14" s="603">
        <v>1980101</v>
      </c>
      <c r="P14" s="1259">
        <v>3683</v>
      </c>
      <c r="Q14" s="604">
        <f>27065.49*21.255</f>
        <v>575276.98994999996</v>
      </c>
      <c r="R14" s="606" t="s">
        <v>299</v>
      </c>
      <c r="S14" s="66">
        <f>Q14+M14+K14</f>
        <v>617249.98994999996</v>
      </c>
      <c r="T14" s="66">
        <f t="shared" si="5"/>
        <v>32.696096594520718</v>
      </c>
      <c r="U14" s="210"/>
      <c r="W14" s="74"/>
      <c r="X14" s="74"/>
      <c r="Y14" s="191"/>
      <c r="Z14" s="192">
        <v>5.0000000000000001E-3</v>
      </c>
      <c r="AA14" s="191">
        <f t="shared" si="1"/>
        <v>0</v>
      </c>
      <c r="AB14" s="191">
        <f t="shared" si="2"/>
        <v>0</v>
      </c>
      <c r="AC14" s="191">
        <f t="shared" si="3"/>
        <v>0</v>
      </c>
    </row>
    <row r="15" spans="1:29" s="163" customFormat="1" ht="15.75" x14ac:dyDescent="0.25">
      <c r="A15" s="101">
        <v>12</v>
      </c>
      <c r="B15" s="869" t="str">
        <f>PIERNA!B15</f>
        <v>TYSON FRESH MEAT</v>
      </c>
      <c r="C15" s="255" t="str">
        <f>PIERNA!C15</f>
        <v xml:space="preserve">I B P </v>
      </c>
      <c r="D15" s="104" t="str">
        <f>PIERNA!D15</f>
        <v>PED. 74941814</v>
      </c>
      <c r="E15" s="140">
        <f>PIERNA!E15</f>
        <v>44545</v>
      </c>
      <c r="F15" s="749">
        <f>PIERNA!F15</f>
        <v>18662.64</v>
      </c>
      <c r="G15" s="101">
        <f>PIERNA!G15</f>
        <v>20</v>
      </c>
      <c r="H15" s="560">
        <f>PIERNA!H15</f>
        <v>18667.04</v>
      </c>
      <c r="I15" s="107">
        <f>PIERNA!I15</f>
        <v>-4.4000000000014552</v>
      </c>
      <c r="J15" s="605" t="s">
        <v>321</v>
      </c>
      <c r="K15" s="598">
        <v>11963</v>
      </c>
      <c r="L15" s="599" t="s">
        <v>331</v>
      </c>
      <c r="M15" s="598">
        <v>30160</v>
      </c>
      <c r="N15" s="607" t="s">
        <v>332</v>
      </c>
      <c r="O15" s="614">
        <v>701817</v>
      </c>
      <c r="P15" s="1259">
        <v>3712</v>
      </c>
      <c r="Q15" s="604">
        <f>26968.22*20.99</f>
        <v>566062.93779999996</v>
      </c>
      <c r="R15" s="608" t="s">
        <v>381</v>
      </c>
      <c r="S15" s="66">
        <f>Q15</f>
        <v>566062.93779999996</v>
      </c>
      <c r="T15" s="66">
        <f t="shared" si="5"/>
        <v>30.324193755410601</v>
      </c>
      <c r="U15" s="210"/>
      <c r="W15" s="74"/>
      <c r="X15" s="74"/>
      <c r="Y15" s="191"/>
      <c r="Z15" s="192">
        <v>5.0000000000000001E-3</v>
      </c>
      <c r="AA15" s="191">
        <f t="shared" si="1"/>
        <v>0</v>
      </c>
      <c r="AB15" s="191">
        <f t="shared" si="2"/>
        <v>0</v>
      </c>
      <c r="AC15" s="191">
        <f t="shared" si="3"/>
        <v>0</v>
      </c>
    </row>
    <row r="16" spans="1:29" s="163" customFormat="1" ht="15.75" x14ac:dyDescent="0.25">
      <c r="A16" s="101">
        <v>13</v>
      </c>
      <c r="B16" s="340" t="str">
        <f>PIERNA!B16</f>
        <v>SEABOARD FOODS</v>
      </c>
      <c r="C16" s="76" t="str">
        <f>PIERNA!C16</f>
        <v>Seaboard</v>
      </c>
      <c r="D16" s="104" t="str">
        <f>PIERNA!D16</f>
        <v>PED. 75026366</v>
      </c>
      <c r="E16" s="140">
        <f>PIERNA!E16</f>
        <v>44546</v>
      </c>
      <c r="F16" s="749">
        <f>PIERNA!F16</f>
        <v>18925.2</v>
      </c>
      <c r="G16" s="101">
        <f>PIERNA!G16</f>
        <v>21</v>
      </c>
      <c r="H16" s="560">
        <f>PIERNA!H16</f>
        <v>18989.5</v>
      </c>
      <c r="I16" s="107">
        <f>PIERNA!I16</f>
        <v>-64.299999999999272</v>
      </c>
      <c r="J16" s="923" t="s">
        <v>322</v>
      </c>
      <c r="K16" s="598">
        <v>11813</v>
      </c>
      <c r="L16" s="599" t="s">
        <v>333</v>
      </c>
      <c r="M16" s="598">
        <v>30160</v>
      </c>
      <c r="N16" s="607" t="s">
        <v>335</v>
      </c>
      <c r="O16" s="615">
        <v>1981176</v>
      </c>
      <c r="P16" s="1259">
        <v>3538</v>
      </c>
      <c r="Q16" s="601">
        <f>26383.32*21.066</f>
        <v>555791.01911999995</v>
      </c>
      <c r="R16" s="602" t="s">
        <v>296</v>
      </c>
      <c r="S16" s="66">
        <f t="shared" si="0"/>
        <v>601302.01911999995</v>
      </c>
      <c r="T16" s="66">
        <f t="shared" si="5"/>
        <v>31.66497375496985</v>
      </c>
      <c r="U16" s="210"/>
      <c r="W16" s="74"/>
      <c r="X16" s="74"/>
      <c r="Y16" s="191"/>
      <c r="Z16" s="192">
        <v>5.0000000000000001E-3</v>
      </c>
      <c r="AA16" s="191">
        <f t="shared" si="1"/>
        <v>0</v>
      </c>
      <c r="AB16" s="191">
        <f t="shared" si="2"/>
        <v>0</v>
      </c>
      <c r="AC16" s="191">
        <f t="shared" si="3"/>
        <v>0</v>
      </c>
    </row>
    <row r="17" spans="1:29" s="163" customFormat="1" ht="15.75" x14ac:dyDescent="0.25">
      <c r="A17" s="101">
        <v>14</v>
      </c>
      <c r="B17" s="1042" t="str">
        <f>PIERNA!B17</f>
        <v xml:space="preserve">DISTRIBUIDORA ASGAR S DE RL </v>
      </c>
      <c r="C17" s="76" t="str">
        <f>PIERNA!C17</f>
        <v>Seaboard</v>
      </c>
      <c r="D17" s="104" t="str">
        <f>PIERNA!D17</f>
        <v>PED. 74923163</v>
      </c>
      <c r="E17" s="140">
        <f>PIERNA!E17</f>
        <v>44546</v>
      </c>
      <c r="F17" s="749">
        <f>PIERNA!F17</f>
        <v>18946.189999999999</v>
      </c>
      <c r="G17" s="101">
        <f>PIERNA!G17</f>
        <v>21</v>
      </c>
      <c r="H17" s="560">
        <f>PIERNA!H17</f>
        <v>18995.2</v>
      </c>
      <c r="I17" s="107">
        <f>PIERNA!I17</f>
        <v>-49.010000000002037</v>
      </c>
      <c r="J17" s="553" t="s">
        <v>323</v>
      </c>
      <c r="K17" s="598"/>
      <c r="L17" s="599"/>
      <c r="M17" s="598"/>
      <c r="N17" s="607"/>
      <c r="O17" s="603">
        <v>299</v>
      </c>
      <c r="P17" s="1043" t="s">
        <v>380</v>
      </c>
      <c r="Q17" s="601">
        <v>664850.9</v>
      </c>
      <c r="R17" s="606" t="s">
        <v>382</v>
      </c>
      <c r="S17" s="66">
        <f>Q17+M17+K17</f>
        <v>664850.9</v>
      </c>
      <c r="T17" s="66">
        <f t="shared" si="5"/>
        <v>35.000994988207545</v>
      </c>
      <c r="U17" s="237"/>
      <c r="W17" s="74"/>
      <c r="X17" s="74"/>
      <c r="Y17" s="191"/>
      <c r="Z17" s="192">
        <v>5.0000000000000001E-3</v>
      </c>
      <c r="AA17" s="191">
        <f t="shared" si="1"/>
        <v>0</v>
      </c>
      <c r="AB17" s="191">
        <f t="shared" si="2"/>
        <v>0</v>
      </c>
      <c r="AC17" s="191">
        <f t="shared" si="3"/>
        <v>0</v>
      </c>
    </row>
    <row r="18" spans="1:29" s="163" customFormat="1" ht="15.75" x14ac:dyDescent="0.25">
      <c r="A18" s="101">
        <v>15</v>
      </c>
      <c r="B18" s="340" t="str">
        <f>PIERNA!B18</f>
        <v>SEABOARD FOODS</v>
      </c>
      <c r="C18" s="76" t="str">
        <f>PIERNA!C18</f>
        <v>Seaboard</v>
      </c>
      <c r="D18" s="104" t="str">
        <f>PIERNA!D18</f>
        <v>PED. 75144557</v>
      </c>
      <c r="E18" s="140">
        <f>PIERNA!E18</f>
        <v>44547</v>
      </c>
      <c r="F18" s="749">
        <f>PIERNA!F18</f>
        <v>18982.43</v>
      </c>
      <c r="G18" s="101">
        <f>PIERNA!G18</f>
        <v>21</v>
      </c>
      <c r="H18" s="560">
        <f>PIERNA!H18</f>
        <v>19009.400000000001</v>
      </c>
      <c r="I18" s="107">
        <f>PIERNA!I18</f>
        <v>-26.970000000001164</v>
      </c>
      <c r="J18" s="553" t="s">
        <v>357</v>
      </c>
      <c r="K18" s="604">
        <v>9663</v>
      </c>
      <c r="L18" s="679" t="s">
        <v>436</v>
      </c>
      <c r="M18" s="598">
        <v>30160</v>
      </c>
      <c r="N18" s="600" t="s">
        <v>436</v>
      </c>
      <c r="O18" s="616">
        <v>1981916</v>
      </c>
      <c r="P18" s="578"/>
      <c r="Q18" s="601">
        <f>27307.9*20.9</f>
        <v>570735.11</v>
      </c>
      <c r="R18" s="602" t="s">
        <v>394</v>
      </c>
      <c r="S18" s="66">
        <f>Q18+M18+K18</f>
        <v>610558.11</v>
      </c>
      <c r="T18" s="66">
        <f t="shared" si="5"/>
        <v>32.118747040937642</v>
      </c>
      <c r="U18" s="209"/>
      <c r="W18" s="74"/>
      <c r="X18" s="74"/>
      <c r="Y18" s="191"/>
      <c r="Z18" s="192">
        <v>5.0000000000000001E-3</v>
      </c>
      <c r="AA18" s="191">
        <f t="shared" si="1"/>
        <v>0</v>
      </c>
      <c r="AB18" s="191">
        <f t="shared" si="2"/>
        <v>0</v>
      </c>
      <c r="AC18" s="191">
        <f t="shared" si="3"/>
        <v>0</v>
      </c>
    </row>
    <row r="19" spans="1:29" s="163" customFormat="1" ht="15.75" x14ac:dyDescent="0.25">
      <c r="A19" s="101">
        <v>16</v>
      </c>
      <c r="B19" s="610" t="str">
        <f>PIERNA!B19</f>
        <v>SEABOARD FOODS</v>
      </c>
      <c r="C19" s="76" t="str">
        <f>PIERNA!C19</f>
        <v>Seaboard</v>
      </c>
      <c r="D19" s="104" t="str">
        <f>PIERNA!D19</f>
        <v>PED. 75147700</v>
      </c>
      <c r="E19" s="140">
        <f>PIERNA!E19</f>
        <v>44548</v>
      </c>
      <c r="F19" s="749">
        <f>PIERNA!F19</f>
        <v>18979.97</v>
      </c>
      <c r="G19" s="101">
        <f>PIERNA!G19</f>
        <v>21</v>
      </c>
      <c r="H19" s="560">
        <f>PIERNA!H19</f>
        <v>18965.2</v>
      </c>
      <c r="I19" s="107">
        <f>PIERNA!I19</f>
        <v>14.770000000000437</v>
      </c>
      <c r="J19" s="553" t="s">
        <v>360</v>
      </c>
      <c r="K19" s="598">
        <v>11963</v>
      </c>
      <c r="L19" s="599" t="s">
        <v>436</v>
      </c>
      <c r="M19" s="598">
        <v>30160</v>
      </c>
      <c r="N19" s="600" t="s">
        <v>436</v>
      </c>
      <c r="O19" s="603">
        <v>1982088</v>
      </c>
      <c r="P19" s="553"/>
      <c r="Q19" s="601">
        <f>27244.05*20.877</f>
        <v>568774.03184999991</v>
      </c>
      <c r="R19" s="609" t="s">
        <v>393</v>
      </c>
      <c r="S19" s="66">
        <f>Q19+M19+K19</f>
        <v>610897.03184999991</v>
      </c>
      <c r="T19" s="66">
        <f>S19/H19+0.1</f>
        <v>32.311473216733802</v>
      </c>
      <c r="W19" s="74"/>
      <c r="X19" s="74"/>
      <c r="Y19" s="191"/>
      <c r="Z19" s="192">
        <v>5.0000000000000001E-3</v>
      </c>
      <c r="AA19" s="191">
        <f t="shared" si="1"/>
        <v>0</v>
      </c>
      <c r="AB19" s="191">
        <f t="shared" si="2"/>
        <v>0</v>
      </c>
      <c r="AC19" s="191">
        <f t="shared" si="3"/>
        <v>0</v>
      </c>
    </row>
    <row r="20" spans="1:29" s="163" customFormat="1" ht="15.75" x14ac:dyDescent="0.25">
      <c r="A20" s="101">
        <v>17</v>
      </c>
      <c r="B20" s="340" t="str">
        <f>PIERNA!B20</f>
        <v>SEABOARD FOODS</v>
      </c>
      <c r="C20" s="76" t="str">
        <f>PIERNA!C20</f>
        <v>Seaboard</v>
      </c>
      <c r="D20" s="104" t="str">
        <f>PIERNA!D20</f>
        <v>PED. 75144206</v>
      </c>
      <c r="E20" s="140">
        <f>PIERNA!E20</f>
        <v>44548</v>
      </c>
      <c r="F20" s="749">
        <f>PIERNA!F20</f>
        <v>16374.71</v>
      </c>
      <c r="G20" s="101">
        <f>PIERNA!G20</f>
        <v>18</v>
      </c>
      <c r="H20" s="560">
        <f>PIERNA!H20</f>
        <v>16413.599999999999</v>
      </c>
      <c r="I20" s="107">
        <f>PIERNA!I20</f>
        <v>-38.889999999999418</v>
      </c>
      <c r="J20" s="553" t="s">
        <v>361</v>
      </c>
      <c r="K20" s="598">
        <v>11813</v>
      </c>
      <c r="L20" s="599" t="s">
        <v>436</v>
      </c>
      <c r="M20" s="598">
        <v>30160</v>
      </c>
      <c r="N20" s="600" t="s">
        <v>436</v>
      </c>
      <c r="O20" s="603">
        <v>1982423</v>
      </c>
      <c r="P20" s="601"/>
      <c r="Q20" s="601">
        <f>23578.8*20.89</f>
        <v>492561.13199999998</v>
      </c>
      <c r="R20" s="609" t="s">
        <v>325</v>
      </c>
      <c r="S20" s="66">
        <f t="shared" si="0"/>
        <v>534534.13199999998</v>
      </c>
      <c r="T20" s="66">
        <f>S20/H20+0.1</f>
        <v>32.666538236584302</v>
      </c>
      <c r="W20" s="74"/>
      <c r="X20" s="74"/>
      <c r="Y20" s="191"/>
      <c r="Z20" s="192">
        <v>5.0000000000000001E-3</v>
      </c>
      <c r="AA20" s="191">
        <f t="shared" si="1"/>
        <v>0</v>
      </c>
      <c r="AB20" s="191">
        <f t="shared" si="2"/>
        <v>0</v>
      </c>
      <c r="AC20" s="191">
        <f t="shared" si="3"/>
        <v>0</v>
      </c>
    </row>
    <row r="21" spans="1:29" s="163" customFormat="1" x14ac:dyDescent="0.25">
      <c r="A21" s="101">
        <v>18</v>
      </c>
      <c r="B21" s="263" t="str">
        <f>PIERNA!B21</f>
        <v>SEABOARD FOODS</v>
      </c>
      <c r="C21" s="295" t="str">
        <f>PIERNA!C21</f>
        <v>Seaboard</v>
      </c>
      <c r="D21" s="104" t="str">
        <f>PIERNA!D21</f>
        <v>PED. 75231613</v>
      </c>
      <c r="E21" s="140">
        <f>PIERNA!E21</f>
        <v>44551</v>
      </c>
      <c r="F21" s="749">
        <f>PIERNA!F21</f>
        <v>18911.37</v>
      </c>
      <c r="G21" s="101">
        <f>PIERNA!G21</f>
        <v>21</v>
      </c>
      <c r="H21" s="560">
        <f>PIERNA!H21</f>
        <v>18931.5</v>
      </c>
      <c r="I21" s="107">
        <f>PIERNA!I21</f>
        <v>-20.130000000001019</v>
      </c>
      <c r="J21" s="553" t="s">
        <v>363</v>
      </c>
      <c r="K21" s="598">
        <v>11813</v>
      </c>
      <c r="L21" s="599" t="s">
        <v>388</v>
      </c>
      <c r="M21" s="598">
        <v>30160</v>
      </c>
      <c r="N21" s="600" t="s">
        <v>389</v>
      </c>
      <c r="O21" s="603">
        <v>1983213</v>
      </c>
      <c r="P21" s="601"/>
      <c r="Q21" s="601">
        <f>29237.47*21.045</f>
        <v>615302.55615000008</v>
      </c>
      <c r="R21" s="609" t="s">
        <v>326</v>
      </c>
      <c r="S21" s="66">
        <f t="shared" si="0"/>
        <v>657275.55615000008</v>
      </c>
      <c r="T21" s="66">
        <f>S21/H21</f>
        <v>34.718620085571672</v>
      </c>
      <c r="W21" s="74"/>
      <c r="X21" s="74"/>
      <c r="Y21" s="191"/>
      <c r="Z21" s="192">
        <v>5.0000000000000001E-3</v>
      </c>
      <c r="AA21" s="191">
        <f t="shared" si="1"/>
        <v>0</v>
      </c>
      <c r="AB21" s="191">
        <f t="shared" si="2"/>
        <v>0</v>
      </c>
      <c r="AC21" s="191">
        <f t="shared" si="3"/>
        <v>0</v>
      </c>
    </row>
    <row r="22" spans="1:29" s="163" customFormat="1" x14ac:dyDescent="0.25">
      <c r="A22" s="101">
        <v>19</v>
      </c>
      <c r="B22" s="255" t="str">
        <f>PIERNA!B22</f>
        <v>SEABOARD FOODS</v>
      </c>
      <c r="C22" s="76" t="str">
        <f>PIERNA!C22</f>
        <v>SeAboard</v>
      </c>
      <c r="D22" s="257" t="str">
        <f>PIERNA!D22</f>
        <v>PED. 75231589</v>
      </c>
      <c r="E22" s="261">
        <f>PIERNA!E22</f>
        <v>44551</v>
      </c>
      <c r="F22" s="752">
        <f>PIERNA!F22</f>
        <v>19160.599999999999</v>
      </c>
      <c r="G22" s="271">
        <f>PIERNA!G22</f>
        <v>21</v>
      </c>
      <c r="H22" s="561">
        <f>PIERNA!H22</f>
        <v>19165.099999999999</v>
      </c>
      <c r="I22" s="288">
        <f>PIERNA!I22</f>
        <v>-4.5</v>
      </c>
      <c r="J22" s="553" t="s">
        <v>364</v>
      </c>
      <c r="K22" s="598">
        <v>10963</v>
      </c>
      <c r="L22" s="599" t="s">
        <v>388</v>
      </c>
      <c r="M22" s="598">
        <v>30160</v>
      </c>
      <c r="N22" s="600" t="s">
        <v>389</v>
      </c>
      <c r="O22" s="615">
        <v>1983214</v>
      </c>
      <c r="P22" s="578"/>
      <c r="Q22" s="601">
        <f>29597.53*21.045</f>
        <v>622880.01884999999</v>
      </c>
      <c r="R22" s="609" t="s">
        <v>326</v>
      </c>
      <c r="S22" s="66">
        <f t="shared" si="0"/>
        <v>664003.01884999999</v>
      </c>
      <c r="T22" s="66">
        <f t="shared" si="4"/>
        <v>34.746467738232518</v>
      </c>
      <c r="W22" s="74"/>
      <c r="X22" s="74"/>
      <c r="Y22" s="191"/>
      <c r="Z22" s="192">
        <v>5.0000000000000001E-3</v>
      </c>
      <c r="AA22" s="191">
        <f t="shared" si="1"/>
        <v>0</v>
      </c>
      <c r="AB22" s="191">
        <f t="shared" si="2"/>
        <v>0</v>
      </c>
      <c r="AC22" s="191">
        <f t="shared" si="3"/>
        <v>0</v>
      </c>
    </row>
    <row r="23" spans="1:29" s="163" customFormat="1" ht="15.75" x14ac:dyDescent="0.25">
      <c r="A23" s="101">
        <v>20</v>
      </c>
      <c r="B23" s="255" t="str">
        <f>PIERNA!B23</f>
        <v>SEABOARD FOODS</v>
      </c>
      <c r="C23" s="76" t="str">
        <f>PIERNA!C23</f>
        <v>Seaboard</v>
      </c>
      <c r="D23" s="257" t="str">
        <f>PIERNA!D23</f>
        <v>PED. 75232363</v>
      </c>
      <c r="E23" s="261">
        <f>PIERNA!E23</f>
        <v>44551</v>
      </c>
      <c r="F23" s="752">
        <f>PIERNA!F23</f>
        <v>19089.04</v>
      </c>
      <c r="G23" s="271">
        <f>PIERNA!G23</f>
        <v>21</v>
      </c>
      <c r="H23" s="561">
        <f>PIERNA!H23</f>
        <v>19026.8</v>
      </c>
      <c r="I23" s="288">
        <f>PIERNA!I23</f>
        <v>62.240000000001601</v>
      </c>
      <c r="J23" s="553" t="s">
        <v>365</v>
      </c>
      <c r="K23" s="598">
        <v>11963</v>
      </c>
      <c r="L23" s="599" t="s">
        <v>388</v>
      </c>
      <c r="M23" s="598">
        <v>30160</v>
      </c>
      <c r="N23" s="600" t="s">
        <v>389</v>
      </c>
      <c r="O23" s="616">
        <v>1983215</v>
      </c>
      <c r="P23" s="601"/>
      <c r="Q23" s="601">
        <f>29383.87*21.25</f>
        <v>624407.23749999993</v>
      </c>
      <c r="R23" s="609" t="s">
        <v>395</v>
      </c>
      <c r="S23" s="66">
        <f>Q23+M23+K23</f>
        <v>666530.23749999993</v>
      </c>
      <c r="T23" s="66">
        <f>S23/H23</f>
        <v>35.031126490003572</v>
      </c>
      <c r="W23" s="74"/>
      <c r="X23" s="74"/>
      <c r="Y23" s="191"/>
      <c r="Z23" s="192">
        <v>5.0000000000000001E-3</v>
      </c>
      <c r="AA23" s="191">
        <f t="shared" ref="AA23:AA28" si="6">Y23*Z23</f>
        <v>0</v>
      </c>
      <c r="AB23" s="191">
        <f t="shared" ref="AB23:AB28" si="7">AA23*16%</f>
        <v>0</v>
      </c>
      <c r="AC23" s="191">
        <f t="shared" ref="AC23:AC28" si="8">AA23+AB23</f>
        <v>0</v>
      </c>
    </row>
    <row r="24" spans="1:29" s="163" customFormat="1" ht="15.75" x14ac:dyDescent="0.25">
      <c r="A24" s="101">
        <v>21</v>
      </c>
      <c r="B24" s="610" t="str">
        <f>PIERNA!B24</f>
        <v>SEABOARD FOODS</v>
      </c>
      <c r="C24" s="255" t="str">
        <f>PIERNA!C24</f>
        <v>Seaboard</v>
      </c>
      <c r="D24" s="577" t="str">
        <f>PIERNA!D24</f>
        <v>PED. 75307143</v>
      </c>
      <c r="E24" s="261">
        <f>PIERNA!E24</f>
        <v>44552</v>
      </c>
      <c r="F24" s="752">
        <f>PIERNA!F24</f>
        <v>18916.740000000002</v>
      </c>
      <c r="G24" s="271">
        <f>PIERNA!G24</f>
        <v>21</v>
      </c>
      <c r="H24" s="561">
        <f>PIERNA!H24</f>
        <v>18916.7</v>
      </c>
      <c r="I24" s="288">
        <f>PIERNA!I24</f>
        <v>4.0000000000873115E-2</v>
      </c>
      <c r="J24" s="553" t="s">
        <v>368</v>
      </c>
      <c r="K24" s="598">
        <v>11963</v>
      </c>
      <c r="L24" s="599" t="s">
        <v>389</v>
      </c>
      <c r="M24" s="598">
        <v>30160</v>
      </c>
      <c r="N24" s="600" t="s">
        <v>390</v>
      </c>
      <c r="O24" s="603">
        <v>1983216</v>
      </c>
      <c r="P24" s="601"/>
      <c r="Q24" s="601">
        <f>29213.65*21.21</f>
        <v>619621.51650000003</v>
      </c>
      <c r="R24" s="609" t="s">
        <v>395</v>
      </c>
      <c r="S24" s="66">
        <f t="shared" si="0"/>
        <v>661744.51650000003</v>
      </c>
      <c r="T24" s="66">
        <f t="shared" si="4"/>
        <v>35.082027335634649</v>
      </c>
      <c r="W24" s="74"/>
      <c r="X24" s="74"/>
      <c r="Y24" s="191"/>
      <c r="Z24" s="192">
        <v>5.0000000000000001E-3</v>
      </c>
      <c r="AA24" s="191">
        <f t="shared" si="6"/>
        <v>0</v>
      </c>
      <c r="AB24" s="191">
        <f t="shared" si="7"/>
        <v>0</v>
      </c>
      <c r="AC24" s="191">
        <f t="shared" si="8"/>
        <v>0</v>
      </c>
    </row>
    <row r="25" spans="1:29" s="163" customFormat="1" ht="18.75" customHeight="1" x14ac:dyDescent="0.25">
      <c r="A25" s="101">
        <v>22</v>
      </c>
      <c r="B25" s="933" t="str">
        <f>PIERNA!HM5</f>
        <v>TYSON FRESH MEAT</v>
      </c>
      <c r="C25" s="279" t="str">
        <f>PIERNA!HN5</f>
        <v xml:space="preserve">I B P </v>
      </c>
      <c r="D25" s="577" t="str">
        <f>PIERNA!HO5</f>
        <v>PED. 75291957</v>
      </c>
      <c r="E25" s="261">
        <f>PIERNA!E25</f>
        <v>44552</v>
      </c>
      <c r="F25" s="752">
        <f>PIERNA!HQ5</f>
        <v>18545.189999999999</v>
      </c>
      <c r="G25" s="271">
        <f>PIERNA!HR5</f>
        <v>20</v>
      </c>
      <c r="H25" s="561">
        <f>PIERNA!HS5</f>
        <v>18538.59</v>
      </c>
      <c r="I25" s="288">
        <f>PIERNA!I25</f>
        <v>6.5999999999985448</v>
      </c>
      <c r="J25" s="553" t="s">
        <v>369</v>
      </c>
      <c r="K25" s="598">
        <v>10963</v>
      </c>
      <c r="L25" s="599" t="s">
        <v>389</v>
      </c>
      <c r="M25" s="598">
        <v>30160</v>
      </c>
      <c r="N25" s="609" t="s">
        <v>390</v>
      </c>
      <c r="O25" s="603">
        <v>712670</v>
      </c>
      <c r="P25" s="578"/>
      <c r="Q25" s="601">
        <f>28000*20.768+834.49*20.83</f>
        <v>598886.42669999995</v>
      </c>
      <c r="R25" s="584" t="s">
        <v>396</v>
      </c>
      <c r="S25" s="66">
        <f t="shared" si="0"/>
        <v>640009.42669999995</v>
      </c>
      <c r="T25" s="66">
        <f>S25/H25</f>
        <v>34.523090844557217</v>
      </c>
      <c r="W25" s="74"/>
      <c r="X25" s="74"/>
      <c r="Y25" s="191"/>
      <c r="Z25" s="192">
        <v>5.0000000000000001E-3</v>
      </c>
      <c r="AA25" s="191">
        <f t="shared" si="6"/>
        <v>0</v>
      </c>
      <c r="AB25" s="191">
        <f t="shared" si="7"/>
        <v>0</v>
      </c>
      <c r="AC25" s="191">
        <f t="shared" si="8"/>
        <v>0</v>
      </c>
    </row>
    <row r="26" spans="1:29" s="163" customFormat="1" x14ac:dyDescent="0.25">
      <c r="A26" s="101">
        <v>23</v>
      </c>
      <c r="B26" s="934" t="str">
        <f>PIERNA!HW5</f>
        <v>TYSON FRESH MEATS</v>
      </c>
      <c r="C26" s="255" t="str">
        <f>PIERNA!HX5</f>
        <v xml:space="preserve">I B P </v>
      </c>
      <c r="D26" s="577" t="str">
        <f>PIERNA!HY5</f>
        <v>PED. 75314616</v>
      </c>
      <c r="E26" s="261">
        <f>PIERNA!HZ5</f>
        <v>44553</v>
      </c>
      <c r="F26" s="752">
        <f>PIERNA!IA5</f>
        <v>18339.52</v>
      </c>
      <c r="G26" s="268">
        <f>PIERNA!IB5</f>
        <v>20</v>
      </c>
      <c r="H26" s="561">
        <f>PIERNA!IC5</f>
        <v>18447.490000000002</v>
      </c>
      <c r="I26" s="288">
        <f>PIERNA!I26</f>
        <v>-107.97000000000116</v>
      </c>
      <c r="J26" s="553" t="s">
        <v>370</v>
      </c>
      <c r="K26" s="598">
        <v>11973</v>
      </c>
      <c r="L26" s="599" t="s">
        <v>389</v>
      </c>
      <c r="M26" s="598">
        <v>27840</v>
      </c>
      <c r="N26" s="609" t="s">
        <v>391</v>
      </c>
      <c r="O26" s="603">
        <v>711702</v>
      </c>
      <c r="P26" s="601"/>
      <c r="Q26" s="601">
        <f>28692.69*20.775</f>
        <v>596090.63474999997</v>
      </c>
      <c r="R26" s="609" t="s">
        <v>386</v>
      </c>
      <c r="S26" s="66">
        <f t="shared" si="0"/>
        <v>635903.63474999997</v>
      </c>
      <c r="T26" s="66">
        <f>S26/H26</f>
        <v>34.471011218870423</v>
      </c>
      <c r="W26" s="74"/>
      <c r="X26" s="74"/>
      <c r="Y26" s="191"/>
      <c r="Z26" s="192">
        <v>5.0000000000000001E-3</v>
      </c>
      <c r="AA26" s="191">
        <f t="shared" si="6"/>
        <v>0</v>
      </c>
      <c r="AB26" s="191">
        <f t="shared" si="7"/>
        <v>0</v>
      </c>
      <c r="AC26" s="191">
        <f t="shared" si="8"/>
        <v>0</v>
      </c>
    </row>
    <row r="27" spans="1:29" s="163" customFormat="1" x14ac:dyDescent="0.25">
      <c r="A27" s="101">
        <v>24</v>
      </c>
      <c r="B27" s="263" t="str">
        <f>PIERNA!IG5</f>
        <v>TYSON FRESH MEAT</v>
      </c>
      <c r="C27" s="255" t="str">
        <f>PIERNA!IH5</f>
        <v xml:space="preserve">I B P </v>
      </c>
      <c r="D27" s="577" t="str">
        <f>PIERNA!II5</f>
        <v>PED. 75368484</v>
      </c>
      <c r="E27" s="261">
        <f>PIERNA!IJ5</f>
        <v>44553</v>
      </c>
      <c r="F27" s="752">
        <f>PIERNA!IK5</f>
        <v>18453.52</v>
      </c>
      <c r="G27" s="268">
        <f>PIERNA!IL5</f>
        <v>20</v>
      </c>
      <c r="H27" s="561">
        <f>PIERNA!IM5</f>
        <v>18532.759999999998</v>
      </c>
      <c r="I27" s="288">
        <f>PIERNA!I27</f>
        <v>-79.239999999997963</v>
      </c>
      <c r="J27" s="553" t="s">
        <v>371</v>
      </c>
      <c r="K27" s="598">
        <v>10963</v>
      </c>
      <c r="L27" s="599" t="s">
        <v>390</v>
      </c>
      <c r="M27" s="598">
        <v>30160</v>
      </c>
      <c r="N27" s="609" t="s">
        <v>390</v>
      </c>
      <c r="O27" s="603">
        <v>714606</v>
      </c>
      <c r="P27" s="601"/>
      <c r="Q27" s="601">
        <f>27910.1*20.753</f>
        <v>579218.30530000001</v>
      </c>
      <c r="R27" s="609" t="s">
        <v>387</v>
      </c>
      <c r="S27" s="66">
        <f>Q27+M27+K27+P27</f>
        <v>620341.30530000001</v>
      </c>
      <c r="T27" s="66">
        <f t="shared" si="4"/>
        <v>33.572688649720824</v>
      </c>
      <c r="W27" s="74"/>
      <c r="Y27" s="191"/>
      <c r="Z27" s="192">
        <v>5.0000000000000001E-3</v>
      </c>
      <c r="AA27" s="191">
        <f t="shared" si="6"/>
        <v>0</v>
      </c>
      <c r="AB27" s="191">
        <f t="shared" si="7"/>
        <v>0</v>
      </c>
      <c r="AC27" s="191">
        <f t="shared" si="8"/>
        <v>0</v>
      </c>
    </row>
    <row r="28" spans="1:29" s="163" customFormat="1" x14ac:dyDescent="0.25">
      <c r="A28" s="101">
        <v>25</v>
      </c>
      <c r="B28" s="255" t="str">
        <f>PIERNA!IQ5</f>
        <v>SEABOARD FOODS</v>
      </c>
      <c r="C28" s="255" t="str">
        <f>PIERNA!IR5</f>
        <v xml:space="preserve">Seaboard </v>
      </c>
      <c r="D28" s="577" t="str">
        <f>PIERNA!IS5</f>
        <v xml:space="preserve">PED. </v>
      </c>
      <c r="E28" s="261">
        <f>PIERNA!IT5</f>
        <v>44554</v>
      </c>
      <c r="F28" s="752">
        <f>PIERNA!IU5</f>
        <v>18701.990000000002</v>
      </c>
      <c r="G28" s="268">
        <f>PIERNA!IV5</f>
        <v>21</v>
      </c>
      <c r="H28" s="561">
        <f>PIERNA!IW5</f>
        <v>18740</v>
      </c>
      <c r="I28" s="288">
        <f>PIERNA!I28</f>
        <v>-38.009999999998399</v>
      </c>
      <c r="J28" s="553" t="s">
        <v>373</v>
      </c>
      <c r="K28" s="598">
        <v>9663</v>
      </c>
      <c r="L28" s="599" t="s">
        <v>390</v>
      </c>
      <c r="M28" s="598">
        <v>30160</v>
      </c>
      <c r="N28" s="609" t="s">
        <v>390</v>
      </c>
      <c r="O28" s="603">
        <v>1984413</v>
      </c>
      <c r="P28" s="601"/>
      <c r="Q28" s="601">
        <f>27980.44*20.98</f>
        <v>587029.63119999995</v>
      </c>
      <c r="R28" s="584" t="s">
        <v>384</v>
      </c>
      <c r="S28" s="66">
        <f t="shared" si="0"/>
        <v>626852.63119999995</v>
      </c>
      <c r="T28" s="66">
        <f>S28/H28</f>
        <v>33.449980320170752</v>
      </c>
      <c r="W28" s="74"/>
      <c r="X28" s="74"/>
      <c r="Y28" s="191"/>
      <c r="Z28" s="192">
        <v>0</v>
      </c>
      <c r="AA28" s="191">
        <f t="shared" si="6"/>
        <v>0</v>
      </c>
      <c r="AB28" s="191">
        <f t="shared" si="7"/>
        <v>0</v>
      </c>
      <c r="AC28" s="191">
        <f t="shared" si="8"/>
        <v>0</v>
      </c>
    </row>
    <row r="29" spans="1:29" s="163" customFormat="1" ht="15.75" x14ac:dyDescent="0.25">
      <c r="A29" s="101">
        <v>26</v>
      </c>
      <c r="B29" s="255" t="str">
        <f>PIERNA!JA5</f>
        <v>SEABOARD FOODS</v>
      </c>
      <c r="C29" s="255" t="str">
        <f>PIERNA!JB5</f>
        <v>Seaboard</v>
      </c>
      <c r="D29" s="577" t="str">
        <f>PIERNA!JC5</f>
        <v>PED. 75400289</v>
      </c>
      <c r="E29" s="261">
        <f>PIERNA!JD5</f>
        <v>44554</v>
      </c>
      <c r="F29" s="752">
        <f>PIERNA!JE5</f>
        <v>18697.38</v>
      </c>
      <c r="G29" s="268">
        <f>PIERNA!JF5</f>
        <v>21</v>
      </c>
      <c r="H29" s="561">
        <f>PIERNA!JG5</f>
        <v>18734.8</v>
      </c>
      <c r="I29" s="288">
        <f>PIERNA!I29</f>
        <v>-37.419999999998254</v>
      </c>
      <c r="J29" s="553" t="s">
        <v>374</v>
      </c>
      <c r="K29" s="604">
        <v>11813</v>
      </c>
      <c r="L29" s="599" t="s">
        <v>390</v>
      </c>
      <c r="M29" s="598">
        <v>27840</v>
      </c>
      <c r="N29" s="609" t="s">
        <v>429</v>
      </c>
      <c r="O29" s="616">
        <v>1984414</v>
      </c>
      <c r="P29" s="601"/>
      <c r="Q29" s="601">
        <f>28022.48*20.77</f>
        <v>582026.90960000001</v>
      </c>
      <c r="R29" s="584" t="s">
        <v>383</v>
      </c>
      <c r="S29" s="66">
        <f t="shared" si="0"/>
        <v>621679.90960000001</v>
      </c>
      <c r="T29" s="66">
        <f>S29/H29</f>
        <v>33.183162328927985</v>
      </c>
      <c r="W29" s="74"/>
      <c r="X29" s="74"/>
      <c r="Y29" s="191"/>
      <c r="Z29" s="192"/>
      <c r="AA29" s="191"/>
      <c r="AB29" s="191"/>
      <c r="AC29" s="191">
        <f>SUM(AC7:AC28)</f>
        <v>0</v>
      </c>
    </row>
    <row r="30" spans="1:29" s="163" customFormat="1" ht="15.75" x14ac:dyDescent="0.25">
      <c r="A30" s="101">
        <v>27</v>
      </c>
      <c r="B30" s="255" t="str">
        <f>PIERNA!JK5</f>
        <v>SEABOARD FOODS</v>
      </c>
      <c r="C30" s="255" t="str">
        <f>PIERNA!JL5</f>
        <v>Seaboard</v>
      </c>
      <c r="D30" s="577" t="str">
        <f>PIERNA!JM5</f>
        <v>PED. 75418454</v>
      </c>
      <c r="E30" s="476">
        <f>PIERNA!JN5</f>
        <v>44554</v>
      </c>
      <c r="F30" s="975">
        <f>PIERNA!JO5</f>
        <v>19104.060000000001</v>
      </c>
      <c r="G30" s="976">
        <f>PIERNA!JP5</f>
        <v>21</v>
      </c>
      <c r="H30" s="977">
        <f>PIERNA!JQ5</f>
        <v>19110.400000000001</v>
      </c>
      <c r="I30" s="288">
        <f>PIERNA!I30</f>
        <v>-6.3400000000001455</v>
      </c>
      <c r="J30" s="553" t="s">
        <v>375</v>
      </c>
      <c r="K30" s="598">
        <v>11813</v>
      </c>
      <c r="L30" s="599" t="s">
        <v>391</v>
      </c>
      <c r="M30" s="598">
        <v>30160</v>
      </c>
      <c r="N30" s="609" t="s">
        <v>392</v>
      </c>
      <c r="O30" s="616">
        <v>1984770</v>
      </c>
      <c r="P30" s="601"/>
      <c r="Q30" s="601">
        <f>26777.03*20.785</f>
        <v>556560.56854999997</v>
      </c>
      <c r="R30" s="584" t="s">
        <v>385</v>
      </c>
      <c r="S30" s="66">
        <f>Q30+M30+K30+P30</f>
        <v>598533.56854999997</v>
      </c>
      <c r="T30" s="66">
        <f t="shared" si="4"/>
        <v>31.419782346261719</v>
      </c>
      <c r="W30" s="74"/>
      <c r="X30" s="74"/>
      <c r="Y30" s="191"/>
      <c r="Z30" s="192"/>
      <c r="AA30" s="191"/>
      <c r="AB30" s="191"/>
      <c r="AC30" s="191"/>
    </row>
    <row r="31" spans="1:29" s="163" customFormat="1" ht="15.75" x14ac:dyDescent="0.25">
      <c r="A31" s="101">
        <v>28</v>
      </c>
      <c r="B31" s="255" t="str">
        <f>PIERNA!JU5</f>
        <v>SEABOARD FOODS</v>
      </c>
      <c r="C31" s="842" t="str">
        <f>PIERNA!JV5</f>
        <v>Seaboard</v>
      </c>
      <c r="D31" s="577" t="str">
        <f>PIERNA!JW5</f>
        <v>PED. 75417567</v>
      </c>
      <c r="E31" s="476">
        <f>PIERNA!JX5</f>
        <v>44554</v>
      </c>
      <c r="F31" s="975">
        <f>PIERNA!JY5</f>
        <v>19049.900000000001</v>
      </c>
      <c r="G31" s="976">
        <f>PIERNA!JZ5</f>
        <v>21</v>
      </c>
      <c r="H31" s="977">
        <f>PIERNA!KA5</f>
        <v>19048.8</v>
      </c>
      <c r="I31" s="288">
        <f>PIERNA!I31</f>
        <v>1.1000000000021828</v>
      </c>
      <c r="J31" s="553" t="s">
        <v>376</v>
      </c>
      <c r="K31" s="598">
        <v>10963</v>
      </c>
      <c r="L31" s="599" t="s">
        <v>391</v>
      </c>
      <c r="M31" s="598">
        <v>30160</v>
      </c>
      <c r="N31" s="609" t="s">
        <v>391</v>
      </c>
      <c r="O31" s="616">
        <v>1984771</v>
      </c>
      <c r="P31" s="601"/>
      <c r="Q31" s="601">
        <f>26684.26*20.755</f>
        <v>553831.81629999995</v>
      </c>
      <c r="R31" s="584" t="s">
        <v>383</v>
      </c>
      <c r="S31" s="66">
        <f t="shared" si="0"/>
        <v>594954.81629999995</v>
      </c>
      <c r="T31" s="66">
        <f t="shared" si="4"/>
        <v>31.333191397883333</v>
      </c>
      <c r="W31" s="74"/>
      <c r="X31" s="74"/>
      <c r="Y31" s="191"/>
      <c r="Z31" s="192"/>
      <c r="AA31" s="191"/>
      <c r="AB31" s="191"/>
      <c r="AC31" s="191"/>
    </row>
    <row r="32" spans="1:29" s="163" customFormat="1" ht="15.75" x14ac:dyDescent="0.25">
      <c r="A32" s="101">
        <v>29</v>
      </c>
      <c r="B32" s="255" t="str">
        <f>PIERNA!KE5</f>
        <v>SEABOARD FOODS</v>
      </c>
      <c r="C32" s="255" t="str">
        <f>PIERNA!KF5</f>
        <v>Seaboard</v>
      </c>
      <c r="D32" s="577" t="str">
        <f>PIERNA!KG5</f>
        <v>PED. 75443423</v>
      </c>
      <c r="E32" s="476">
        <f>PIERNA!KH5</f>
        <v>44556</v>
      </c>
      <c r="F32" s="975">
        <f>PIERNA!KI5</f>
        <v>18914.25</v>
      </c>
      <c r="G32" s="976">
        <f>PIERNA!KJ5</f>
        <v>21</v>
      </c>
      <c r="H32" s="977">
        <f>PIERNA!KK5</f>
        <v>18951</v>
      </c>
      <c r="I32" s="288">
        <f>PIERNA!I32</f>
        <v>-36.75</v>
      </c>
      <c r="J32" s="553" t="s">
        <v>378</v>
      </c>
      <c r="K32" s="598">
        <v>10963</v>
      </c>
      <c r="L32" s="599" t="s">
        <v>391</v>
      </c>
      <c r="M32" s="598">
        <v>27840</v>
      </c>
      <c r="N32" s="609" t="s">
        <v>429</v>
      </c>
      <c r="O32" s="616">
        <v>1984769</v>
      </c>
      <c r="P32" s="601"/>
      <c r="Q32" s="601">
        <f>26547.01*20.77</f>
        <v>551381.39769999997</v>
      </c>
      <c r="R32" s="584" t="s">
        <v>383</v>
      </c>
      <c r="S32" s="66">
        <f>Q32+M32+K32+P32</f>
        <v>590184.39769999997</v>
      </c>
      <c r="T32" s="66">
        <f t="shared" si="4"/>
        <v>31.242651981425784</v>
      </c>
      <c r="W32" s="74"/>
      <c r="X32" s="74"/>
      <c r="Y32" s="191"/>
      <c r="Z32" s="192"/>
      <c r="AA32" s="191"/>
      <c r="AB32" s="191"/>
      <c r="AC32" s="191"/>
    </row>
    <row r="33" spans="1:29" s="163" customFormat="1" ht="15.75" x14ac:dyDescent="0.25">
      <c r="A33" s="101">
        <v>30</v>
      </c>
      <c r="B33" s="263" t="str">
        <f>PIERNA!KO5</f>
        <v>SEABOARD FOODS</v>
      </c>
      <c r="C33" s="255" t="str">
        <f>PIERNA!KP5</f>
        <v>Seaboard</v>
      </c>
      <c r="D33" s="577" t="str">
        <f>PIERNA!KQ5</f>
        <v>PED. 75517509</v>
      </c>
      <c r="E33" s="476">
        <f>PIERNA!KR5</f>
        <v>44558</v>
      </c>
      <c r="F33" s="978">
        <f>PIERNA!KS5</f>
        <v>18868.09</v>
      </c>
      <c r="G33" s="979">
        <f>PIERNA!KT5</f>
        <v>21</v>
      </c>
      <c r="H33" s="977">
        <f>PIERNA!KU5</f>
        <v>18937.2</v>
      </c>
      <c r="I33" s="288">
        <f>PIERNA!I33</f>
        <v>-69.110000000000582</v>
      </c>
      <c r="J33" s="553" t="s">
        <v>404</v>
      </c>
      <c r="K33" s="604">
        <v>11973</v>
      </c>
      <c r="L33" s="599" t="s">
        <v>439</v>
      </c>
      <c r="M33" s="598">
        <v>30160</v>
      </c>
      <c r="N33" s="609" t="s">
        <v>410</v>
      </c>
      <c r="O33" s="616">
        <v>1986038</v>
      </c>
      <c r="P33" s="656"/>
      <c r="Q33" s="601">
        <f>27282.2*20.78</f>
        <v>566924.11600000004</v>
      </c>
      <c r="R33" s="584" t="s">
        <v>437</v>
      </c>
      <c r="S33" s="66">
        <f>Q33+M33+K33+P33</f>
        <v>609057.11600000004</v>
      </c>
      <c r="T33" s="66">
        <f t="shared" si="4"/>
        <v>32.261941364087619</v>
      </c>
      <c r="W33" s="74"/>
      <c r="X33" s="74"/>
      <c r="Y33" s="191"/>
      <c r="Z33" s="192"/>
      <c r="AA33" s="191"/>
      <c r="AB33" s="191"/>
      <c r="AC33" s="191"/>
    </row>
    <row r="34" spans="1:29" s="163" customFormat="1" ht="16.5" x14ac:dyDescent="0.25">
      <c r="A34" s="101">
        <v>31</v>
      </c>
      <c r="B34" s="255" t="str">
        <f>PIERNA!B34</f>
        <v>TYSON FRESH MEATS</v>
      </c>
      <c r="C34" s="295" t="str">
        <f>PIERNA!C34</f>
        <v xml:space="preserve">I B P </v>
      </c>
      <c r="D34" s="577" t="str">
        <f>PIERNA!D34</f>
        <v>PED. 75528932</v>
      </c>
      <c r="E34" s="476">
        <f>PIERNA!E34</f>
        <v>44558</v>
      </c>
      <c r="F34" s="978">
        <f>PIERNA!F34</f>
        <v>18387.689999999999</v>
      </c>
      <c r="G34" s="979">
        <f>PIERNA!G34</f>
        <v>20</v>
      </c>
      <c r="H34" s="977">
        <f>PIERNA!H34</f>
        <v>18445.669999999998</v>
      </c>
      <c r="I34" s="288">
        <f>PIERNA!I34</f>
        <v>-57.979999999999563</v>
      </c>
      <c r="J34" s="1065" t="s">
        <v>405</v>
      </c>
      <c r="K34" s="1066">
        <f>11803+5250</f>
        <v>17053</v>
      </c>
      <c r="L34" s="599" t="s">
        <v>439</v>
      </c>
      <c r="M34" s="598">
        <v>30160</v>
      </c>
      <c r="N34" s="609" t="s">
        <v>410</v>
      </c>
      <c r="O34" s="655">
        <v>717863</v>
      </c>
      <c r="P34" s="601"/>
      <c r="Q34" s="658">
        <f>25229.18*20.63</f>
        <v>520477.98339999997</v>
      </c>
      <c r="R34" s="659" t="s">
        <v>438</v>
      </c>
      <c r="S34" s="66">
        <f>Q34+M34+K34+P34</f>
        <v>567690.98340000003</v>
      </c>
      <c r="T34" s="66">
        <f t="shared" si="4"/>
        <v>30.876381850049366</v>
      </c>
      <c r="W34" s="74"/>
      <c r="X34" s="74"/>
      <c r="Y34" s="191"/>
      <c r="Z34" s="192"/>
      <c r="AA34" s="191"/>
      <c r="AB34" s="191"/>
      <c r="AC34" s="191"/>
    </row>
    <row r="35" spans="1:29" s="163" customFormat="1" ht="16.5" x14ac:dyDescent="0.25">
      <c r="A35" s="101">
        <v>32</v>
      </c>
      <c r="B35" s="76" t="str">
        <f>PIERNA!B35</f>
        <v>TYSON FRESH MEATS</v>
      </c>
      <c r="C35" s="295" t="str">
        <f>PIERNA!C35</f>
        <v xml:space="preserve">I B P </v>
      </c>
      <c r="D35" s="577" t="str">
        <f>PIERNA!D35</f>
        <v>PED. 75543977</v>
      </c>
      <c r="E35" s="476">
        <f>PIERNA!E35</f>
        <v>44559</v>
      </c>
      <c r="F35" s="978">
        <f>PIERNA!F35</f>
        <v>18533.84</v>
      </c>
      <c r="G35" s="980">
        <f>PIERNA!G35</f>
        <v>20</v>
      </c>
      <c r="H35" s="977">
        <f>PIERNA!H35</f>
        <v>18548.650000000001</v>
      </c>
      <c r="I35" s="288">
        <f>PIERNA!I35</f>
        <v>-14.81000000000131</v>
      </c>
      <c r="J35" s="553" t="s">
        <v>406</v>
      </c>
      <c r="K35" s="598">
        <v>11813</v>
      </c>
      <c r="L35" s="599" t="s">
        <v>429</v>
      </c>
      <c r="M35" s="598">
        <v>30160</v>
      </c>
      <c r="N35" s="609" t="s">
        <v>410</v>
      </c>
      <c r="O35" s="655">
        <v>721621</v>
      </c>
      <c r="P35" s="656"/>
      <c r="Q35" s="598">
        <f>26915.77*20.62</f>
        <v>555003.17740000004</v>
      </c>
      <c r="R35" s="584" t="s">
        <v>428</v>
      </c>
      <c r="S35" s="66">
        <f>Q35+M35+K35</f>
        <v>596976.17740000004</v>
      </c>
      <c r="T35" s="66">
        <f t="shared" si="4"/>
        <v>32.284346429524518</v>
      </c>
      <c r="W35" s="74"/>
      <c r="X35" s="74"/>
      <c r="Y35" s="191"/>
      <c r="Z35" s="192"/>
      <c r="AA35" s="191"/>
      <c r="AB35" s="191"/>
      <c r="AC35" s="191"/>
    </row>
    <row r="36" spans="1:29" s="163" customFormat="1" ht="16.5" x14ac:dyDescent="0.25">
      <c r="A36" s="101">
        <v>33</v>
      </c>
      <c r="B36" s="76" t="str">
        <f>PIERNA!B36</f>
        <v>SEABOARD FOODS</v>
      </c>
      <c r="C36" s="295" t="str">
        <f>PIERNA!C36</f>
        <v>Seaboard</v>
      </c>
      <c r="D36" s="577" t="str">
        <f>PIERNA!D36</f>
        <v>PED. 75544391</v>
      </c>
      <c r="E36" s="759">
        <f>PIERNA!E36</f>
        <v>44559</v>
      </c>
      <c r="F36" s="753">
        <f>PIERNA!F36</f>
        <v>18934.95</v>
      </c>
      <c r="G36" s="650">
        <f>PIERNA!G36</f>
        <v>21</v>
      </c>
      <c r="H36" s="649">
        <f>PIERNA!H36</f>
        <v>19077.5</v>
      </c>
      <c r="I36" s="288">
        <f>PIERNA!I36</f>
        <v>-142.54999999999927</v>
      </c>
      <c r="J36" s="553" t="s">
        <v>407</v>
      </c>
      <c r="K36" s="598">
        <v>9663</v>
      </c>
      <c r="L36" s="599" t="s">
        <v>429</v>
      </c>
      <c r="M36" s="598">
        <v>30160</v>
      </c>
      <c r="N36" s="600" t="s">
        <v>410</v>
      </c>
      <c r="O36" s="655">
        <v>1985712</v>
      </c>
      <c r="P36" s="656"/>
      <c r="Q36" s="598">
        <f>27472.94*20.78</f>
        <v>570887.69319999998</v>
      </c>
      <c r="R36" s="609" t="s">
        <v>396</v>
      </c>
      <c r="S36" s="66">
        <f t="shared" ref="S36:S39" si="9">Q36+M36+K36</f>
        <v>610710.69319999998</v>
      </c>
      <c r="T36" s="66">
        <f t="shared" si="4"/>
        <v>32.112092423011404</v>
      </c>
      <c r="W36" s="74"/>
      <c r="X36" s="74"/>
      <c r="Y36" s="191"/>
      <c r="Z36" s="192"/>
      <c r="AA36" s="191"/>
      <c r="AB36" s="191"/>
      <c r="AC36" s="191"/>
    </row>
    <row r="37" spans="1:29" s="163" customFormat="1" x14ac:dyDescent="0.25">
      <c r="A37" s="101">
        <v>34</v>
      </c>
      <c r="B37" s="76" t="str">
        <f>PIERNA!B37</f>
        <v>SEABOARD FOODS</v>
      </c>
      <c r="C37" s="159" t="str">
        <f>PIERNA!C37</f>
        <v>Seaboard</v>
      </c>
      <c r="D37" s="257" t="str">
        <f>PIERNA!D37</f>
        <v>PED. 75602717</v>
      </c>
      <c r="E37" s="261">
        <f>PIERNA!E37</f>
        <v>44560</v>
      </c>
      <c r="F37" s="752">
        <f>PIERNA!F37</f>
        <v>18933.580000000002</v>
      </c>
      <c r="G37" s="271">
        <f>PIERNA!G37</f>
        <v>21</v>
      </c>
      <c r="H37" s="561">
        <f>PIERNA!H37</f>
        <v>18995.599999999999</v>
      </c>
      <c r="I37" s="288">
        <f>PIERNA!I37</f>
        <v>-62.019999999996799</v>
      </c>
      <c r="J37" s="553" t="s">
        <v>408</v>
      </c>
      <c r="K37" s="598">
        <v>10963</v>
      </c>
      <c r="L37" s="599" t="s">
        <v>430</v>
      </c>
      <c r="M37" s="598">
        <v>30160</v>
      </c>
      <c r="N37" s="609" t="s">
        <v>430</v>
      </c>
      <c r="O37" s="603">
        <v>1986972</v>
      </c>
      <c r="P37" s="601"/>
      <c r="Q37" s="601">
        <f>27354.71*20.775</f>
        <v>568294.1002499999</v>
      </c>
      <c r="R37" s="609" t="s">
        <v>386</v>
      </c>
      <c r="S37" s="66">
        <f>Q37+M37+K37</f>
        <v>609417.1002499999</v>
      </c>
      <c r="T37" s="66">
        <f t="shared" si="4"/>
        <v>32.182013742656196</v>
      </c>
      <c r="W37" s="74"/>
      <c r="X37" s="74"/>
      <c r="Y37" s="191"/>
      <c r="Z37" s="192"/>
      <c r="AA37" s="191"/>
      <c r="AB37" s="191"/>
      <c r="AC37" s="191"/>
    </row>
    <row r="38" spans="1:29" s="163" customFormat="1" x14ac:dyDescent="0.25">
      <c r="A38" s="101">
        <v>35</v>
      </c>
      <c r="B38" s="1122" t="str">
        <f>PIERNA!B38</f>
        <v>DISTRIBUIDORA ASGAR</v>
      </c>
      <c r="C38" s="159" t="str">
        <f>PIERNA!C38</f>
        <v>CLEMENS FOOD</v>
      </c>
      <c r="D38" s="981" t="str">
        <f>PIERNA!D38</f>
        <v>PED. 75530313</v>
      </c>
      <c r="E38" s="261">
        <f>PIERNA!E38</f>
        <v>44560</v>
      </c>
      <c r="F38" s="982">
        <f>PIERNA!F38</f>
        <v>18503.34</v>
      </c>
      <c r="G38" s="271">
        <f>PIERNA!G38</f>
        <v>20</v>
      </c>
      <c r="H38" s="288">
        <f>PIERNA!H38</f>
        <v>18531.39</v>
      </c>
      <c r="I38" s="107">
        <f>PIERNA!I38</f>
        <v>-28.049999999999272</v>
      </c>
      <c r="J38" s="553" t="s">
        <v>686</v>
      </c>
      <c r="K38" s="598"/>
      <c r="L38" s="599"/>
      <c r="M38" s="598"/>
      <c r="N38" s="609"/>
      <c r="O38" s="603">
        <v>324</v>
      </c>
      <c r="P38" s="601"/>
      <c r="Q38" s="1123">
        <v>648588.5</v>
      </c>
      <c r="R38" s="1124" t="s">
        <v>687</v>
      </c>
      <c r="S38" s="66">
        <f t="shared" si="9"/>
        <v>648588.5</v>
      </c>
      <c r="T38" s="66">
        <f>S38/H38</f>
        <v>34.999452280697781</v>
      </c>
      <c r="W38" s="74"/>
      <c r="X38" s="74"/>
      <c r="Y38" s="191"/>
      <c r="Z38" s="192"/>
      <c r="AA38" s="191"/>
      <c r="AB38" s="191"/>
      <c r="AC38" s="191"/>
    </row>
    <row r="39" spans="1:29" s="163" customFormat="1" ht="15.75" x14ac:dyDescent="0.25">
      <c r="A39" s="101">
        <v>36</v>
      </c>
      <c r="B39" s="76" t="str">
        <f>PIERNA!B39</f>
        <v>SEABOARD FOODS</v>
      </c>
      <c r="C39" s="159" t="str">
        <f>PIERNA!C39</f>
        <v>Seaboard</v>
      </c>
      <c r="D39" s="981" t="str">
        <f>PIERNA!D39</f>
        <v>PED. 75641030</v>
      </c>
      <c r="E39" s="261">
        <f>PIERNA!E39</f>
        <v>44561</v>
      </c>
      <c r="F39" s="982">
        <f>PIERNA!F39</f>
        <v>18788.04</v>
      </c>
      <c r="G39" s="271">
        <f>PIERNA!G39</f>
        <v>21</v>
      </c>
      <c r="H39" s="288">
        <f>PIERNA!H39</f>
        <v>18849.7</v>
      </c>
      <c r="I39" s="107">
        <f>PIERNA!I39</f>
        <v>-61.659999999999854</v>
      </c>
      <c r="J39" s="553" t="s">
        <v>409</v>
      </c>
      <c r="K39" s="604">
        <v>11963</v>
      </c>
      <c r="L39" s="599" t="s">
        <v>431</v>
      </c>
      <c r="M39" s="598">
        <v>30160</v>
      </c>
      <c r="N39" s="643" t="s">
        <v>431</v>
      </c>
      <c r="O39" s="616">
        <v>1986973</v>
      </c>
      <c r="P39" s="644"/>
      <c r="Q39" s="601">
        <f>25000.09*20.685</f>
        <v>517126.86164999998</v>
      </c>
      <c r="R39" s="584" t="s">
        <v>387</v>
      </c>
      <c r="S39" s="66">
        <f t="shared" si="9"/>
        <v>559249.86164999998</v>
      </c>
      <c r="T39" s="66">
        <f t="shared" si="4"/>
        <v>29.768899857822671</v>
      </c>
      <c r="W39" s="74"/>
      <c r="X39" s="74"/>
      <c r="Y39" s="191"/>
      <c r="Z39" s="192"/>
      <c r="AA39" s="191"/>
      <c r="AB39" s="191"/>
      <c r="AC39" s="191"/>
    </row>
    <row r="40" spans="1:29" s="163" customFormat="1" ht="15.75" x14ac:dyDescent="0.25">
      <c r="A40" s="101">
        <v>37</v>
      </c>
      <c r="B40" s="76" t="str">
        <f>PIERNA!B40</f>
        <v>SEABOARD FOODS</v>
      </c>
      <c r="C40" s="159" t="str">
        <f>PIERNA!C40</f>
        <v>Seaboard</v>
      </c>
      <c r="D40" s="1057" t="str">
        <f>PIERNA!D40</f>
        <v>PED. 75659701</v>
      </c>
      <c r="E40" s="1058">
        <f>PIERNA!E40</f>
        <v>44563</v>
      </c>
      <c r="F40" s="1059">
        <f>PIERNA!F40</f>
        <v>18943.84</v>
      </c>
      <c r="G40" s="1060">
        <f>PIERNA!G40</f>
        <v>21</v>
      </c>
      <c r="H40" s="1061">
        <f>PIERNA!H40</f>
        <v>19073.7</v>
      </c>
      <c r="I40" s="1061">
        <f>PIERNA!I40</f>
        <v>-129.86000000000058</v>
      </c>
      <c r="J40" s="1062" t="s">
        <v>425</v>
      </c>
      <c r="K40" s="641">
        <v>10963</v>
      </c>
      <c r="L40" s="599" t="s">
        <v>431</v>
      </c>
      <c r="M40" s="1254">
        <v>27840</v>
      </c>
      <c r="N40" s="1255" t="s">
        <v>692</v>
      </c>
      <c r="O40" s="616">
        <v>1987349</v>
      </c>
      <c r="P40" s="644"/>
      <c r="Q40" s="601">
        <f>25297.88*20.685</f>
        <v>523286.64779999998</v>
      </c>
      <c r="R40" s="584" t="s">
        <v>387</v>
      </c>
      <c r="S40" s="66">
        <f>Q40+M40+K40+P40</f>
        <v>562089.64779999992</v>
      </c>
      <c r="T40" s="66">
        <f t="shared" si="4"/>
        <v>29.56935559435243</v>
      </c>
      <c r="W40" s="74"/>
      <c r="X40" s="74"/>
      <c r="Y40" s="191"/>
      <c r="Z40" s="192"/>
      <c r="AA40" s="191"/>
      <c r="AB40" s="191"/>
      <c r="AC40" s="191"/>
    </row>
    <row r="41" spans="1:29" s="163" customFormat="1" ht="15.75" x14ac:dyDescent="0.25">
      <c r="A41" s="101">
        <v>38</v>
      </c>
      <c r="B41" s="76" t="str">
        <f>PIERNA!B41</f>
        <v>SEABOARD FOODS</v>
      </c>
      <c r="C41" s="159" t="str">
        <f>PIERNA!C41</f>
        <v>Seaboard</v>
      </c>
      <c r="D41" s="1057" t="str">
        <f>PIERNA!D41</f>
        <v>PED. 75659167</v>
      </c>
      <c r="E41" s="1058">
        <f>PIERNA!E41</f>
        <v>44563</v>
      </c>
      <c r="F41" s="1059">
        <f>PIERNA!F41</f>
        <v>18944.310000000001</v>
      </c>
      <c r="G41" s="1060">
        <f>PIERNA!G41</f>
        <v>21</v>
      </c>
      <c r="H41" s="1061">
        <f>PIERNA!H41</f>
        <v>19120</v>
      </c>
      <c r="I41" s="1061">
        <f>PIERNA!I41</f>
        <v>-175.68999999999869</v>
      </c>
      <c r="J41" s="1062" t="s">
        <v>426</v>
      </c>
      <c r="K41" s="642">
        <v>9663</v>
      </c>
      <c r="L41" s="599" t="s">
        <v>431</v>
      </c>
      <c r="M41" s="1254">
        <v>27840</v>
      </c>
      <c r="N41" s="1255" t="s">
        <v>693</v>
      </c>
      <c r="O41" s="616">
        <v>1986974</v>
      </c>
      <c r="P41" s="644"/>
      <c r="Q41" s="601">
        <f>25359.24*20.62</f>
        <v>522907.52880000003</v>
      </c>
      <c r="R41" s="584" t="s">
        <v>427</v>
      </c>
      <c r="S41" s="66">
        <f>Q41+M41+K41+P41</f>
        <v>560410.52879999997</v>
      </c>
      <c r="T41" s="66">
        <f t="shared" si="4"/>
        <v>29.410174100418409</v>
      </c>
      <c r="W41" s="74"/>
      <c r="X41" s="74"/>
      <c r="Y41" s="191"/>
      <c r="AA41" s="191"/>
      <c r="AB41" s="191"/>
      <c r="AC41" s="191"/>
    </row>
    <row r="42" spans="1:29" s="163" customFormat="1" ht="15.75" x14ac:dyDescent="0.25">
      <c r="A42" s="101">
        <v>39</v>
      </c>
      <c r="B42" s="76">
        <f>PIERNA!B42</f>
        <v>0</v>
      </c>
      <c r="C42" s="843">
        <f>PIERNA!C42</f>
        <v>0</v>
      </c>
      <c r="D42" s="187">
        <f>PIERNA!D42</f>
        <v>0</v>
      </c>
      <c r="E42" s="140">
        <f>PIERNA!E42</f>
        <v>0</v>
      </c>
      <c r="F42" s="749">
        <f>PIERNA!F42</f>
        <v>0</v>
      </c>
      <c r="G42" s="101">
        <f>PIERNA!G42</f>
        <v>0</v>
      </c>
      <c r="H42" s="560">
        <f>PIERNA!H42</f>
        <v>0</v>
      </c>
      <c r="I42" s="107">
        <f>PIERNA!I42</f>
        <v>0</v>
      </c>
      <c r="J42" s="553"/>
      <c r="K42" s="641"/>
      <c r="L42" s="599"/>
      <c r="M42" s="598"/>
      <c r="N42" s="643"/>
      <c r="O42" s="616"/>
      <c r="P42" s="644"/>
      <c r="Q42" s="601"/>
      <c r="R42" s="584"/>
      <c r="S42" s="66">
        <f t="shared" ref="S42:S59" si="10">Q42+M42+K42</f>
        <v>0</v>
      </c>
      <c r="T42" s="66" t="e">
        <f t="shared" ref="T42:T71" si="11">S42/H42+0.1</f>
        <v>#DIV/0!</v>
      </c>
      <c r="W42" s="74"/>
      <c r="X42" s="74"/>
      <c r="Y42" s="191"/>
      <c r="AA42" s="191"/>
      <c r="AB42" s="191"/>
      <c r="AC42" s="191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49">
        <f>PIERNA!F43</f>
        <v>0</v>
      </c>
      <c r="G43" s="101">
        <f>PIERNA!G43</f>
        <v>0</v>
      </c>
      <c r="H43" s="560">
        <f>PIERNA!H43</f>
        <v>0</v>
      </c>
      <c r="I43" s="107">
        <f>PIERNA!I43</f>
        <v>0</v>
      </c>
      <c r="J43" s="553"/>
      <c r="K43" s="641"/>
      <c r="L43" s="599"/>
      <c r="M43" s="598"/>
      <c r="N43" s="643"/>
      <c r="O43" s="616"/>
      <c r="P43" s="644"/>
      <c r="Q43" s="601"/>
      <c r="R43" s="584"/>
      <c r="S43" s="66">
        <f t="shared" si="10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7">
        <f>PIERNA!D44</f>
        <v>0</v>
      </c>
      <c r="E44" s="140">
        <f>PIERNA!E44</f>
        <v>0</v>
      </c>
      <c r="F44" s="749">
        <f>PIERNA!F44</f>
        <v>0</v>
      </c>
      <c r="G44" s="101">
        <f>PIERNA!G44</f>
        <v>0</v>
      </c>
      <c r="H44" s="560">
        <f>PIERNA!H44</f>
        <v>0</v>
      </c>
      <c r="I44" s="107">
        <f>PIERNA!I44</f>
        <v>0</v>
      </c>
      <c r="J44" s="553"/>
      <c r="K44" s="598"/>
      <c r="L44" s="599"/>
      <c r="M44" s="598"/>
      <c r="N44" s="600"/>
      <c r="O44" s="603"/>
      <c r="P44" s="601"/>
      <c r="Q44" s="598"/>
      <c r="R44" s="657"/>
      <c r="S44" s="66">
        <f>Q44+M44+K44</f>
        <v>0</v>
      </c>
      <c r="T44" s="66" t="e">
        <f t="shared" si="11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7">
        <f>PIERNA!D45</f>
        <v>0</v>
      </c>
      <c r="E45" s="140">
        <f>PIERNA!E45</f>
        <v>0</v>
      </c>
      <c r="F45" s="749">
        <f>PIERNA!F45</f>
        <v>0</v>
      </c>
      <c r="G45" s="101">
        <f>PIERNA!G45</f>
        <v>0</v>
      </c>
      <c r="H45" s="560">
        <f>PIERNA!H45</f>
        <v>0</v>
      </c>
      <c r="I45" s="107">
        <f>PIERNA!I45</f>
        <v>0</v>
      </c>
      <c r="J45" s="553"/>
      <c r="K45" s="598"/>
      <c r="L45" s="599"/>
      <c r="M45" s="598"/>
      <c r="N45" s="600"/>
      <c r="O45" s="603"/>
      <c r="P45" s="601"/>
      <c r="Q45" s="598"/>
      <c r="R45" s="657"/>
      <c r="S45" s="66">
        <f>Q45+M45+K45</f>
        <v>0</v>
      </c>
      <c r="T45" s="66" t="e">
        <f t="shared" si="11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7">
        <f>PIERNA!D46</f>
        <v>0</v>
      </c>
      <c r="E46" s="140">
        <f>PIERNA!E46</f>
        <v>0</v>
      </c>
      <c r="F46" s="749">
        <f>PIERNA!F46</f>
        <v>0</v>
      </c>
      <c r="G46" s="101">
        <f>PIERNA!G46</f>
        <v>0</v>
      </c>
      <c r="H46" s="560">
        <f>PIERNA!H46</f>
        <v>0</v>
      </c>
      <c r="I46" s="107">
        <f>PIERNA!I46</f>
        <v>0</v>
      </c>
      <c r="J46" s="299"/>
      <c r="K46" s="300"/>
      <c r="L46" s="301"/>
      <c r="M46" s="527"/>
      <c r="N46" s="303"/>
      <c r="O46" s="617"/>
      <c r="P46" s="304"/>
      <c r="Q46" s="279"/>
      <c r="R46" s="531"/>
      <c r="S46" s="66">
        <f>Q46+M46+K46</f>
        <v>0</v>
      </c>
      <c r="T46" s="66" t="e">
        <f t="shared" si="11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7">
        <f>PIERNA!D47</f>
        <v>0</v>
      </c>
      <c r="E47" s="140">
        <f>PIERNA!E47</f>
        <v>0</v>
      </c>
      <c r="F47" s="749">
        <f>PIERNA!F47</f>
        <v>0</v>
      </c>
      <c r="G47" s="101">
        <f>PIERNA!G47</f>
        <v>0</v>
      </c>
      <c r="H47" s="560">
        <f>PIERNA!H47</f>
        <v>0</v>
      </c>
      <c r="I47" s="107">
        <f>PIERNA!I47</f>
        <v>0</v>
      </c>
      <c r="J47" s="299"/>
      <c r="K47" s="300"/>
      <c r="L47" s="301"/>
      <c r="M47" s="528"/>
      <c r="N47" s="303"/>
      <c r="O47" s="618"/>
      <c r="P47" s="304"/>
      <c r="Q47" s="279"/>
      <c r="R47" s="531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7">
        <f>PIERNA!D48</f>
        <v>0</v>
      </c>
      <c r="E48" s="140">
        <f>PIERNA!E48</f>
        <v>0</v>
      </c>
      <c r="F48" s="749">
        <f>PIERNA!F48</f>
        <v>0</v>
      </c>
      <c r="G48" s="101">
        <f>PIERNA!G48</f>
        <v>0</v>
      </c>
      <c r="H48" s="560">
        <f>PIERNA!H48</f>
        <v>0</v>
      </c>
      <c r="I48" s="107">
        <f>PIERNA!I48</f>
        <v>0</v>
      </c>
      <c r="J48" s="299"/>
      <c r="K48" s="300"/>
      <c r="L48" s="301"/>
      <c r="M48" s="529"/>
      <c r="N48" s="303"/>
      <c r="O48" s="617"/>
      <c r="P48" s="304"/>
      <c r="Q48" s="279"/>
      <c r="R48" s="531"/>
      <c r="S48" s="66">
        <f>Q48+M48+K48</f>
        <v>0</v>
      </c>
      <c r="T48" s="66" t="e">
        <f t="shared" ref="T48:T65" si="12">S48/H48</f>
        <v>#DIV/0!</v>
      </c>
    </row>
    <row r="49" spans="1:20" s="163" customFormat="1" x14ac:dyDescent="0.25">
      <c r="A49" s="101">
        <v>46</v>
      </c>
      <c r="B49" s="76">
        <f>PIERNA!QP5</f>
        <v>0</v>
      </c>
      <c r="C49" s="159">
        <f>PIERNA!QQ5</f>
        <v>0</v>
      </c>
      <c r="D49" s="187">
        <f>PIERNA!D49</f>
        <v>0</v>
      </c>
      <c r="E49" s="140">
        <f>PIERNA!E49</f>
        <v>0</v>
      </c>
      <c r="F49" s="749">
        <f>PIERNA!F49</f>
        <v>0</v>
      </c>
      <c r="G49" s="101">
        <f>PIERNA!G49</f>
        <v>0</v>
      </c>
      <c r="H49" s="560">
        <f>PIERNA!H49</f>
        <v>0</v>
      </c>
      <c r="I49" s="107">
        <f>PIERNA!I49</f>
        <v>0</v>
      </c>
      <c r="J49" s="299"/>
      <c r="K49" s="300"/>
      <c r="L49" s="301"/>
      <c r="M49" s="529"/>
      <c r="N49" s="303"/>
      <c r="O49" s="617"/>
      <c r="P49" s="304"/>
      <c r="Q49" s="279"/>
      <c r="R49" s="531"/>
      <c r="S49" s="66">
        <f t="shared" ref="S49:S53" si="13">Q49+M49+K49</f>
        <v>0</v>
      </c>
      <c r="T49" s="66" t="e">
        <f t="shared" si="12"/>
        <v>#DIV/0!</v>
      </c>
    </row>
    <row r="50" spans="1:20" s="163" customFormat="1" x14ac:dyDescent="0.25">
      <c r="A50" s="101">
        <v>47</v>
      </c>
      <c r="B50" s="76">
        <f>PIERNA!QY5</f>
        <v>0</v>
      </c>
      <c r="C50" s="159">
        <f>PIERNA!QZ5</f>
        <v>0</v>
      </c>
      <c r="D50" s="187">
        <f>PIERNA!D50</f>
        <v>0</v>
      </c>
      <c r="E50" s="140">
        <f>PIERNA!E50</f>
        <v>0</v>
      </c>
      <c r="F50" s="749">
        <f>PIERNA!F50</f>
        <v>0</v>
      </c>
      <c r="G50" s="101">
        <f>PIERNA!G50</f>
        <v>0</v>
      </c>
      <c r="H50" s="560">
        <f>PIERNA!H50</f>
        <v>0</v>
      </c>
      <c r="I50" s="107">
        <f>PIERNA!I50</f>
        <v>0</v>
      </c>
      <c r="J50" s="299"/>
      <c r="K50" s="300"/>
      <c r="L50" s="301"/>
      <c r="M50" s="529"/>
      <c r="N50" s="303"/>
      <c r="O50" s="617"/>
      <c r="P50" s="304"/>
      <c r="Q50" s="279"/>
      <c r="R50" s="531"/>
      <c r="S50" s="66">
        <f t="shared" si="13"/>
        <v>0</v>
      </c>
      <c r="T50" s="66" t="e">
        <f t="shared" si="12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7">
        <f>PIERNA!D51</f>
        <v>0</v>
      </c>
      <c r="E51" s="140">
        <f>PIERNA!E51</f>
        <v>0</v>
      </c>
      <c r="F51" s="749">
        <f>PIERNA!F51</f>
        <v>0</v>
      </c>
      <c r="G51" s="101">
        <f>PIERNA!G51</f>
        <v>0</v>
      </c>
      <c r="H51" s="560">
        <f>PIERNA!H51</f>
        <v>0</v>
      </c>
      <c r="I51" s="107">
        <f>PIERNA!I51</f>
        <v>0</v>
      </c>
      <c r="J51" s="299"/>
      <c r="K51" s="300"/>
      <c r="L51" s="301"/>
      <c r="M51" s="529"/>
      <c r="N51" s="303"/>
      <c r="O51" s="617"/>
      <c r="P51" s="322"/>
      <c r="Q51" s="279"/>
      <c r="R51" s="531"/>
      <c r="S51" s="66">
        <f t="shared" si="13"/>
        <v>0</v>
      </c>
      <c r="T51" s="66" t="e">
        <f t="shared" si="12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7">
        <f>PIERNA!D52</f>
        <v>0</v>
      </c>
      <c r="E52" s="140">
        <f>PIERNA!E52</f>
        <v>0</v>
      </c>
      <c r="F52" s="749">
        <f>PIERNA!F52</f>
        <v>0</v>
      </c>
      <c r="G52" s="101">
        <f>PIERNA!G52</f>
        <v>0</v>
      </c>
      <c r="H52" s="560">
        <f>PIERNA!H52</f>
        <v>0</v>
      </c>
      <c r="I52" s="107">
        <f>PIERNA!I52</f>
        <v>0</v>
      </c>
      <c r="J52" s="299"/>
      <c r="K52" s="300"/>
      <c r="L52" s="301"/>
      <c r="M52" s="529"/>
      <c r="N52" s="303"/>
      <c r="O52" s="617"/>
      <c r="P52" s="304"/>
      <c r="Q52" s="279"/>
      <c r="R52" s="531"/>
      <c r="S52" s="66">
        <f t="shared" si="13"/>
        <v>0</v>
      </c>
      <c r="T52" s="66" t="e">
        <f t="shared" si="12"/>
        <v>#DIV/0!</v>
      </c>
    </row>
    <row r="53" spans="1:20" s="163" customFormat="1" x14ac:dyDescent="0.25">
      <c r="A53" s="101">
        <v>50</v>
      </c>
      <c r="B53" s="76">
        <f>PIERNA!RZ5</f>
        <v>0</v>
      </c>
      <c r="C53" s="159">
        <f>PIERNA!SA5</f>
        <v>0</v>
      </c>
      <c r="D53" s="187">
        <f>PIERNA!SB5</f>
        <v>0</v>
      </c>
      <c r="E53" s="140">
        <f>PIERNA!SC5</f>
        <v>0</v>
      </c>
      <c r="F53" s="749">
        <f>PIERNA!SD5</f>
        <v>0</v>
      </c>
      <c r="G53" s="101">
        <f>PIERNA!SE5</f>
        <v>0</v>
      </c>
      <c r="H53" s="560">
        <f>PIERNA!SF5</f>
        <v>0</v>
      </c>
      <c r="I53" s="107">
        <f>PIERNA!I53</f>
        <v>0</v>
      </c>
      <c r="J53" s="299"/>
      <c r="K53" s="300"/>
      <c r="L53" s="301"/>
      <c r="M53" s="529"/>
      <c r="N53" s="303"/>
      <c r="O53" s="617"/>
      <c r="P53" s="304"/>
      <c r="Q53" s="279"/>
      <c r="R53" s="531"/>
      <c r="S53" s="66">
        <f t="shared" si="13"/>
        <v>0</v>
      </c>
      <c r="T53" s="66" t="e">
        <f t="shared" si="12"/>
        <v>#DIV/0!</v>
      </c>
    </row>
    <row r="54" spans="1:20" s="163" customFormat="1" x14ac:dyDescent="0.25">
      <c r="A54" s="101">
        <v>51</v>
      </c>
      <c r="B54" s="76">
        <f>PIERNA!SI5</f>
        <v>0</v>
      </c>
      <c r="C54" s="159">
        <f>PIERNA!SJ5</f>
        <v>0</v>
      </c>
      <c r="D54" s="187">
        <f>PIERNA!D53</f>
        <v>0</v>
      </c>
      <c r="E54" s="140">
        <f>PIERNA!E53</f>
        <v>0</v>
      </c>
      <c r="F54" s="749">
        <f>PIERNA!F53</f>
        <v>0</v>
      </c>
      <c r="G54" s="101">
        <f>PIERNA!G53</f>
        <v>0</v>
      </c>
      <c r="H54" s="560">
        <f>PIERNA!H53</f>
        <v>0</v>
      </c>
      <c r="I54" s="107">
        <f>PIERNA!I54</f>
        <v>0</v>
      </c>
      <c r="J54" s="299"/>
      <c r="K54" s="300"/>
      <c r="L54" s="301"/>
      <c r="M54" s="529"/>
      <c r="N54" s="303"/>
      <c r="O54" s="617"/>
      <c r="P54" s="304"/>
      <c r="Q54" s="279"/>
      <c r="R54" s="531"/>
      <c r="S54" s="66">
        <f t="shared" si="10"/>
        <v>0</v>
      </c>
      <c r="T54" s="66" t="e">
        <f t="shared" si="12"/>
        <v>#DIV/0!</v>
      </c>
    </row>
    <row r="55" spans="1:20" s="163" customFormat="1" ht="15.75" x14ac:dyDescent="0.25">
      <c r="A55" s="101">
        <v>52</v>
      </c>
      <c r="B55" s="76">
        <f>PIERNA!SR5</f>
        <v>0</v>
      </c>
      <c r="C55" s="159">
        <f>PIERNA!SS5</f>
        <v>0</v>
      </c>
      <c r="D55" s="244">
        <f>PIERNA!ST5</f>
        <v>0</v>
      </c>
      <c r="E55" s="140">
        <f>PIERNA!SU5</f>
        <v>0</v>
      </c>
      <c r="F55" s="754">
        <f>PIERNA!SV5</f>
        <v>0</v>
      </c>
      <c r="G55" s="101">
        <f>PIERNA!SW5</f>
        <v>0</v>
      </c>
      <c r="H55" s="560">
        <f>PIERNA!SX5</f>
        <v>0</v>
      </c>
      <c r="I55" s="107">
        <f>PIERNA!I55</f>
        <v>0</v>
      </c>
      <c r="J55" s="299"/>
      <c r="K55" s="300"/>
      <c r="L55" s="301"/>
      <c r="M55" s="529"/>
      <c r="N55" s="303"/>
      <c r="O55" s="617"/>
      <c r="P55" s="304"/>
      <c r="Q55" s="279"/>
      <c r="R55" s="531"/>
      <c r="S55" s="66">
        <f t="shared" si="10"/>
        <v>0</v>
      </c>
      <c r="T55" s="66" t="e">
        <f t="shared" si="12"/>
        <v>#DIV/0!</v>
      </c>
    </row>
    <row r="56" spans="1:20" s="163" customFormat="1" x14ac:dyDescent="0.25">
      <c r="A56" s="101">
        <v>53</v>
      </c>
      <c r="B56" s="76">
        <f>PIERNA!TA5</f>
        <v>0</v>
      </c>
      <c r="C56" s="159">
        <f>PIERNA!TB5</f>
        <v>0</v>
      </c>
      <c r="D56" s="187">
        <f>PIERNA!TC5</f>
        <v>0</v>
      </c>
      <c r="E56" s="140">
        <f>PIERNA!TD5</f>
        <v>0</v>
      </c>
      <c r="F56" s="749">
        <f>PIERNA!TE5</f>
        <v>0</v>
      </c>
      <c r="G56" s="101">
        <f>PIERNA!TF5</f>
        <v>0</v>
      </c>
      <c r="H56" s="560">
        <f>PIERNA!TG5</f>
        <v>0</v>
      </c>
      <c r="I56" s="107">
        <f>PIERNA!I56</f>
        <v>0</v>
      </c>
      <c r="J56" s="299"/>
      <c r="K56" s="300"/>
      <c r="L56" s="513"/>
      <c r="M56" s="529"/>
      <c r="N56" s="303"/>
      <c r="O56" s="617"/>
      <c r="P56" s="304"/>
      <c r="Q56" s="279"/>
      <c r="R56" s="531"/>
      <c r="S56" s="66">
        <f t="shared" si="10"/>
        <v>0</v>
      </c>
      <c r="T56" s="66" t="e">
        <f t="shared" si="12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7">
        <f>PIERNA!D57</f>
        <v>0</v>
      </c>
      <c r="E57" s="140">
        <f>PIERNA!E57</f>
        <v>0</v>
      </c>
      <c r="F57" s="749">
        <f>PIERNA!F57</f>
        <v>0</v>
      </c>
      <c r="G57" s="176">
        <f>PIERNA!G57</f>
        <v>0</v>
      </c>
      <c r="H57" s="560">
        <f>PIERNA!H57</f>
        <v>0</v>
      </c>
      <c r="I57" s="107">
        <f>PIERNA!I57</f>
        <v>0</v>
      </c>
      <c r="J57" s="299"/>
      <c r="K57" s="300"/>
      <c r="L57" s="513"/>
      <c r="M57" s="529"/>
      <c r="N57" s="303"/>
      <c r="O57" s="617"/>
      <c r="P57" s="304"/>
      <c r="Q57" s="279"/>
      <c r="R57" s="531"/>
      <c r="S57" s="66">
        <f t="shared" si="10"/>
        <v>0</v>
      </c>
      <c r="T57" s="66" t="e">
        <f t="shared" si="12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7">
        <f>PIERNA!D58</f>
        <v>0</v>
      </c>
      <c r="E58" s="140">
        <f>PIERNA!E58</f>
        <v>0</v>
      </c>
      <c r="F58" s="749">
        <f>PIERNA!F58</f>
        <v>0</v>
      </c>
      <c r="G58" s="101">
        <f>PIERNA!G58</f>
        <v>0</v>
      </c>
      <c r="H58" s="560">
        <f>PIERNA!H58</f>
        <v>0</v>
      </c>
      <c r="I58" s="107">
        <f>PIERNA!I58</f>
        <v>0</v>
      </c>
      <c r="J58" s="299"/>
      <c r="K58" s="300"/>
      <c r="L58" s="513"/>
      <c r="M58" s="529"/>
      <c r="N58" s="303"/>
      <c r="O58" s="617"/>
      <c r="P58" s="304"/>
      <c r="Q58" s="279"/>
      <c r="R58" s="531"/>
      <c r="S58" s="66">
        <f t="shared" si="10"/>
        <v>0</v>
      </c>
      <c r="T58" s="66" t="e">
        <f t="shared" si="12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7">
        <f>PIERNA!D59</f>
        <v>0</v>
      </c>
      <c r="E59" s="140">
        <f>PIERNA!E59</f>
        <v>0</v>
      </c>
      <c r="F59" s="749">
        <f>PIERNA!F59</f>
        <v>0</v>
      </c>
      <c r="G59" s="101">
        <f>PIERNA!G59</f>
        <v>0</v>
      </c>
      <c r="H59" s="560">
        <f>PIERNA!H59</f>
        <v>0</v>
      </c>
      <c r="I59" s="107">
        <f>PIERNA!I59</f>
        <v>0</v>
      </c>
      <c r="J59" s="299"/>
      <c r="K59" s="300"/>
      <c r="L59" s="513"/>
      <c r="M59" s="529"/>
      <c r="N59" s="303"/>
      <c r="O59" s="617"/>
      <c r="P59" s="304"/>
      <c r="Q59" s="279"/>
      <c r="R59" s="531"/>
      <c r="S59" s="66">
        <f t="shared" si="10"/>
        <v>0</v>
      </c>
      <c r="T59" s="66" t="e">
        <f t="shared" si="12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PIERNA!UL5</f>
        <v>0</v>
      </c>
      <c r="D60" s="187">
        <f>PIERNA!D60</f>
        <v>0</v>
      </c>
      <c r="E60" s="140">
        <f>PIERNA!E60</f>
        <v>0</v>
      </c>
      <c r="F60" s="749">
        <f>PIERNA!F60</f>
        <v>0</v>
      </c>
      <c r="G60" s="101">
        <f>PIERNA!G60</f>
        <v>0</v>
      </c>
      <c r="H60" s="560">
        <f>PIERNA!H60</f>
        <v>0</v>
      </c>
      <c r="I60" s="107">
        <f>PIERNA!I60</f>
        <v>0</v>
      </c>
      <c r="J60" s="299"/>
      <c r="K60" s="270"/>
      <c r="L60" s="680"/>
      <c r="M60" s="529"/>
      <c r="N60" s="303"/>
      <c r="O60" s="617"/>
      <c r="P60" s="304"/>
      <c r="Q60" s="279"/>
      <c r="R60" s="531"/>
      <c r="S60" s="66">
        <f>Q60+M60+L60</f>
        <v>0</v>
      </c>
      <c r="T60" s="66" t="e">
        <f t="shared" si="12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7">
        <f>PIERNA!D61</f>
        <v>0</v>
      </c>
      <c r="E61" s="140">
        <f>PIERNA!E61</f>
        <v>0</v>
      </c>
      <c r="F61" s="749">
        <f>PIERNA!F61</f>
        <v>0</v>
      </c>
      <c r="G61" s="101">
        <f>PIERNA!G61</f>
        <v>0</v>
      </c>
      <c r="H61" s="560">
        <f>PIERNA!H61</f>
        <v>0</v>
      </c>
      <c r="I61" s="107">
        <f>PIERNA!I61</f>
        <v>0</v>
      </c>
      <c r="J61" s="299"/>
      <c r="K61" s="300"/>
      <c r="L61" s="513"/>
      <c r="M61" s="529"/>
      <c r="N61" s="303"/>
      <c r="O61" s="617"/>
      <c r="P61" s="304"/>
      <c r="Q61" s="279"/>
      <c r="R61" s="531"/>
      <c r="S61" s="66">
        <f t="shared" ref="S61:S71" si="14">Q61+M61+K61</f>
        <v>0</v>
      </c>
      <c r="T61" s="66" t="e">
        <f t="shared" si="12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7">
        <f>PIERNA!D62</f>
        <v>0</v>
      </c>
      <c r="E62" s="140">
        <f>PIERNA!F62</f>
        <v>0</v>
      </c>
      <c r="F62" s="749">
        <f>PIERNA!F62</f>
        <v>0</v>
      </c>
      <c r="G62" s="173">
        <f>PIERNA!G62</f>
        <v>0</v>
      </c>
      <c r="H62" s="560">
        <f>PIERNA!H62</f>
        <v>0</v>
      </c>
      <c r="I62" s="107">
        <f>PIERNA!I62</f>
        <v>0</v>
      </c>
      <c r="J62" s="299"/>
      <c r="K62" s="300"/>
      <c r="L62" s="513"/>
      <c r="M62" s="529"/>
      <c r="N62" s="303"/>
      <c r="O62" s="617"/>
      <c r="P62" s="304"/>
      <c r="Q62" s="279"/>
      <c r="R62" s="531"/>
      <c r="S62" s="66">
        <f t="shared" si="14"/>
        <v>0</v>
      </c>
      <c r="T62" s="66" t="e">
        <f t="shared" si="12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7">
        <f>PIERNA!D62</f>
        <v>0</v>
      </c>
      <c r="E63" s="140">
        <f>PIERNA!E63</f>
        <v>0</v>
      </c>
      <c r="F63" s="749">
        <f>PIERNA!F63</f>
        <v>0</v>
      </c>
      <c r="G63" s="173">
        <f>PIERNA!G63</f>
        <v>0</v>
      </c>
      <c r="H63" s="560">
        <f>PIERNA!H63</f>
        <v>0</v>
      </c>
      <c r="I63" s="107">
        <f>PIERNA!I63</f>
        <v>0</v>
      </c>
      <c r="J63" s="299"/>
      <c r="K63" s="300"/>
      <c r="L63" s="513"/>
      <c r="M63" s="529"/>
      <c r="N63" s="303"/>
      <c r="O63" s="617"/>
      <c r="P63" s="304"/>
      <c r="Q63" s="279"/>
      <c r="R63" s="531"/>
      <c r="S63" s="66">
        <f t="shared" si="14"/>
        <v>0</v>
      </c>
      <c r="T63" s="66" t="e">
        <f t="shared" si="12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7">
        <f>PIERNA!D64</f>
        <v>0</v>
      </c>
      <c r="E64" s="140">
        <f>PIERNA!E64</f>
        <v>0</v>
      </c>
      <c r="F64" s="749">
        <f>PIERNA!F64</f>
        <v>0</v>
      </c>
      <c r="G64" s="173">
        <f>PIERNA!G64</f>
        <v>0</v>
      </c>
      <c r="H64" s="560">
        <f>PIERNA!H64</f>
        <v>0</v>
      </c>
      <c r="I64" s="107">
        <f>PIERNA!I64</f>
        <v>0</v>
      </c>
      <c r="J64" s="299"/>
      <c r="K64" s="300"/>
      <c r="L64" s="513"/>
      <c r="M64" s="529"/>
      <c r="N64" s="303"/>
      <c r="O64" s="617"/>
      <c r="P64" s="304"/>
      <c r="Q64" s="279"/>
      <c r="R64" s="531"/>
      <c r="S64" s="66">
        <f t="shared" si="14"/>
        <v>0</v>
      </c>
      <c r="T64" s="66" t="e">
        <f t="shared" si="12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7">
        <f>PIERNA!D65</f>
        <v>0</v>
      </c>
      <c r="E65" s="140">
        <f>PIERNA!E65</f>
        <v>0</v>
      </c>
      <c r="F65" s="749">
        <f>PIERNA!F65</f>
        <v>0</v>
      </c>
      <c r="G65" s="173">
        <f>PIERNA!G65</f>
        <v>0</v>
      </c>
      <c r="H65" s="560">
        <f>PIERNA!H65</f>
        <v>0</v>
      </c>
      <c r="I65" s="107">
        <f>PIERNA!I65</f>
        <v>0</v>
      </c>
      <c r="J65" s="299"/>
      <c r="K65" s="300"/>
      <c r="L65" s="513"/>
      <c r="M65" s="529"/>
      <c r="N65" s="303"/>
      <c r="O65" s="617"/>
      <c r="P65" s="304"/>
      <c r="Q65" s="279"/>
      <c r="R65" s="531"/>
      <c r="S65" s="66">
        <f t="shared" si="14"/>
        <v>0</v>
      </c>
      <c r="T65" s="66" t="e">
        <f t="shared" si="12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7">
        <f>PIERNA!D61</f>
        <v>0</v>
      </c>
      <c r="E66" s="140">
        <f>PIERNA!E61</f>
        <v>0</v>
      </c>
      <c r="F66" s="749">
        <f>PIERNA!F61</f>
        <v>0</v>
      </c>
      <c r="G66" s="173">
        <f>PIERNA!G61</f>
        <v>0</v>
      </c>
      <c r="H66" s="560">
        <f>PIERNA!H61</f>
        <v>0</v>
      </c>
      <c r="I66" s="107">
        <f>PIERNA!I66</f>
        <v>0</v>
      </c>
      <c r="J66" s="299"/>
      <c r="K66" s="300"/>
      <c r="L66" s="513"/>
      <c r="M66" s="514"/>
      <c r="N66" s="321"/>
      <c r="O66" s="619"/>
      <c r="P66" s="304"/>
      <c r="Q66" s="279"/>
      <c r="R66" s="531"/>
      <c r="S66" s="66">
        <f t="shared" si="14"/>
        <v>0</v>
      </c>
      <c r="T66" s="66" t="e">
        <f t="shared" si="11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7">
        <f>PIERNA!D62</f>
        <v>0</v>
      </c>
      <c r="E67" s="140">
        <f>PIERNA!E62</f>
        <v>0</v>
      </c>
      <c r="F67" s="749">
        <f>PIERNA!F62</f>
        <v>0</v>
      </c>
      <c r="G67" s="173">
        <f>PIERNA!G62</f>
        <v>0</v>
      </c>
      <c r="H67" s="560">
        <f>PIERNA!H62</f>
        <v>0</v>
      </c>
      <c r="I67" s="107">
        <f>PIERNA!I67</f>
        <v>0</v>
      </c>
      <c r="J67" s="299"/>
      <c r="K67" s="300"/>
      <c r="L67" s="307"/>
      <c r="M67" s="305"/>
      <c r="N67" s="321"/>
      <c r="O67" s="619"/>
      <c r="P67" s="304"/>
      <c r="Q67" s="279"/>
      <c r="R67" s="531"/>
      <c r="S67" s="66">
        <f t="shared" si="14"/>
        <v>0</v>
      </c>
      <c r="T67" s="66" t="e">
        <f t="shared" si="11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49">
        <f>PIERNA!F63</f>
        <v>0</v>
      </c>
      <c r="G68" s="173">
        <f>PIERNA!G63</f>
        <v>0</v>
      </c>
      <c r="H68" s="560">
        <f>PIERNA!H63</f>
        <v>0</v>
      </c>
      <c r="I68" s="107">
        <f>PIERNA!I68</f>
        <v>0</v>
      </c>
      <c r="J68" s="299"/>
      <c r="K68" s="300"/>
      <c r="L68" s="307"/>
      <c r="M68" s="305"/>
      <c r="N68" s="321"/>
      <c r="O68" s="619"/>
      <c r="P68" s="304"/>
      <c r="Q68" s="279"/>
      <c r="R68" s="531"/>
      <c r="S68" s="66">
        <f t="shared" si="14"/>
        <v>0</v>
      </c>
      <c r="T68" s="66" t="e">
        <f t="shared" si="11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49">
        <f>PIERNA!F64</f>
        <v>0</v>
      </c>
      <c r="G69" s="173">
        <f>PIERNA!G64</f>
        <v>0</v>
      </c>
      <c r="H69" s="560">
        <f>PIERNA!H64</f>
        <v>0</v>
      </c>
      <c r="I69" s="107">
        <f>PIERNA!I69</f>
        <v>0</v>
      </c>
      <c r="J69" s="299"/>
      <c r="K69" s="300"/>
      <c r="L69" s="307"/>
      <c r="M69" s="305"/>
      <c r="N69" s="321"/>
      <c r="O69" s="619"/>
      <c r="P69" s="304"/>
      <c r="Q69" s="279"/>
      <c r="R69" s="531"/>
      <c r="S69" s="66">
        <f t="shared" si="14"/>
        <v>0</v>
      </c>
      <c r="T69" s="66" t="e">
        <f t="shared" si="11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49">
        <f>PIERNA!F65</f>
        <v>0</v>
      </c>
      <c r="G70" s="173">
        <f>PIERNA!G65</f>
        <v>0</v>
      </c>
      <c r="H70" s="560">
        <f>PIERNA!H65</f>
        <v>0</v>
      </c>
      <c r="I70" s="107">
        <f>PIERNA!I70</f>
        <v>0</v>
      </c>
      <c r="J70" s="515"/>
      <c r="K70" s="300"/>
      <c r="L70" s="307"/>
      <c r="M70" s="305"/>
      <c r="N70" s="303"/>
      <c r="O70" s="281"/>
      <c r="P70" s="304"/>
      <c r="Q70" s="279"/>
      <c r="R70" s="531"/>
      <c r="S70" s="66">
        <f t="shared" si="14"/>
        <v>0</v>
      </c>
      <c r="T70" s="66" t="e">
        <f t="shared" si="11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49">
        <f>PIERNA!F66</f>
        <v>0</v>
      </c>
      <c r="G71" s="173">
        <f>PIERNA!G66</f>
        <v>0</v>
      </c>
      <c r="H71" s="560">
        <f>PIERNA!H66</f>
        <v>0</v>
      </c>
      <c r="I71" s="107">
        <f>PIERNA!I71</f>
        <v>0</v>
      </c>
      <c r="J71" s="515"/>
      <c r="K71" s="300"/>
      <c r="L71" s="307"/>
      <c r="M71" s="305"/>
      <c r="N71" s="303"/>
      <c r="O71" s="281"/>
      <c r="P71" s="304"/>
      <c r="Q71" s="279"/>
      <c r="R71" s="531"/>
      <c r="S71" s="66">
        <f t="shared" si="14"/>
        <v>0</v>
      </c>
      <c r="T71" s="66" t="e">
        <f t="shared" si="11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49">
        <f>PIERNA!F67</f>
        <v>0</v>
      </c>
      <c r="G72" s="173">
        <f>PIERNA!G67</f>
        <v>0</v>
      </c>
      <c r="H72" s="560">
        <f>PIERNA!H67</f>
        <v>0</v>
      </c>
      <c r="I72" s="107">
        <f>PIERNA!I72</f>
        <v>0</v>
      </c>
      <c r="J72" s="515"/>
      <c r="K72" s="300"/>
      <c r="L72" s="307"/>
      <c r="M72" s="305"/>
      <c r="N72" s="303"/>
      <c r="O72" s="281"/>
      <c r="P72" s="304"/>
      <c r="Q72" s="279"/>
      <c r="R72" s="531"/>
      <c r="S72" s="66">
        <f t="shared" ref="S72:S137" si="15">Q72+M72+K72</f>
        <v>0</v>
      </c>
      <c r="T72" s="66" t="e">
        <f t="shared" ref="T72:T95" si="16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49">
        <f>PIERNA!F68</f>
        <v>0</v>
      </c>
      <c r="G73" s="173">
        <f>PIERNA!G68</f>
        <v>0</v>
      </c>
      <c r="H73" s="560">
        <f>PIERNA!H68</f>
        <v>0</v>
      </c>
      <c r="I73" s="107">
        <f>PIERNA!I73</f>
        <v>0</v>
      </c>
      <c r="J73" s="515"/>
      <c r="K73" s="300"/>
      <c r="L73" s="307"/>
      <c r="M73" s="305"/>
      <c r="N73" s="303"/>
      <c r="O73" s="281"/>
      <c r="P73" s="304"/>
      <c r="Q73" s="279"/>
      <c r="R73" s="531"/>
      <c r="S73" s="66">
        <f t="shared" si="15"/>
        <v>0</v>
      </c>
      <c r="T73" s="66" t="e">
        <f t="shared" si="16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49">
        <f>PIERNA!F69</f>
        <v>0</v>
      </c>
      <c r="G74" s="173">
        <f>PIERNA!G69</f>
        <v>0</v>
      </c>
      <c r="H74" s="560">
        <f>PIERNA!H69</f>
        <v>0</v>
      </c>
      <c r="I74" s="107">
        <f>PIERNA!I74</f>
        <v>0</v>
      </c>
      <c r="J74" s="515"/>
      <c r="K74" s="300"/>
      <c r="L74" s="307"/>
      <c r="M74" s="305"/>
      <c r="N74" s="303"/>
      <c r="O74" s="281"/>
      <c r="P74" s="304"/>
      <c r="Q74" s="279"/>
      <c r="R74" s="531"/>
      <c r="S74" s="66">
        <f t="shared" si="15"/>
        <v>0</v>
      </c>
      <c r="T74" s="66" t="e">
        <f t="shared" si="16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49">
        <f>PIERNA!F70</f>
        <v>0</v>
      </c>
      <c r="G75" s="173">
        <f>PIERNA!G70</f>
        <v>0</v>
      </c>
      <c r="H75" s="560">
        <f>PIERNA!H70</f>
        <v>0</v>
      </c>
      <c r="I75" s="107">
        <f>PIERNA!I75</f>
        <v>0</v>
      </c>
      <c r="J75" s="515"/>
      <c r="K75" s="300"/>
      <c r="L75" s="307"/>
      <c r="M75" s="305"/>
      <c r="N75" s="303"/>
      <c r="O75" s="281"/>
      <c r="P75" s="304"/>
      <c r="Q75" s="279"/>
      <c r="R75" s="531"/>
      <c r="S75" s="66">
        <f t="shared" si="15"/>
        <v>0</v>
      </c>
      <c r="T75" s="66" t="e">
        <f t="shared" si="16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49">
        <f>PIERNA!F71</f>
        <v>0</v>
      </c>
      <c r="G76" s="173">
        <f>PIERNA!G71</f>
        <v>0</v>
      </c>
      <c r="H76" s="560">
        <f>PIERNA!H71</f>
        <v>0</v>
      </c>
      <c r="I76" s="107">
        <f>PIERNA!I76</f>
        <v>0</v>
      </c>
      <c r="J76" s="515"/>
      <c r="K76" s="300"/>
      <c r="L76" s="307"/>
      <c r="M76" s="305"/>
      <c r="N76" s="303"/>
      <c r="O76" s="281"/>
      <c r="P76" s="304"/>
      <c r="Q76" s="279"/>
      <c r="R76" s="531"/>
      <c r="S76" s="66">
        <f t="shared" si="15"/>
        <v>0</v>
      </c>
      <c r="T76" s="66" t="e">
        <f t="shared" si="16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49">
        <f>PIERNA!F72</f>
        <v>0</v>
      </c>
      <c r="G77" s="173">
        <f>PIERNA!G72</f>
        <v>0</v>
      </c>
      <c r="H77" s="560">
        <f>PIERNA!H72</f>
        <v>0</v>
      </c>
      <c r="I77" s="107">
        <f>PIERNA!I77</f>
        <v>0</v>
      </c>
      <c r="J77" s="515"/>
      <c r="K77" s="300"/>
      <c r="L77" s="307"/>
      <c r="M77" s="305"/>
      <c r="N77" s="303"/>
      <c r="O77" s="281"/>
      <c r="P77" s="304"/>
      <c r="Q77" s="279"/>
      <c r="R77" s="531"/>
      <c r="S77" s="66">
        <f t="shared" si="15"/>
        <v>0</v>
      </c>
      <c r="T77" s="66" t="e">
        <f t="shared" si="16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49">
        <f>PIERNA!F73</f>
        <v>0</v>
      </c>
      <c r="G78" s="173">
        <f>PIERNA!G73</f>
        <v>0</v>
      </c>
      <c r="H78" s="560">
        <f>PIERNA!H73</f>
        <v>0</v>
      </c>
      <c r="I78" s="107">
        <f>PIERNA!I78</f>
        <v>0</v>
      </c>
      <c r="J78" s="515"/>
      <c r="K78" s="300"/>
      <c r="L78" s="307"/>
      <c r="M78" s="305"/>
      <c r="N78" s="303"/>
      <c r="O78" s="281"/>
      <c r="P78" s="304"/>
      <c r="Q78" s="279"/>
      <c r="R78" s="531"/>
      <c r="S78" s="66">
        <f t="shared" si="15"/>
        <v>0</v>
      </c>
      <c r="T78" s="66" t="e">
        <f t="shared" si="16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49">
        <f>PIERNA!F74</f>
        <v>0</v>
      </c>
      <c r="G79" s="173">
        <f>PIERNA!G74</f>
        <v>0</v>
      </c>
      <c r="H79" s="560">
        <f>PIERNA!H74</f>
        <v>0</v>
      </c>
      <c r="I79" s="107">
        <f>PIERNA!I79</f>
        <v>0</v>
      </c>
      <c r="J79" s="515"/>
      <c r="K79" s="300"/>
      <c r="L79" s="307"/>
      <c r="M79" s="305"/>
      <c r="N79" s="303"/>
      <c r="O79" s="281"/>
      <c r="P79" s="304"/>
      <c r="Q79" s="279"/>
      <c r="R79" s="531"/>
      <c r="S79" s="66">
        <f t="shared" si="15"/>
        <v>0</v>
      </c>
      <c r="T79" s="66" t="e">
        <f t="shared" si="16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49">
        <f>PIERNA!F75</f>
        <v>0</v>
      </c>
      <c r="G80" s="173">
        <f>PIERNA!G75</f>
        <v>0</v>
      </c>
      <c r="H80" s="560">
        <f>PIERNA!H75</f>
        <v>0</v>
      </c>
      <c r="I80" s="107">
        <f>PIERNA!I80</f>
        <v>0</v>
      </c>
      <c r="J80" s="515"/>
      <c r="K80" s="300"/>
      <c r="L80" s="307"/>
      <c r="M80" s="305"/>
      <c r="N80" s="303"/>
      <c r="O80" s="281"/>
      <c r="P80" s="304"/>
      <c r="Q80" s="279"/>
      <c r="R80" s="531"/>
      <c r="S80" s="66">
        <f t="shared" si="15"/>
        <v>0</v>
      </c>
      <c r="T80" s="66" t="e">
        <f t="shared" si="16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49">
        <f>PIERNA!F76</f>
        <v>0</v>
      </c>
      <c r="G81" s="173">
        <f>PIERNA!G76</f>
        <v>0</v>
      </c>
      <c r="H81" s="560">
        <f>PIERNA!H76</f>
        <v>0</v>
      </c>
      <c r="I81" s="107">
        <f>PIERNA!I81</f>
        <v>0</v>
      </c>
      <c r="J81" s="515"/>
      <c r="K81" s="300"/>
      <c r="L81" s="307"/>
      <c r="M81" s="305"/>
      <c r="N81" s="303"/>
      <c r="O81" s="281"/>
      <c r="P81" s="304"/>
      <c r="Q81" s="279"/>
      <c r="R81" s="531"/>
      <c r="S81" s="66">
        <f t="shared" si="15"/>
        <v>0</v>
      </c>
      <c r="T81" s="66" t="e">
        <f t="shared" si="16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49">
        <f>PIERNA!F77</f>
        <v>0</v>
      </c>
      <c r="G82" s="173">
        <f>PIERNA!G77</f>
        <v>0</v>
      </c>
      <c r="H82" s="560">
        <f>PIERNA!H77</f>
        <v>0</v>
      </c>
      <c r="I82" s="107">
        <f>PIERNA!I82</f>
        <v>0</v>
      </c>
      <c r="J82" s="515"/>
      <c r="K82" s="300"/>
      <c r="L82" s="307"/>
      <c r="M82" s="305"/>
      <c r="N82" s="303"/>
      <c r="O82" s="281"/>
      <c r="P82" s="304"/>
      <c r="Q82" s="279"/>
      <c r="R82" s="531"/>
      <c r="S82" s="66">
        <f t="shared" si="15"/>
        <v>0</v>
      </c>
      <c r="T82" s="66" t="e">
        <f t="shared" si="16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49">
        <f>PIERNA!F78</f>
        <v>0</v>
      </c>
      <c r="G83" s="173">
        <f>PIERNA!G78</f>
        <v>0</v>
      </c>
      <c r="H83" s="560">
        <f>PIERNA!H78</f>
        <v>0</v>
      </c>
      <c r="I83" s="107">
        <f>PIERNA!I83</f>
        <v>0</v>
      </c>
      <c r="J83" s="515"/>
      <c r="K83" s="300"/>
      <c r="L83" s="307"/>
      <c r="M83" s="305"/>
      <c r="N83" s="303"/>
      <c r="O83" s="281"/>
      <c r="P83" s="304"/>
      <c r="Q83" s="279"/>
      <c r="R83" s="531"/>
      <c r="S83" s="66">
        <f t="shared" si="15"/>
        <v>0</v>
      </c>
      <c r="T83" s="66" t="e">
        <f t="shared" si="16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49">
        <f>PIERNA!F79</f>
        <v>0</v>
      </c>
      <c r="G84" s="173">
        <f>PIERNA!G79</f>
        <v>0</v>
      </c>
      <c r="H84" s="560">
        <f>PIERNA!H79</f>
        <v>0</v>
      </c>
      <c r="I84" s="107">
        <f>PIERNA!I84</f>
        <v>0</v>
      </c>
      <c r="J84" s="515"/>
      <c r="K84" s="300"/>
      <c r="L84" s="307"/>
      <c r="M84" s="305"/>
      <c r="N84" s="303"/>
      <c r="O84" s="281"/>
      <c r="P84" s="304"/>
      <c r="Q84" s="279"/>
      <c r="R84" s="531"/>
      <c r="S84" s="66">
        <f t="shared" si="15"/>
        <v>0</v>
      </c>
      <c r="T84" s="66" t="e">
        <f t="shared" si="16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49">
        <f>PIERNA!F80</f>
        <v>0</v>
      </c>
      <c r="G85" s="173">
        <f>PIERNA!G80</f>
        <v>0</v>
      </c>
      <c r="H85" s="560">
        <f>PIERNA!H80</f>
        <v>0</v>
      </c>
      <c r="I85" s="107">
        <f>PIERNA!I85</f>
        <v>0</v>
      </c>
      <c r="J85" s="515"/>
      <c r="K85" s="300"/>
      <c r="L85" s="307"/>
      <c r="M85" s="305"/>
      <c r="N85" s="303"/>
      <c r="O85" s="281"/>
      <c r="P85" s="304"/>
      <c r="Q85" s="279"/>
      <c r="R85" s="531"/>
      <c r="S85" s="66">
        <f t="shared" si="15"/>
        <v>0</v>
      </c>
      <c r="T85" s="66" t="e">
        <f t="shared" si="16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49">
        <f>PIERNA!F81</f>
        <v>0</v>
      </c>
      <c r="G86" s="173">
        <f>PIERNA!G81</f>
        <v>0</v>
      </c>
      <c r="H86" s="560">
        <f>PIERNA!H81</f>
        <v>0</v>
      </c>
      <c r="I86" s="107">
        <f>PIERNA!I86</f>
        <v>0</v>
      </c>
      <c r="J86" s="515"/>
      <c r="K86" s="300"/>
      <c r="L86" s="307"/>
      <c r="M86" s="305"/>
      <c r="N86" s="303"/>
      <c r="O86" s="281"/>
      <c r="P86" s="304"/>
      <c r="Q86" s="279"/>
      <c r="R86" s="531"/>
      <c r="S86" s="66">
        <f t="shared" si="15"/>
        <v>0</v>
      </c>
      <c r="T86" s="66" t="e">
        <f t="shared" si="16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49">
        <f>PIERNA!F82</f>
        <v>0</v>
      </c>
      <c r="G87" s="173">
        <f>PIERNA!G82</f>
        <v>0</v>
      </c>
      <c r="H87" s="560">
        <f>PIERNA!H82</f>
        <v>0</v>
      </c>
      <c r="I87" s="107">
        <f>PIERNA!I87</f>
        <v>0</v>
      </c>
      <c r="J87" s="515"/>
      <c r="K87" s="300"/>
      <c r="L87" s="307"/>
      <c r="M87" s="305"/>
      <c r="N87" s="303"/>
      <c r="O87" s="281"/>
      <c r="P87" s="304"/>
      <c r="Q87" s="279"/>
      <c r="R87" s="531"/>
      <c r="S87" s="66">
        <f t="shared" si="15"/>
        <v>0</v>
      </c>
      <c r="T87" s="66" t="e">
        <f t="shared" si="16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49">
        <f>PIERNA!F83</f>
        <v>0</v>
      </c>
      <c r="G88" s="173">
        <f>PIERNA!G83</f>
        <v>0</v>
      </c>
      <c r="H88" s="560">
        <f>PIERNA!H83</f>
        <v>0</v>
      </c>
      <c r="I88" s="107">
        <f>PIERNA!I88</f>
        <v>0</v>
      </c>
      <c r="J88" s="515"/>
      <c r="K88" s="300"/>
      <c r="L88" s="307"/>
      <c r="M88" s="305"/>
      <c r="N88" s="303"/>
      <c r="O88" s="281"/>
      <c r="P88" s="304"/>
      <c r="Q88" s="279"/>
      <c r="R88" s="531"/>
      <c r="S88" s="66">
        <f t="shared" si="15"/>
        <v>0</v>
      </c>
      <c r="T88" s="66" t="e">
        <f t="shared" si="16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49">
        <f>PIERNA!F84</f>
        <v>0</v>
      </c>
      <c r="G89" s="173">
        <f>PIERNA!G84</f>
        <v>0</v>
      </c>
      <c r="H89" s="560">
        <f>PIERNA!H84</f>
        <v>0</v>
      </c>
      <c r="I89" s="107">
        <f>PIERNA!I89</f>
        <v>0</v>
      </c>
      <c r="J89" s="515"/>
      <c r="K89" s="300"/>
      <c r="L89" s="307"/>
      <c r="M89" s="305"/>
      <c r="N89" s="303"/>
      <c r="O89" s="281"/>
      <c r="P89" s="304"/>
      <c r="Q89" s="279"/>
      <c r="R89" s="531"/>
      <c r="S89" s="66">
        <f t="shared" si="15"/>
        <v>0</v>
      </c>
      <c r="T89" s="66" t="e">
        <f t="shared" si="16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49">
        <f>PIERNA!F85</f>
        <v>0</v>
      </c>
      <c r="G90" s="173">
        <f>PIERNA!G85</f>
        <v>0</v>
      </c>
      <c r="H90" s="560">
        <f>PIERNA!H85</f>
        <v>0</v>
      </c>
      <c r="I90" s="107">
        <f>PIERNA!I90</f>
        <v>0</v>
      </c>
      <c r="J90" s="515"/>
      <c r="K90" s="300"/>
      <c r="L90" s="307"/>
      <c r="M90" s="305"/>
      <c r="N90" s="303"/>
      <c r="O90" s="281"/>
      <c r="P90" s="304"/>
      <c r="Q90" s="279"/>
      <c r="R90" s="531"/>
      <c r="S90" s="66">
        <f t="shared" si="15"/>
        <v>0</v>
      </c>
      <c r="T90" s="66" t="e">
        <f t="shared" si="16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49">
        <f>PIERNA!F86</f>
        <v>0</v>
      </c>
      <c r="G91" s="173">
        <f>PIERNA!G86</f>
        <v>0</v>
      </c>
      <c r="H91" s="560">
        <f>PIERNA!H86</f>
        <v>0</v>
      </c>
      <c r="I91" s="107">
        <f>PIERNA!I91</f>
        <v>0</v>
      </c>
      <c r="J91" s="515"/>
      <c r="K91" s="300"/>
      <c r="L91" s="307"/>
      <c r="M91" s="305"/>
      <c r="N91" s="303"/>
      <c r="O91" s="281"/>
      <c r="P91" s="304"/>
      <c r="Q91" s="279"/>
      <c r="R91" s="531"/>
      <c r="S91" s="66">
        <f t="shared" si="15"/>
        <v>0</v>
      </c>
      <c r="T91" s="66" t="e">
        <f t="shared" si="16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49">
        <f>PIERNA!F87</f>
        <v>0</v>
      </c>
      <c r="G92" s="173">
        <f>PIERNA!G87</f>
        <v>0</v>
      </c>
      <c r="H92" s="560">
        <f>PIERNA!H87</f>
        <v>0</v>
      </c>
      <c r="I92" s="107">
        <f>PIERNA!I92</f>
        <v>0</v>
      </c>
      <c r="J92" s="515"/>
      <c r="K92" s="300"/>
      <c r="L92" s="307"/>
      <c r="M92" s="305"/>
      <c r="N92" s="303"/>
      <c r="O92" s="281"/>
      <c r="P92" s="304"/>
      <c r="Q92" s="279"/>
      <c r="R92" s="531"/>
      <c r="S92" s="66">
        <f t="shared" si="15"/>
        <v>0</v>
      </c>
      <c r="T92" s="66" t="e">
        <f t="shared" si="16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49">
        <f>PIERNA!F88</f>
        <v>0</v>
      </c>
      <c r="G93" s="173">
        <f>PIERNA!G88</f>
        <v>0</v>
      </c>
      <c r="H93" s="560">
        <f>PIERNA!H88</f>
        <v>0</v>
      </c>
      <c r="I93" s="107">
        <f>PIERNA!I93</f>
        <v>0</v>
      </c>
      <c r="J93" s="515"/>
      <c r="K93" s="300"/>
      <c r="L93" s="307"/>
      <c r="M93" s="305"/>
      <c r="N93" s="303"/>
      <c r="O93" s="281"/>
      <c r="P93" s="304"/>
      <c r="Q93" s="279"/>
      <c r="R93" s="531"/>
      <c r="S93" s="66">
        <f t="shared" si="15"/>
        <v>0</v>
      </c>
      <c r="T93" s="66" t="e">
        <f t="shared" si="16"/>
        <v>#DIV/0!</v>
      </c>
    </row>
    <row r="94" spans="1:20" s="163" customFormat="1" ht="15.75" x14ac:dyDescent="0.25">
      <c r="A94" s="101"/>
      <c r="B94" s="62"/>
      <c r="C94" s="194"/>
      <c r="D94" s="103"/>
      <c r="E94" s="140"/>
      <c r="F94" s="749"/>
      <c r="G94" s="173"/>
      <c r="H94" s="560"/>
      <c r="I94" s="107">
        <f>PIERNA!I94</f>
        <v>0</v>
      </c>
      <c r="J94" s="299"/>
      <c r="K94" s="516"/>
      <c r="L94" s="307"/>
      <c r="M94" s="305"/>
      <c r="N94" s="303"/>
      <c r="O94" s="281"/>
      <c r="P94" s="304"/>
      <c r="Q94" s="279"/>
      <c r="R94" s="531"/>
      <c r="S94" s="66">
        <f t="shared" si="15"/>
        <v>0</v>
      </c>
      <c r="T94" s="66" t="e">
        <f t="shared" si="16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49"/>
      <c r="G95" s="173"/>
      <c r="H95" s="560"/>
      <c r="I95" s="107">
        <f>PIERNA!I95</f>
        <v>0</v>
      </c>
      <c r="J95" s="515"/>
      <c r="K95" s="300"/>
      <c r="L95" s="307"/>
      <c r="M95" s="279"/>
      <c r="N95" s="303"/>
      <c r="O95" s="281"/>
      <c r="P95" s="304"/>
      <c r="Q95" s="279"/>
      <c r="R95" s="531"/>
      <c r="S95" s="66">
        <f t="shared" si="15"/>
        <v>0</v>
      </c>
      <c r="T95" s="66" t="e">
        <f t="shared" si="16"/>
        <v>#DIV/0!</v>
      </c>
    </row>
    <row r="96" spans="1:20" s="163" customFormat="1" x14ac:dyDescent="0.25">
      <c r="A96" s="101"/>
      <c r="B96" s="469"/>
      <c r="C96" s="159"/>
      <c r="D96" s="103"/>
      <c r="E96" s="140"/>
      <c r="F96" s="749"/>
      <c r="G96" s="173"/>
      <c r="H96" s="560"/>
      <c r="I96" s="107"/>
      <c r="J96" s="515"/>
      <c r="K96" s="300"/>
      <c r="L96" s="307"/>
      <c r="M96" s="279"/>
      <c r="N96" s="539"/>
      <c r="O96" s="617"/>
      <c r="P96" s="762"/>
      <c r="Q96" s="733"/>
      <c r="R96" s="734"/>
      <c r="S96" s="66">
        <f t="shared" si="15"/>
        <v>0</v>
      </c>
      <c r="T96" s="191" t="e">
        <f t="shared" ref="T96:T102" si="17">S96/H96</f>
        <v>#DIV/0!</v>
      </c>
    </row>
    <row r="97" spans="1:20" s="163" customFormat="1" x14ac:dyDescent="0.25">
      <c r="A97" s="101"/>
      <c r="B97" s="469"/>
      <c r="C97" s="159"/>
      <c r="D97" s="103"/>
      <c r="E97" s="140"/>
      <c r="F97" s="749"/>
      <c r="G97" s="173"/>
      <c r="H97" s="560"/>
      <c r="I97" s="107"/>
      <c r="J97" s="735"/>
      <c r="K97" s="598"/>
      <c r="L97" s="599"/>
      <c r="M97" s="598"/>
      <c r="N97" s="829"/>
      <c r="O97" s="784"/>
      <c r="P97" s="601"/>
      <c r="Q97" s="598"/>
      <c r="R97" s="657"/>
      <c r="S97" s="66">
        <f t="shared" si="15"/>
        <v>0</v>
      </c>
      <c r="T97" s="191" t="e">
        <f t="shared" si="17"/>
        <v>#DIV/0!</v>
      </c>
    </row>
    <row r="98" spans="1:20" s="163" customFormat="1" ht="28.5" x14ac:dyDescent="0.25">
      <c r="A98" s="101">
        <v>61</v>
      </c>
      <c r="B98" s="822" t="s">
        <v>280</v>
      </c>
      <c r="C98" s="822" t="s">
        <v>281</v>
      </c>
      <c r="D98" s="822"/>
      <c r="E98" s="844">
        <v>44536</v>
      </c>
      <c r="F98" s="940">
        <v>2740.24</v>
      </c>
      <c r="G98" s="822">
        <v>222</v>
      </c>
      <c r="H98" s="940">
        <v>2740.24</v>
      </c>
      <c r="I98" s="792">
        <f t="shared" ref="I98:I106" si="18">H98-F98</f>
        <v>0</v>
      </c>
      <c r="J98" s="735"/>
      <c r="K98" s="596"/>
      <c r="L98" s="623"/>
      <c r="M98" s="596"/>
      <c r="N98" s="596"/>
      <c r="O98" s="865" t="s">
        <v>324</v>
      </c>
      <c r="P98" s="850"/>
      <c r="Q98" s="596">
        <v>279503.96999999997</v>
      </c>
      <c r="R98" s="763" t="s">
        <v>325</v>
      </c>
      <c r="S98" s="66">
        <f t="shared" si="15"/>
        <v>279503.96999999997</v>
      </c>
      <c r="T98" s="191">
        <f t="shared" si="17"/>
        <v>101.99981388491518</v>
      </c>
    </row>
    <row r="99" spans="1:20" s="163" customFormat="1" ht="30.75" customHeight="1" x14ac:dyDescent="0.3">
      <c r="A99" s="101">
        <v>62</v>
      </c>
      <c r="B99" s="822" t="s">
        <v>266</v>
      </c>
      <c r="C99" s="822" t="s">
        <v>283</v>
      </c>
      <c r="D99" s="822"/>
      <c r="E99" s="844">
        <v>44537</v>
      </c>
      <c r="F99" s="940">
        <v>18003</v>
      </c>
      <c r="G99" s="822">
        <v>709</v>
      </c>
      <c r="H99" s="940">
        <v>18003</v>
      </c>
      <c r="I99" s="792">
        <f t="shared" si="18"/>
        <v>0</v>
      </c>
      <c r="J99" s="1028" t="s">
        <v>298</v>
      </c>
      <c r="K99" s="596">
        <v>11963</v>
      </c>
      <c r="L99" s="623" t="s">
        <v>301</v>
      </c>
      <c r="M99" s="596">
        <v>30160</v>
      </c>
      <c r="N99" s="931" t="s">
        <v>302</v>
      </c>
      <c r="O99" s="865">
        <v>90961</v>
      </c>
      <c r="P99" s="851"/>
      <c r="Q99" s="596">
        <f>52787.7*21.22</f>
        <v>1120154.9939999999</v>
      </c>
      <c r="R99" s="763" t="s">
        <v>299</v>
      </c>
      <c r="S99" s="66">
        <f t="shared" si="15"/>
        <v>1162277.9939999999</v>
      </c>
      <c r="T99" s="191">
        <f>S99/H99</f>
        <v>64.560239626728873</v>
      </c>
    </row>
    <row r="100" spans="1:20" s="163" customFormat="1" ht="42.75" x14ac:dyDescent="0.25">
      <c r="A100" s="101">
        <v>63</v>
      </c>
      <c r="B100" s="1026" t="s">
        <v>284</v>
      </c>
      <c r="C100" s="822" t="s">
        <v>285</v>
      </c>
      <c r="D100" s="822"/>
      <c r="E100" s="844">
        <v>44537</v>
      </c>
      <c r="F100" s="940">
        <v>384.1</v>
      </c>
      <c r="G100" s="822">
        <v>10</v>
      </c>
      <c r="H100" s="940">
        <v>384.1</v>
      </c>
      <c r="I100" s="792">
        <f t="shared" si="18"/>
        <v>0</v>
      </c>
      <c r="J100" s="735"/>
      <c r="K100" s="596"/>
      <c r="L100" s="623"/>
      <c r="M100" s="596"/>
      <c r="N100" s="596"/>
      <c r="O100" s="865">
        <v>3742</v>
      </c>
      <c r="P100" s="851"/>
      <c r="Q100" s="596">
        <v>57615.3</v>
      </c>
      <c r="R100" s="763" t="s">
        <v>326</v>
      </c>
      <c r="S100" s="66">
        <f t="shared" si="15"/>
        <v>57615.3</v>
      </c>
      <c r="T100" s="191">
        <f t="shared" si="17"/>
        <v>150.00078104660244</v>
      </c>
    </row>
    <row r="101" spans="1:20" s="163" customFormat="1" ht="29.25" thickBot="1" x14ac:dyDescent="0.3">
      <c r="A101" s="101">
        <v>64</v>
      </c>
      <c r="B101" s="1027" t="s">
        <v>290</v>
      </c>
      <c r="C101" s="566" t="s">
        <v>291</v>
      </c>
      <c r="D101" s="566"/>
      <c r="E101" s="864">
        <v>44541</v>
      </c>
      <c r="F101" s="941">
        <v>18701.099999999999</v>
      </c>
      <c r="G101" s="845">
        <v>24</v>
      </c>
      <c r="H101" s="940">
        <v>18480</v>
      </c>
      <c r="I101" s="792">
        <f>H101-F101</f>
        <v>-221.09999999999854</v>
      </c>
      <c r="J101" s="1050" t="s">
        <v>294</v>
      </c>
      <c r="K101" s="596"/>
      <c r="L101" s="623"/>
      <c r="M101" s="596"/>
      <c r="N101" s="596"/>
      <c r="O101" s="865">
        <v>31531</v>
      </c>
      <c r="P101" s="851"/>
      <c r="Q101" s="596">
        <v>1003457.4</v>
      </c>
      <c r="R101" s="1051" t="s">
        <v>411</v>
      </c>
      <c r="S101" s="66">
        <f t="shared" si="15"/>
        <v>1003457.4</v>
      </c>
      <c r="T101" s="191">
        <f t="shared" si="17"/>
        <v>54.299642857142857</v>
      </c>
    </row>
    <row r="102" spans="1:20" s="163" customFormat="1" x14ac:dyDescent="0.25">
      <c r="A102" s="101">
        <v>65</v>
      </c>
      <c r="B102" s="1155" t="s">
        <v>314</v>
      </c>
      <c r="C102" s="566" t="s">
        <v>45</v>
      </c>
      <c r="D102" s="566"/>
      <c r="E102" s="1149">
        <v>44543</v>
      </c>
      <c r="F102" s="941">
        <v>2002.14</v>
      </c>
      <c r="G102" s="566">
        <v>441</v>
      </c>
      <c r="H102" s="941">
        <v>2002.14</v>
      </c>
      <c r="I102" s="792">
        <f t="shared" si="18"/>
        <v>0</v>
      </c>
      <c r="J102" s="735"/>
      <c r="K102" s="596"/>
      <c r="L102" s="623"/>
      <c r="M102" s="596"/>
      <c r="N102" s="596"/>
      <c r="O102" s="1131" t="s">
        <v>315</v>
      </c>
      <c r="P102" s="851"/>
      <c r="Q102" s="1039">
        <v>110117.7</v>
      </c>
      <c r="R102" s="1139" t="s">
        <v>327</v>
      </c>
      <c r="S102" s="66">
        <f t="shared" si="15"/>
        <v>110117.7</v>
      </c>
      <c r="T102" s="191">
        <f t="shared" si="17"/>
        <v>54.999999999999993</v>
      </c>
    </row>
    <row r="103" spans="1:20" s="163" customFormat="1" ht="18.75" customHeight="1" x14ac:dyDescent="0.25">
      <c r="A103" s="101">
        <v>66</v>
      </c>
      <c r="B103" s="1156"/>
      <c r="C103" s="566" t="s">
        <v>316</v>
      </c>
      <c r="D103" s="566"/>
      <c r="E103" s="1150"/>
      <c r="F103" s="941">
        <v>500</v>
      </c>
      <c r="G103" s="566">
        <v>50</v>
      </c>
      <c r="H103" s="941">
        <v>500</v>
      </c>
      <c r="I103" s="792">
        <f t="shared" si="18"/>
        <v>0</v>
      </c>
      <c r="J103" s="735"/>
      <c r="K103" s="596"/>
      <c r="L103" s="801"/>
      <c r="M103" s="596"/>
      <c r="N103" s="931"/>
      <c r="O103" s="1132"/>
      <c r="P103" s="596"/>
      <c r="Q103" s="1039">
        <v>50000</v>
      </c>
      <c r="R103" s="1140"/>
      <c r="S103" s="66">
        <f t="shared" si="15"/>
        <v>50000</v>
      </c>
      <c r="T103" s="191">
        <f t="shared" ref="T103:T109" si="19">S103/H103</f>
        <v>100</v>
      </c>
    </row>
    <row r="104" spans="1:20" s="163" customFormat="1" ht="28.5" customHeight="1" thickBot="1" x14ac:dyDescent="0.3">
      <c r="A104" s="101">
        <v>67</v>
      </c>
      <c r="B104" s="1157"/>
      <c r="C104" s="566" t="s">
        <v>317</v>
      </c>
      <c r="D104" s="566"/>
      <c r="E104" s="1151"/>
      <c r="F104" s="941">
        <v>250</v>
      </c>
      <c r="G104" s="566">
        <v>25</v>
      </c>
      <c r="H104" s="941">
        <v>250</v>
      </c>
      <c r="I104" s="929">
        <f t="shared" si="18"/>
        <v>0</v>
      </c>
      <c r="J104" s="735"/>
      <c r="K104" s="596"/>
      <c r="L104" s="623"/>
      <c r="M104" s="596"/>
      <c r="N104" s="596"/>
      <c r="O104" s="1132"/>
      <c r="P104" s="596"/>
      <c r="Q104" s="1039">
        <v>22000</v>
      </c>
      <c r="R104" s="1141"/>
      <c r="S104" s="66">
        <f t="shared" si="15"/>
        <v>22000</v>
      </c>
      <c r="T104" s="191">
        <f t="shared" si="19"/>
        <v>88</v>
      </c>
    </row>
    <row r="105" spans="1:20" s="163" customFormat="1" ht="18.75" customHeight="1" x14ac:dyDescent="0.25">
      <c r="A105" s="101">
        <v>68</v>
      </c>
      <c r="B105" s="1146" t="s">
        <v>358</v>
      </c>
      <c r="C105" s="566" t="s">
        <v>337</v>
      </c>
      <c r="D105" s="566"/>
      <c r="E105" s="1149">
        <v>44547</v>
      </c>
      <c r="F105" s="941">
        <v>577.95000000000005</v>
      </c>
      <c r="G105" s="566">
        <v>20</v>
      </c>
      <c r="H105" s="941">
        <v>577.95000000000005</v>
      </c>
      <c r="I105" s="288">
        <f t="shared" si="18"/>
        <v>0</v>
      </c>
      <c r="J105" s="735"/>
      <c r="K105" s="596"/>
      <c r="L105" s="623"/>
      <c r="M105" s="596"/>
      <c r="N105" s="1039"/>
      <c r="O105" s="1152">
        <v>17301</v>
      </c>
      <c r="P105" s="1040"/>
      <c r="Q105" s="1039">
        <v>42190.35</v>
      </c>
      <c r="R105" s="1136" t="s">
        <v>410</v>
      </c>
      <c r="S105" s="66">
        <f t="shared" si="15"/>
        <v>42190.35</v>
      </c>
      <c r="T105" s="191">
        <f t="shared" si="19"/>
        <v>72.999999999999986</v>
      </c>
    </row>
    <row r="106" spans="1:20" s="163" customFormat="1" ht="28.5" customHeight="1" x14ac:dyDescent="0.25">
      <c r="A106" s="101">
        <v>69</v>
      </c>
      <c r="B106" s="1147"/>
      <c r="C106" s="897" t="s">
        <v>359</v>
      </c>
      <c r="D106" s="566"/>
      <c r="E106" s="1150"/>
      <c r="F106" s="941">
        <v>995.62</v>
      </c>
      <c r="G106" s="566">
        <v>40</v>
      </c>
      <c r="H106" s="941">
        <v>995.62</v>
      </c>
      <c r="I106" s="288">
        <f t="shared" si="18"/>
        <v>0</v>
      </c>
      <c r="J106" s="735"/>
      <c r="K106" s="596"/>
      <c r="L106" s="623"/>
      <c r="M106" s="596"/>
      <c r="N106" s="1039"/>
      <c r="O106" s="1153"/>
      <c r="P106" s="1040"/>
      <c r="Q106" s="1039">
        <v>46794.14</v>
      </c>
      <c r="R106" s="1137"/>
      <c r="S106" s="66">
        <f t="shared" si="15"/>
        <v>46794.14</v>
      </c>
      <c r="T106" s="191">
        <f t="shared" si="19"/>
        <v>47</v>
      </c>
    </row>
    <row r="107" spans="1:20" s="163" customFormat="1" ht="25.5" customHeight="1" thickBot="1" x14ac:dyDescent="0.3">
      <c r="A107" s="101">
        <v>70</v>
      </c>
      <c r="B107" s="1148"/>
      <c r="C107" s="566" t="s">
        <v>73</v>
      </c>
      <c r="D107" s="566"/>
      <c r="E107" s="1151"/>
      <c r="F107" s="941">
        <v>499.6</v>
      </c>
      <c r="G107" s="566">
        <v>19</v>
      </c>
      <c r="H107" s="941">
        <v>499.6</v>
      </c>
      <c r="I107" s="288">
        <f t="shared" ref="I107:I109" si="20">H107-F107</f>
        <v>0</v>
      </c>
      <c r="J107" s="735"/>
      <c r="K107" s="596"/>
      <c r="L107" s="623"/>
      <c r="M107" s="596"/>
      <c r="N107" s="1039"/>
      <c r="O107" s="1154"/>
      <c r="P107" s="1041"/>
      <c r="Q107" s="1039">
        <v>26978.400000000001</v>
      </c>
      <c r="R107" s="1138"/>
      <c r="S107" s="66">
        <f t="shared" si="15"/>
        <v>26978.400000000001</v>
      </c>
      <c r="T107" s="191">
        <f t="shared" si="19"/>
        <v>54</v>
      </c>
    </row>
    <row r="108" spans="1:20" s="163" customFormat="1" ht="30" customHeight="1" x14ac:dyDescent="0.3">
      <c r="A108" s="101">
        <v>71</v>
      </c>
      <c r="B108" s="566" t="s">
        <v>97</v>
      </c>
      <c r="C108" s="566" t="s">
        <v>342</v>
      </c>
      <c r="D108" s="566"/>
      <c r="E108" s="864">
        <v>44548</v>
      </c>
      <c r="F108" s="941">
        <v>100</v>
      </c>
      <c r="G108" s="822">
        <v>100</v>
      </c>
      <c r="H108" s="940">
        <v>100</v>
      </c>
      <c r="I108" s="468">
        <f t="shared" si="20"/>
        <v>0</v>
      </c>
      <c r="J108" s="736"/>
      <c r="K108" s="596"/>
      <c r="L108" s="623"/>
      <c r="M108" s="596"/>
      <c r="N108" s="596"/>
      <c r="O108" s="936" t="s">
        <v>362</v>
      </c>
      <c r="P108" s="808"/>
      <c r="Q108" s="596">
        <v>14000</v>
      </c>
      <c r="R108" s="968" t="s">
        <v>410</v>
      </c>
      <c r="S108" s="828">
        <f t="shared" si="15"/>
        <v>14000</v>
      </c>
      <c r="T108" s="191">
        <f t="shared" si="19"/>
        <v>140</v>
      </c>
    </row>
    <row r="109" spans="1:20" s="163" customFormat="1" ht="28.5" x14ac:dyDescent="0.3">
      <c r="A109" s="101">
        <v>72</v>
      </c>
      <c r="B109" s="854" t="s">
        <v>366</v>
      </c>
      <c r="C109" s="1098" t="s">
        <v>367</v>
      </c>
      <c r="D109" s="566"/>
      <c r="E109" s="864">
        <v>44551</v>
      </c>
      <c r="F109" s="941">
        <v>990</v>
      </c>
      <c r="G109" s="822">
        <v>66</v>
      </c>
      <c r="H109" s="940">
        <v>990</v>
      </c>
      <c r="I109" s="468">
        <f t="shared" si="20"/>
        <v>0</v>
      </c>
      <c r="J109" s="736"/>
      <c r="K109" s="596"/>
      <c r="L109" s="623"/>
      <c r="M109" s="596"/>
      <c r="N109" s="596"/>
      <c r="O109" s="809" t="s">
        <v>432</v>
      </c>
      <c r="P109" s="1064" t="s">
        <v>380</v>
      </c>
      <c r="Q109" s="596">
        <v>78210</v>
      </c>
      <c r="R109" s="595" t="s">
        <v>433</v>
      </c>
      <c r="S109" s="828">
        <f t="shared" si="15"/>
        <v>78210</v>
      </c>
      <c r="T109" s="191">
        <f t="shared" si="19"/>
        <v>79</v>
      </c>
    </row>
    <row r="110" spans="1:20" s="163" customFormat="1" ht="42.75" x14ac:dyDescent="0.25">
      <c r="A110" s="101">
        <v>73</v>
      </c>
      <c r="B110" s="822" t="s">
        <v>372</v>
      </c>
      <c r="C110" s="566" t="s">
        <v>73</v>
      </c>
      <c r="D110" s="566"/>
      <c r="E110" s="864">
        <v>44553</v>
      </c>
      <c r="F110" s="941">
        <v>2984.3</v>
      </c>
      <c r="G110" s="822">
        <v>105</v>
      </c>
      <c r="H110" s="940">
        <v>2984.3</v>
      </c>
      <c r="I110" s="107">
        <f t="shared" ref="I110:I183" si="21">H110-F110</f>
        <v>0</v>
      </c>
      <c r="J110" s="735"/>
      <c r="K110" s="596"/>
      <c r="L110" s="969"/>
      <c r="M110" s="892"/>
      <c r="N110" s="892"/>
      <c r="O110" s="1063">
        <v>17329</v>
      </c>
      <c r="P110" s="970"/>
      <c r="Q110" s="892">
        <v>158167.9</v>
      </c>
      <c r="R110" s="595" t="s">
        <v>411</v>
      </c>
      <c r="S110" s="66">
        <f t="shared" si="15"/>
        <v>158167.9</v>
      </c>
      <c r="T110" s="191">
        <f t="shared" ref="T110:T126" si="22">S110/H110</f>
        <v>52.999999999999993</v>
      </c>
    </row>
    <row r="111" spans="1:20" s="163" customFormat="1" ht="36" customHeight="1" x14ac:dyDescent="0.25">
      <c r="A111" s="101">
        <v>74</v>
      </c>
      <c r="B111" s="822" t="s">
        <v>97</v>
      </c>
      <c r="C111" s="566" t="s">
        <v>98</v>
      </c>
      <c r="D111" s="566"/>
      <c r="E111" s="864">
        <v>44554</v>
      </c>
      <c r="F111" s="941">
        <v>496.89</v>
      </c>
      <c r="G111" s="822">
        <v>41</v>
      </c>
      <c r="H111" s="940">
        <v>496.89</v>
      </c>
      <c r="I111" s="107">
        <f t="shared" si="21"/>
        <v>0</v>
      </c>
      <c r="J111" s="735"/>
      <c r="K111" s="596"/>
      <c r="L111" s="623"/>
      <c r="M111" s="596"/>
      <c r="N111" s="596"/>
      <c r="O111" s="807" t="s">
        <v>377</v>
      </c>
      <c r="P111" s="808"/>
      <c r="Q111" s="596">
        <v>45713.88</v>
      </c>
      <c r="R111" s="595" t="s">
        <v>410</v>
      </c>
      <c r="S111" s="66">
        <f t="shared" si="15"/>
        <v>45713.88</v>
      </c>
      <c r="T111" s="191">
        <f t="shared" si="22"/>
        <v>92</v>
      </c>
    </row>
    <row r="112" spans="1:20" s="163" customFormat="1" ht="29.25" thickBot="1" x14ac:dyDescent="0.3">
      <c r="A112" s="101">
        <v>75</v>
      </c>
      <c r="B112" s="822" t="s">
        <v>403</v>
      </c>
      <c r="C112" s="822" t="s">
        <v>167</v>
      </c>
      <c r="D112" s="566"/>
      <c r="E112" s="1055">
        <v>44557</v>
      </c>
      <c r="F112" s="941">
        <v>7800</v>
      </c>
      <c r="G112" s="822">
        <v>660</v>
      </c>
      <c r="H112" s="940">
        <v>7800</v>
      </c>
      <c r="I112" s="107">
        <f t="shared" si="21"/>
        <v>0</v>
      </c>
      <c r="J112" s="735"/>
      <c r="K112" s="596"/>
      <c r="L112" s="623"/>
      <c r="M112" s="596"/>
      <c r="N112" s="596"/>
      <c r="O112" s="1250" t="s">
        <v>434</v>
      </c>
      <c r="P112" s="1064" t="s">
        <v>380</v>
      </c>
      <c r="Q112" s="596">
        <v>312000</v>
      </c>
      <c r="R112" s="890" t="s">
        <v>435</v>
      </c>
      <c r="S112" s="66">
        <f t="shared" si="15"/>
        <v>312000</v>
      </c>
      <c r="T112" s="191">
        <f t="shared" si="22"/>
        <v>40</v>
      </c>
    </row>
    <row r="113" spans="1:20" s="163" customFormat="1" ht="21.75" customHeight="1" x14ac:dyDescent="0.25">
      <c r="A113" s="101">
        <v>76</v>
      </c>
      <c r="B113" s="1133" t="s">
        <v>420</v>
      </c>
      <c r="C113" s="566" t="s">
        <v>421</v>
      </c>
      <c r="D113" s="1052"/>
      <c r="E113" s="1143">
        <v>44559</v>
      </c>
      <c r="F113" s="1054">
        <v>1996.98</v>
      </c>
      <c r="G113" s="822">
        <v>95</v>
      </c>
      <c r="H113" s="940">
        <v>1996.98</v>
      </c>
      <c r="I113" s="107">
        <f t="shared" si="21"/>
        <v>0</v>
      </c>
      <c r="J113" s="737"/>
      <c r="K113" s="596"/>
      <c r="L113" s="623"/>
      <c r="M113" s="596"/>
      <c r="N113" s="1246"/>
      <c r="O113" s="1152">
        <v>17377</v>
      </c>
      <c r="P113" s="1247"/>
      <c r="Q113" s="1039">
        <v>101845.98</v>
      </c>
      <c r="R113" s="1251" t="s">
        <v>691</v>
      </c>
      <c r="S113" s="66">
        <f t="shared" si="15"/>
        <v>101845.98</v>
      </c>
      <c r="T113" s="66">
        <f t="shared" si="22"/>
        <v>51</v>
      </c>
    </row>
    <row r="114" spans="1:20" s="163" customFormat="1" ht="18.75" customHeight="1" x14ac:dyDescent="0.25">
      <c r="A114" s="101">
        <v>77</v>
      </c>
      <c r="B114" s="1142"/>
      <c r="C114" s="566" t="s">
        <v>414</v>
      </c>
      <c r="D114" s="1053"/>
      <c r="E114" s="1144"/>
      <c r="F114" s="1054">
        <v>2513.52</v>
      </c>
      <c r="G114" s="822">
        <v>95</v>
      </c>
      <c r="H114" s="940">
        <v>2513.52</v>
      </c>
      <c r="I114" s="107">
        <f t="shared" si="21"/>
        <v>0</v>
      </c>
      <c r="J114" s="737"/>
      <c r="K114" s="596"/>
      <c r="L114" s="623"/>
      <c r="M114" s="596"/>
      <c r="N114" s="1246"/>
      <c r="O114" s="1153"/>
      <c r="P114" s="1248"/>
      <c r="Q114" s="1039">
        <v>133216.56</v>
      </c>
      <c r="R114" s="1252"/>
      <c r="S114" s="66">
        <f t="shared" si="15"/>
        <v>133216.56</v>
      </c>
      <c r="T114" s="66">
        <f t="shared" si="22"/>
        <v>53</v>
      </c>
    </row>
    <row r="115" spans="1:20" s="163" customFormat="1" ht="19.5" customHeight="1" thickBot="1" x14ac:dyDescent="0.3">
      <c r="A115" s="101">
        <v>78</v>
      </c>
      <c r="B115" s="1134"/>
      <c r="C115" s="566" t="s">
        <v>73</v>
      </c>
      <c r="D115" s="1052"/>
      <c r="E115" s="1145"/>
      <c r="F115" s="1054">
        <v>615.30999999999995</v>
      </c>
      <c r="G115" s="854">
        <v>21</v>
      </c>
      <c r="H115" s="940">
        <v>615.30999999999995</v>
      </c>
      <c r="I115" s="107">
        <f t="shared" si="21"/>
        <v>0</v>
      </c>
      <c r="J115" s="737"/>
      <c r="K115" s="596"/>
      <c r="L115" s="623"/>
      <c r="M115" s="596"/>
      <c r="N115" s="1246"/>
      <c r="O115" s="1154"/>
      <c r="P115" s="1249"/>
      <c r="Q115" s="1039">
        <v>33226.74</v>
      </c>
      <c r="R115" s="1253"/>
      <c r="S115" s="66">
        <f t="shared" si="15"/>
        <v>33226.74</v>
      </c>
      <c r="T115" s="66">
        <f t="shared" si="22"/>
        <v>54</v>
      </c>
    </row>
    <row r="116" spans="1:20" s="163" customFormat="1" ht="18.75" customHeight="1" x14ac:dyDescent="0.25">
      <c r="A116" s="101">
        <v>79</v>
      </c>
      <c r="B116" s="1133" t="s">
        <v>422</v>
      </c>
      <c r="C116" s="566" t="s">
        <v>423</v>
      </c>
      <c r="D116" s="566"/>
      <c r="E116" s="1056">
        <v>44560</v>
      </c>
      <c r="F116" s="941">
        <v>573.66</v>
      </c>
      <c r="G116" s="854">
        <v>50</v>
      </c>
      <c r="H116" s="940">
        <v>573.66</v>
      </c>
      <c r="I116" s="107">
        <f t="shared" si="21"/>
        <v>0</v>
      </c>
      <c r="J116" s="737"/>
      <c r="K116" s="596"/>
      <c r="L116" s="623"/>
      <c r="M116" s="596"/>
      <c r="N116" s="623"/>
      <c r="O116" s="1244" t="s">
        <v>424</v>
      </c>
      <c r="P116" s="597"/>
      <c r="Q116" s="596">
        <v>48187.44</v>
      </c>
      <c r="R116" s="1245" t="s">
        <v>690</v>
      </c>
      <c r="S116" s="66">
        <f t="shared" si="15"/>
        <v>48187.44</v>
      </c>
      <c r="T116" s="66">
        <f t="shared" si="22"/>
        <v>84.000000000000014</v>
      </c>
    </row>
    <row r="117" spans="1:20" s="163" customFormat="1" ht="18.75" customHeight="1" x14ac:dyDescent="0.25">
      <c r="A117" s="101">
        <v>80</v>
      </c>
      <c r="B117" s="1134"/>
      <c r="C117" s="566" t="s">
        <v>98</v>
      </c>
      <c r="D117" s="566"/>
      <c r="E117" s="864">
        <v>44560</v>
      </c>
      <c r="F117" s="941">
        <v>505.06</v>
      </c>
      <c r="G117" s="854">
        <v>42</v>
      </c>
      <c r="H117" s="940">
        <v>505.06</v>
      </c>
      <c r="I117" s="107">
        <f t="shared" si="21"/>
        <v>0</v>
      </c>
      <c r="J117" s="737"/>
      <c r="K117" s="596"/>
      <c r="L117" s="623"/>
      <c r="M117" s="596"/>
      <c r="N117" s="623"/>
      <c r="O117" s="1135"/>
      <c r="P117" s="597"/>
      <c r="Q117" s="596">
        <v>46465.52</v>
      </c>
      <c r="R117" s="1243"/>
      <c r="S117" s="66">
        <f t="shared" ref="S117:S122" si="23">Q117+M117+K117</f>
        <v>46465.52</v>
      </c>
      <c r="T117" s="66">
        <f t="shared" ref="T117:T122" si="24">S117/H117</f>
        <v>92</v>
      </c>
    </row>
    <row r="118" spans="1:20" s="163" customFormat="1" ht="18.75" customHeight="1" x14ac:dyDescent="0.25">
      <c r="A118" s="101">
        <v>81</v>
      </c>
      <c r="B118" s="822"/>
      <c r="C118" s="566"/>
      <c r="D118" s="566"/>
      <c r="E118" s="864"/>
      <c r="F118" s="941"/>
      <c r="G118" s="822"/>
      <c r="H118" s="940"/>
      <c r="I118" s="107">
        <f t="shared" si="21"/>
        <v>0</v>
      </c>
      <c r="J118" s="737"/>
      <c r="K118" s="596"/>
      <c r="L118" s="623"/>
      <c r="M118" s="596"/>
      <c r="N118" s="623"/>
      <c r="O118" s="807"/>
      <c r="P118" s="597"/>
      <c r="Q118" s="596"/>
      <c r="R118" s="595"/>
      <c r="S118" s="66">
        <f t="shared" si="23"/>
        <v>0</v>
      </c>
      <c r="T118" s="66" t="e">
        <f t="shared" si="24"/>
        <v>#DIV/0!</v>
      </c>
    </row>
    <row r="119" spans="1:20" s="163" customFormat="1" ht="18.75" customHeight="1" x14ac:dyDescent="0.25">
      <c r="A119" s="101">
        <v>82</v>
      </c>
      <c r="B119" s="822"/>
      <c r="C119" s="566"/>
      <c r="D119" s="566"/>
      <c r="E119" s="864"/>
      <c r="F119" s="941"/>
      <c r="G119" s="822"/>
      <c r="H119" s="940"/>
      <c r="I119" s="107">
        <f t="shared" si="21"/>
        <v>0</v>
      </c>
      <c r="J119" s="737"/>
      <c r="K119" s="596"/>
      <c r="L119" s="623"/>
      <c r="M119" s="596"/>
      <c r="N119" s="623"/>
      <c r="O119" s="807"/>
      <c r="P119" s="597"/>
      <c r="Q119" s="596"/>
      <c r="R119" s="595"/>
      <c r="S119" s="66">
        <f t="shared" si="23"/>
        <v>0</v>
      </c>
      <c r="T119" s="66" t="e">
        <f t="shared" si="24"/>
        <v>#DIV/0!</v>
      </c>
    </row>
    <row r="120" spans="1:20" s="163" customFormat="1" ht="18.75" x14ac:dyDescent="0.25">
      <c r="A120" s="101">
        <v>83</v>
      </c>
      <c r="B120" s="822"/>
      <c r="C120" s="566"/>
      <c r="D120" s="566"/>
      <c r="E120" s="864"/>
      <c r="F120" s="941"/>
      <c r="G120" s="822"/>
      <c r="H120" s="940"/>
      <c r="I120" s="107">
        <f t="shared" si="21"/>
        <v>0</v>
      </c>
      <c r="J120" s="737"/>
      <c r="K120" s="596"/>
      <c r="L120" s="623"/>
      <c r="M120" s="596"/>
      <c r="N120" s="623"/>
      <c r="O120" s="809"/>
      <c r="P120" s="808"/>
      <c r="Q120" s="596"/>
      <c r="R120" s="595"/>
      <c r="S120" s="66">
        <f t="shared" si="23"/>
        <v>0</v>
      </c>
      <c r="T120" s="66" t="e">
        <f t="shared" si="24"/>
        <v>#DIV/0!</v>
      </c>
    </row>
    <row r="121" spans="1:20" s="163" customFormat="1" ht="18.75" x14ac:dyDescent="0.25">
      <c r="A121" s="101">
        <v>84</v>
      </c>
      <c r="B121" s="822"/>
      <c r="C121" s="566"/>
      <c r="D121" s="566"/>
      <c r="E121" s="864"/>
      <c r="F121" s="941"/>
      <c r="G121" s="822"/>
      <c r="H121" s="940"/>
      <c r="I121" s="107">
        <f t="shared" si="21"/>
        <v>0</v>
      </c>
      <c r="J121" s="737"/>
      <c r="K121" s="596"/>
      <c r="L121" s="623"/>
      <c r="M121" s="596"/>
      <c r="N121" s="623"/>
      <c r="O121" s="809"/>
      <c r="P121" s="966"/>
      <c r="Q121" s="596"/>
      <c r="R121" s="967"/>
      <c r="S121" s="66">
        <f t="shared" si="23"/>
        <v>0</v>
      </c>
      <c r="T121" s="66" t="e">
        <f t="shared" si="24"/>
        <v>#DIV/0!</v>
      </c>
    </row>
    <row r="122" spans="1:20" s="163" customFormat="1" ht="18.75" x14ac:dyDescent="0.25">
      <c r="A122" s="101">
        <v>85</v>
      </c>
      <c r="B122" s="822"/>
      <c r="C122" s="948"/>
      <c r="D122" s="566"/>
      <c r="E122" s="864"/>
      <c r="F122" s="941"/>
      <c r="G122" s="822"/>
      <c r="H122" s="940"/>
      <c r="I122" s="107">
        <f t="shared" si="21"/>
        <v>0</v>
      </c>
      <c r="J122" s="737"/>
      <c r="K122" s="596"/>
      <c r="L122" s="623"/>
      <c r="M122" s="596"/>
      <c r="N122" s="623"/>
      <c r="O122" s="807"/>
      <c r="P122" s="808"/>
      <c r="Q122" s="596"/>
      <c r="R122" s="595"/>
      <c r="S122" s="66">
        <f t="shared" si="23"/>
        <v>0</v>
      </c>
      <c r="T122" s="66" t="e">
        <f t="shared" si="24"/>
        <v>#DIV/0!</v>
      </c>
    </row>
    <row r="123" spans="1:20" s="163" customFormat="1" ht="18.75" customHeight="1" x14ac:dyDescent="0.25">
      <c r="A123" s="101">
        <v>86</v>
      </c>
      <c r="B123" s="822"/>
      <c r="C123" s="822"/>
      <c r="D123" s="822"/>
      <c r="E123" s="864"/>
      <c r="F123" s="940"/>
      <c r="G123" s="822"/>
      <c r="H123" s="940"/>
      <c r="I123" s="107">
        <f t="shared" si="21"/>
        <v>0</v>
      </c>
      <c r="J123" s="737"/>
      <c r="K123" s="596"/>
      <c r="L123" s="623"/>
      <c r="M123" s="596"/>
      <c r="N123" s="623"/>
      <c r="O123" s="807"/>
      <c r="P123" s="597"/>
      <c r="Q123" s="596"/>
      <c r="R123" s="595"/>
      <c r="S123" s="66">
        <f t="shared" si="15"/>
        <v>0</v>
      </c>
      <c r="T123" s="66" t="e">
        <f t="shared" si="22"/>
        <v>#DIV/0!</v>
      </c>
    </row>
    <row r="124" spans="1:20" s="163" customFormat="1" ht="18.75" customHeight="1" x14ac:dyDescent="0.25">
      <c r="A124" s="101">
        <v>87</v>
      </c>
      <c r="B124" s="822"/>
      <c r="C124" s="566"/>
      <c r="D124" s="822"/>
      <c r="E124" s="864"/>
      <c r="F124" s="940"/>
      <c r="G124" s="822"/>
      <c r="H124" s="940"/>
      <c r="I124" s="107">
        <f t="shared" si="21"/>
        <v>0</v>
      </c>
      <c r="J124" s="737"/>
      <c r="K124" s="596"/>
      <c r="L124" s="623"/>
      <c r="M124" s="596"/>
      <c r="N124" s="623"/>
      <c r="O124" s="807"/>
      <c r="P124" s="597"/>
      <c r="Q124" s="596"/>
      <c r="R124" s="595"/>
      <c r="S124" s="66">
        <f t="shared" si="15"/>
        <v>0</v>
      </c>
      <c r="T124" s="66" t="e">
        <f t="shared" si="22"/>
        <v>#DIV/0!</v>
      </c>
    </row>
    <row r="125" spans="1:20" s="163" customFormat="1" ht="15" customHeight="1" x14ac:dyDescent="0.25">
      <c r="A125" s="101">
        <v>88</v>
      </c>
      <c r="B125" s="822"/>
      <c r="C125" s="822"/>
      <c r="D125" s="822"/>
      <c r="E125" s="844"/>
      <c r="F125" s="940"/>
      <c r="G125" s="822"/>
      <c r="H125" s="940"/>
      <c r="I125" s="107">
        <f t="shared" si="21"/>
        <v>0</v>
      </c>
      <c r="J125" s="737"/>
      <c r="K125" s="596"/>
      <c r="L125" s="623"/>
      <c r="M125" s="596"/>
      <c r="N125" s="971"/>
      <c r="O125" s="807"/>
      <c r="P125" s="597"/>
      <c r="Q125" s="596"/>
      <c r="R125" s="974"/>
      <c r="S125" s="66">
        <f t="shared" si="15"/>
        <v>0</v>
      </c>
      <c r="T125" s="66" t="e">
        <f t="shared" si="22"/>
        <v>#DIV/0!</v>
      </c>
    </row>
    <row r="126" spans="1:20" s="163" customFormat="1" ht="23.25" customHeight="1" x14ac:dyDescent="0.25">
      <c r="A126" s="101">
        <v>89</v>
      </c>
      <c r="B126" s="822"/>
      <c r="C126" s="822"/>
      <c r="D126" s="822"/>
      <c r="E126" s="844"/>
      <c r="F126" s="940"/>
      <c r="G126" s="822"/>
      <c r="H126" s="940"/>
      <c r="I126" s="107">
        <f t="shared" si="21"/>
        <v>0</v>
      </c>
      <c r="J126" s="750"/>
      <c r="K126" s="596"/>
      <c r="L126" s="623"/>
      <c r="M126" s="596"/>
      <c r="N126" s="972"/>
      <c r="O126" s="807"/>
      <c r="P126" s="597"/>
      <c r="Q126" s="596"/>
      <c r="R126" s="974"/>
      <c r="S126" s="66">
        <f t="shared" si="15"/>
        <v>0</v>
      </c>
      <c r="T126" s="66" t="e">
        <f t="shared" si="22"/>
        <v>#DIV/0!</v>
      </c>
    </row>
    <row r="127" spans="1:20" s="163" customFormat="1" ht="15.75" customHeight="1" x14ac:dyDescent="0.25">
      <c r="A127" s="101">
        <v>90</v>
      </c>
      <c r="B127" s="822"/>
      <c r="C127" s="822"/>
      <c r="D127" s="822"/>
      <c r="E127" s="844"/>
      <c r="F127" s="940"/>
      <c r="G127" s="822"/>
      <c r="H127" s="940"/>
      <c r="I127" s="107">
        <f t="shared" si="21"/>
        <v>0</v>
      </c>
      <c r="J127" s="750"/>
      <c r="K127" s="596"/>
      <c r="L127" s="623"/>
      <c r="M127" s="596"/>
      <c r="N127" s="973"/>
      <c r="O127" s="807"/>
      <c r="P127" s="808"/>
      <c r="Q127" s="596"/>
      <c r="R127" s="974"/>
      <c r="S127" s="66">
        <f t="shared" si="15"/>
        <v>0</v>
      </c>
      <c r="T127" s="66" t="e">
        <f>S127/H127</f>
        <v>#DIV/0!</v>
      </c>
    </row>
    <row r="128" spans="1:20" s="163" customFormat="1" ht="31.5" hidden="1" customHeight="1" x14ac:dyDescent="0.25">
      <c r="A128" s="101">
        <v>91</v>
      </c>
      <c r="B128" s="822"/>
      <c r="C128" s="822"/>
      <c r="D128" s="822"/>
      <c r="E128" s="844"/>
      <c r="F128" s="940"/>
      <c r="G128" s="822"/>
      <c r="H128" s="940"/>
      <c r="I128" s="288">
        <f t="shared" si="21"/>
        <v>0</v>
      </c>
      <c r="J128" s="553"/>
      <c r="K128" s="596"/>
      <c r="L128" s="623"/>
      <c r="M128" s="596"/>
      <c r="N128" s="931"/>
      <c r="O128" s="949"/>
      <c r="P128" s="597"/>
      <c r="Q128" s="596"/>
      <c r="R128" s="967"/>
      <c r="S128" s="66">
        <f t="shared" si="15"/>
        <v>0</v>
      </c>
      <c r="T128" s="66" t="e">
        <f t="shared" ref="T128:T134" si="25">S128/H128</f>
        <v>#DIV/0!</v>
      </c>
    </row>
    <row r="129" spans="1:20" s="163" customFormat="1" ht="18.75" hidden="1" x14ac:dyDescent="0.25">
      <c r="A129" s="101">
        <v>92</v>
      </c>
      <c r="B129" s="822"/>
      <c r="C129" s="822"/>
      <c r="D129" s="822"/>
      <c r="E129" s="844"/>
      <c r="F129" s="940"/>
      <c r="G129" s="822"/>
      <c r="H129" s="940"/>
      <c r="I129" s="288">
        <f t="shared" si="21"/>
        <v>0</v>
      </c>
      <c r="J129" s="553"/>
      <c r="K129" s="596"/>
      <c r="L129" s="623"/>
      <c r="M129" s="596"/>
      <c r="N129" s="800"/>
      <c r="O129" s="809"/>
      <c r="P129" s="597"/>
      <c r="Q129" s="596"/>
      <c r="R129" s="595"/>
      <c r="S129" s="66"/>
      <c r="T129" s="66"/>
    </row>
    <row r="130" spans="1:20" s="163" customFormat="1" ht="15.75" hidden="1" customHeight="1" x14ac:dyDescent="0.25">
      <c r="A130" s="101">
        <v>93</v>
      </c>
      <c r="B130" s="822"/>
      <c r="C130" s="822"/>
      <c r="D130" s="822"/>
      <c r="E130" s="844"/>
      <c r="F130" s="940"/>
      <c r="G130" s="822"/>
      <c r="H130" s="940"/>
      <c r="I130" s="288">
        <f t="shared" si="21"/>
        <v>0</v>
      </c>
      <c r="J130" s="553"/>
      <c r="K130" s="596"/>
      <c r="L130" s="623"/>
      <c r="M130" s="892"/>
      <c r="N130" s="930"/>
      <c r="O130" s="809"/>
      <c r="P130" s="597"/>
      <c r="Q130" s="596"/>
      <c r="R130" s="595"/>
      <c r="S130" s="66"/>
      <c r="T130" s="66"/>
    </row>
    <row r="131" spans="1:20" s="163" customFormat="1" ht="18.75" hidden="1" customHeight="1" x14ac:dyDescent="0.25">
      <c r="A131" s="101">
        <v>94</v>
      </c>
      <c r="B131" s="822"/>
      <c r="C131" s="822"/>
      <c r="D131" s="822"/>
      <c r="E131" s="844"/>
      <c r="F131" s="940"/>
      <c r="G131" s="822"/>
      <c r="H131" s="940"/>
      <c r="I131" s="288">
        <f t="shared" si="21"/>
        <v>0</v>
      </c>
      <c r="J131" s="553"/>
      <c r="K131" s="596"/>
      <c r="L131" s="623"/>
      <c r="M131" s="596"/>
      <c r="N131" s="931"/>
      <c r="O131" s="807"/>
      <c r="P131" s="597"/>
      <c r="Q131" s="596"/>
      <c r="R131" s="595"/>
      <c r="S131" s="66"/>
      <c r="T131" s="66"/>
    </row>
    <row r="132" spans="1:20" s="163" customFormat="1" ht="18.75" hidden="1" customHeight="1" x14ac:dyDescent="0.25">
      <c r="A132" s="101">
        <v>92</v>
      </c>
      <c r="B132" s="822"/>
      <c r="C132" s="897"/>
      <c r="D132" s="822"/>
      <c r="E132" s="844"/>
      <c r="F132" s="940"/>
      <c r="G132" s="822"/>
      <c r="H132" s="940"/>
      <c r="I132" s="288">
        <f t="shared" si="21"/>
        <v>0</v>
      </c>
      <c r="J132" s="553"/>
      <c r="K132" s="596"/>
      <c r="L132" s="623"/>
      <c r="M132" s="596"/>
      <c r="N132" s="931"/>
      <c r="O132" s="807"/>
      <c r="P132" s="597"/>
      <c r="Q132" s="596"/>
      <c r="R132" s="595"/>
      <c r="S132" s="66"/>
      <c r="T132" s="66"/>
    </row>
    <row r="133" spans="1:20" s="163" customFormat="1" ht="15" hidden="1" customHeight="1" x14ac:dyDescent="0.25">
      <c r="A133" s="101">
        <v>93</v>
      </c>
      <c r="B133" s="822"/>
      <c r="C133" s="822"/>
      <c r="D133" s="822"/>
      <c r="E133" s="844"/>
      <c r="F133" s="940"/>
      <c r="G133" s="822"/>
      <c r="H133" s="940"/>
      <c r="I133" s="288">
        <f t="shared" si="21"/>
        <v>0</v>
      </c>
      <c r="J133" s="735"/>
      <c r="K133" s="596"/>
      <c r="L133" s="623"/>
      <c r="M133" s="596"/>
      <c r="N133" s="596"/>
      <c r="O133" s="807"/>
      <c r="P133" s="596"/>
      <c r="Q133" s="596"/>
      <c r="R133" s="595"/>
      <c r="S133" s="66">
        <f t="shared" si="15"/>
        <v>0</v>
      </c>
      <c r="T133" s="66" t="e">
        <f t="shared" si="25"/>
        <v>#DIV/0!</v>
      </c>
    </row>
    <row r="134" spans="1:20" s="163" customFormat="1" ht="15.75" hidden="1" customHeight="1" x14ac:dyDescent="0.25">
      <c r="A134" s="101">
        <v>94</v>
      </c>
      <c r="B134" s="822"/>
      <c r="C134" s="899"/>
      <c r="D134" s="822"/>
      <c r="E134" s="844"/>
      <c r="F134" s="940"/>
      <c r="G134" s="822"/>
      <c r="H134" s="940"/>
      <c r="I134" s="107">
        <f t="shared" si="21"/>
        <v>0</v>
      </c>
      <c r="J134" s="735"/>
      <c r="K134" s="596"/>
      <c r="L134" s="623"/>
      <c r="M134" s="596"/>
      <c r="N134" s="596"/>
      <c r="O134" s="807"/>
      <c r="P134" s="596"/>
      <c r="Q134" s="596"/>
      <c r="R134" s="763"/>
      <c r="S134" s="66">
        <f t="shared" si="15"/>
        <v>0</v>
      </c>
      <c r="T134" s="66" t="e">
        <f t="shared" si="25"/>
        <v>#DIV/0!</v>
      </c>
    </row>
    <row r="135" spans="1:20" s="163" customFormat="1" ht="15.75" hidden="1" x14ac:dyDescent="0.25">
      <c r="A135" s="101">
        <v>95</v>
      </c>
      <c r="B135" s="822"/>
      <c r="C135" s="822"/>
      <c r="D135" s="822"/>
      <c r="E135" s="844"/>
      <c r="F135" s="940"/>
      <c r="G135" s="822"/>
      <c r="H135" s="940"/>
      <c r="I135" s="107">
        <f t="shared" si="21"/>
        <v>0</v>
      </c>
      <c r="J135" s="553"/>
      <c r="K135" s="596"/>
      <c r="L135" s="623"/>
      <c r="M135" s="596"/>
      <c r="N135" s="596"/>
      <c r="O135" s="932"/>
      <c r="P135" s="596"/>
      <c r="Q135" s="596"/>
      <c r="R135" s="890"/>
      <c r="S135" s="66">
        <f t="shared" si="15"/>
        <v>0</v>
      </c>
      <c r="T135" s="66" t="e">
        <f t="shared" ref="T135:T136" si="26">S135/H135</f>
        <v>#DIV/0!</v>
      </c>
    </row>
    <row r="136" spans="1:20" s="163" customFormat="1" ht="16.5" hidden="1" customHeight="1" x14ac:dyDescent="0.25">
      <c r="A136" s="101">
        <v>96</v>
      </c>
      <c r="B136" s="928"/>
      <c r="C136" s="887"/>
      <c r="D136" s="924"/>
      <c r="E136" s="925"/>
      <c r="F136" s="942"/>
      <c r="G136" s="926"/>
      <c r="H136" s="945"/>
      <c r="I136" s="107">
        <f t="shared" si="21"/>
        <v>0</v>
      </c>
      <c r="J136" s="566"/>
      <c r="K136" s="596"/>
      <c r="L136" s="623"/>
      <c r="M136" s="596"/>
      <c r="N136" s="596"/>
      <c r="O136" s="895"/>
      <c r="P136" s="596"/>
      <c r="Q136" s="894"/>
      <c r="R136" s="595"/>
      <c r="S136" s="66">
        <f t="shared" si="15"/>
        <v>0</v>
      </c>
      <c r="T136" s="66" t="e">
        <f t="shared" si="26"/>
        <v>#DIV/0!</v>
      </c>
    </row>
    <row r="137" spans="1:20" s="163" customFormat="1" ht="16.5" hidden="1" customHeight="1" x14ac:dyDescent="0.25">
      <c r="A137" s="101">
        <v>97</v>
      </c>
      <c r="B137" s="928"/>
      <c r="C137" s="887"/>
      <c r="D137" s="927"/>
      <c r="E137" s="925"/>
      <c r="F137" s="942"/>
      <c r="G137" s="926"/>
      <c r="H137" s="945"/>
      <c r="I137" s="107">
        <f t="shared" si="21"/>
        <v>0</v>
      </c>
      <c r="J137" s="566"/>
      <c r="K137" s="596"/>
      <c r="L137" s="623"/>
      <c r="M137" s="596"/>
      <c r="N137" s="596"/>
      <c r="O137" s="895"/>
      <c r="P137" s="596"/>
      <c r="Q137" s="894"/>
      <c r="R137" s="595"/>
      <c r="S137" s="66">
        <f t="shared" si="15"/>
        <v>0</v>
      </c>
      <c r="T137" s="66" t="e">
        <f t="shared" ref="T137" si="27">S137/H137</f>
        <v>#DIV/0!</v>
      </c>
    </row>
    <row r="138" spans="1:20" s="163" customFormat="1" ht="17.25" hidden="1" customHeight="1" x14ac:dyDescent="0.25">
      <c r="A138" s="101">
        <v>98</v>
      </c>
      <c r="B138" s="928"/>
      <c r="C138" s="887"/>
      <c r="D138" s="924"/>
      <c r="E138" s="925"/>
      <c r="F138" s="942"/>
      <c r="G138" s="926"/>
      <c r="H138" s="945"/>
      <c r="I138" s="288">
        <f t="shared" si="21"/>
        <v>0</v>
      </c>
      <c r="J138" s="738"/>
      <c r="K138" s="739"/>
      <c r="L138" s="599"/>
      <c r="M138" s="739"/>
      <c r="N138" s="607"/>
      <c r="O138" s="895"/>
      <c r="P138" s="785"/>
      <c r="Q138" s="894"/>
      <c r="R138" s="595"/>
      <c r="S138" s="66">
        <f t="shared" ref="S138:S143" si="28">Q138+M138+K138</f>
        <v>0</v>
      </c>
      <c r="T138" s="66" t="e">
        <f t="shared" ref="T138:T143" si="29">S138/H138</f>
        <v>#DIV/0!</v>
      </c>
    </row>
    <row r="139" spans="1:20" s="163" customFormat="1" ht="16.5" hidden="1" customHeight="1" x14ac:dyDescent="0.25">
      <c r="A139" s="101">
        <v>99</v>
      </c>
      <c r="B139" s="928"/>
      <c r="C139" s="887"/>
      <c r="D139" s="924"/>
      <c r="E139" s="925"/>
      <c r="F139" s="942"/>
      <c r="G139" s="926"/>
      <c r="H139" s="945"/>
      <c r="I139" s="288">
        <f t="shared" si="21"/>
        <v>0</v>
      </c>
      <c r="J139" s="738"/>
      <c r="K139" s="739"/>
      <c r="L139" s="599"/>
      <c r="M139" s="739"/>
      <c r="N139" s="607"/>
      <c r="O139" s="895"/>
      <c r="P139" s="830"/>
      <c r="Q139" s="894"/>
      <c r="R139" s="595"/>
      <c r="S139" s="66">
        <f t="shared" si="28"/>
        <v>0</v>
      </c>
      <c r="T139" s="66" t="e">
        <f t="shared" si="29"/>
        <v>#DIV/0!</v>
      </c>
    </row>
    <row r="140" spans="1:20" s="163" customFormat="1" ht="16.5" hidden="1" customHeight="1" x14ac:dyDescent="0.25">
      <c r="A140" s="101">
        <v>100</v>
      </c>
      <c r="B140" s="928"/>
      <c r="C140" s="888"/>
      <c r="D140" s="927"/>
      <c r="E140" s="925"/>
      <c r="F140" s="942"/>
      <c r="G140" s="926"/>
      <c r="H140" s="945"/>
      <c r="I140" s="288">
        <f t="shared" si="21"/>
        <v>0</v>
      </c>
      <c r="J140" s="738"/>
      <c r="K140" s="739"/>
      <c r="L140" s="599"/>
      <c r="M140" s="739"/>
      <c r="N140" s="607"/>
      <c r="O140" s="895"/>
      <c r="P140" s="785"/>
      <c r="Q140" s="894"/>
      <c r="R140" s="595"/>
      <c r="S140" s="66">
        <f t="shared" si="28"/>
        <v>0</v>
      </c>
      <c r="T140" s="66" t="e">
        <f t="shared" si="29"/>
        <v>#DIV/0!</v>
      </c>
    </row>
    <row r="141" spans="1:20" s="163" customFormat="1" ht="16.5" hidden="1" customHeight="1" x14ac:dyDescent="0.25">
      <c r="A141" s="101"/>
      <c r="B141" s="891"/>
      <c r="C141" s="888"/>
      <c r="D141" s="889"/>
      <c r="E141" s="901"/>
      <c r="F141" s="943"/>
      <c r="G141" s="486"/>
      <c r="H141" s="946"/>
      <c r="I141" s="288">
        <f t="shared" si="21"/>
        <v>0</v>
      </c>
      <c r="J141" s="738"/>
      <c r="K141" s="739"/>
      <c r="L141" s="599"/>
      <c r="M141" s="739"/>
      <c r="N141" s="607"/>
      <c r="O141" s="895"/>
      <c r="P141" s="785"/>
      <c r="Q141" s="894"/>
      <c r="R141" s="595"/>
      <c r="S141" s="66">
        <f t="shared" si="28"/>
        <v>0</v>
      </c>
      <c r="T141" s="66" t="e">
        <f t="shared" si="29"/>
        <v>#DIV/0!</v>
      </c>
    </row>
    <row r="142" spans="1:20" s="163" customFormat="1" hidden="1" x14ac:dyDescent="0.25">
      <c r="A142" s="101"/>
      <c r="B142" s="822"/>
      <c r="C142" s="553"/>
      <c r="D142" s="578"/>
      <c r="E142" s="902"/>
      <c r="F142" s="944"/>
      <c r="G142" s="580"/>
      <c r="H142" s="947"/>
      <c r="I142" s="288">
        <f t="shared" si="21"/>
        <v>0</v>
      </c>
      <c r="J142" s="738"/>
      <c r="K142" s="739"/>
      <c r="L142" s="599"/>
      <c r="M142" s="739"/>
      <c r="N142" s="816"/>
      <c r="O142" s="893"/>
      <c r="P142" s="831"/>
      <c r="Q142" s="832"/>
      <c r="R142" s="833"/>
      <c r="S142" s="66">
        <f t="shared" si="28"/>
        <v>0</v>
      </c>
      <c r="T142" s="66" t="e">
        <f t="shared" si="29"/>
        <v>#DIV/0!</v>
      </c>
    </row>
    <row r="143" spans="1:20" s="163" customFormat="1" hidden="1" x14ac:dyDescent="0.25">
      <c r="A143" s="101"/>
      <c r="B143" s="582"/>
      <c r="C143" s="583"/>
      <c r="D143" s="578"/>
      <c r="E143" s="902"/>
      <c r="F143" s="944"/>
      <c r="G143" s="580"/>
      <c r="H143" s="947"/>
      <c r="I143" s="288">
        <f t="shared" si="21"/>
        <v>0</v>
      </c>
      <c r="J143" s="269"/>
      <c r="K143" s="252"/>
      <c r="L143" s="307"/>
      <c r="M143" s="251"/>
      <c r="N143" s="567"/>
      <c r="O143" s="834"/>
      <c r="P143" s="785"/>
      <c r="Q143" s="739"/>
      <c r="R143" s="786"/>
      <c r="S143" s="66">
        <f t="shared" si="28"/>
        <v>0</v>
      </c>
      <c r="T143" s="66" t="e">
        <f t="shared" si="29"/>
        <v>#DIV/0!</v>
      </c>
    </row>
    <row r="144" spans="1:20" s="163" customFormat="1" hidden="1" x14ac:dyDescent="0.25">
      <c r="A144" s="101"/>
      <c r="B144" s="582"/>
      <c r="C144" s="583"/>
      <c r="D144" s="578"/>
      <c r="E144" s="902"/>
      <c r="F144" s="579"/>
      <c r="G144" s="580"/>
      <c r="H144" s="947"/>
      <c r="I144" s="288">
        <f t="shared" si="21"/>
        <v>0</v>
      </c>
      <c r="J144" s="269"/>
      <c r="K144" s="252"/>
      <c r="L144" s="307"/>
      <c r="M144" s="251"/>
      <c r="N144" s="567"/>
      <c r="O144" s="620"/>
      <c r="P144" s="831"/>
      <c r="Q144" s="832"/>
      <c r="R144" s="833"/>
      <c r="S144" s="66"/>
      <c r="T144" s="66"/>
    </row>
    <row r="145" spans="1:20" s="163" customFormat="1" hidden="1" x14ac:dyDescent="0.25">
      <c r="A145" s="101"/>
      <c r="B145" s="582"/>
      <c r="C145" s="584"/>
      <c r="D145" s="578"/>
      <c r="E145" s="760"/>
      <c r="F145" s="579"/>
      <c r="G145" s="580"/>
      <c r="H145" s="947"/>
      <c r="I145" s="288">
        <f t="shared" si="21"/>
        <v>0</v>
      </c>
      <c r="J145" s="269"/>
      <c r="K145" s="252"/>
      <c r="L145" s="307"/>
      <c r="M145" s="251"/>
      <c r="N145" s="567"/>
      <c r="O145" s="620"/>
      <c r="P145" s="785"/>
      <c r="Q145" s="739"/>
      <c r="R145" s="786"/>
      <c r="S145" s="66"/>
      <c r="T145" s="66"/>
    </row>
    <row r="146" spans="1:20" s="163" customFormat="1" hidden="1" x14ac:dyDescent="0.25">
      <c r="A146" s="101"/>
      <c r="B146" s="582"/>
      <c r="C146" s="585"/>
      <c r="D146" s="578"/>
      <c r="E146" s="760"/>
      <c r="F146" s="579"/>
      <c r="G146" s="580"/>
      <c r="H146" s="581"/>
      <c r="I146" s="288">
        <f t="shared" si="21"/>
        <v>0</v>
      </c>
      <c r="J146" s="269"/>
      <c r="K146" s="252"/>
      <c r="L146" s="307"/>
      <c r="M146" s="251"/>
      <c r="N146" s="567"/>
      <c r="O146" s="620"/>
      <c r="P146" s="785"/>
      <c r="Q146" s="739"/>
      <c r="R146" s="786"/>
      <c r="S146" s="66"/>
      <c r="T146" s="66"/>
    </row>
    <row r="147" spans="1:20" s="163" customFormat="1" hidden="1" x14ac:dyDescent="0.25">
      <c r="A147" s="101"/>
      <c r="B147" s="582"/>
      <c r="C147" s="553"/>
      <c r="D147" s="578"/>
      <c r="E147" s="760"/>
      <c r="F147" s="579"/>
      <c r="G147" s="580"/>
      <c r="H147" s="581"/>
      <c r="I147" s="288">
        <f t="shared" si="21"/>
        <v>0</v>
      </c>
      <c r="J147" s="269"/>
      <c r="K147" s="252"/>
      <c r="L147" s="307"/>
      <c r="M147" s="251"/>
      <c r="N147" s="567"/>
      <c r="O147" s="620"/>
      <c r="P147" s="785"/>
      <c r="Q147" s="739"/>
      <c r="R147" s="786"/>
      <c r="S147" s="66"/>
      <c r="T147" s="66"/>
    </row>
    <row r="148" spans="1:20" s="163" customFormat="1" hidden="1" x14ac:dyDescent="0.25">
      <c r="A148" s="101"/>
      <c r="B148" s="582"/>
      <c r="C148" s="553"/>
      <c r="D148" s="578"/>
      <c r="E148" s="760"/>
      <c r="F148" s="579"/>
      <c r="G148" s="580"/>
      <c r="H148" s="581"/>
      <c r="I148" s="288">
        <f t="shared" si="21"/>
        <v>0</v>
      </c>
      <c r="J148" s="269"/>
      <c r="K148" s="252"/>
      <c r="L148" s="307"/>
      <c r="M148" s="251"/>
      <c r="N148" s="567"/>
      <c r="O148" s="620"/>
      <c r="P148" s="785"/>
      <c r="Q148" s="739"/>
      <c r="R148" s="786"/>
      <c r="S148" s="66"/>
      <c r="T148" s="66"/>
    </row>
    <row r="149" spans="1:20" s="163" customFormat="1" hidden="1" x14ac:dyDescent="0.25">
      <c r="A149" s="101"/>
      <c r="B149" s="582"/>
      <c r="C149" s="585"/>
      <c r="D149" s="578"/>
      <c r="E149" s="760"/>
      <c r="F149" s="579"/>
      <c r="G149" s="580"/>
      <c r="H149" s="581"/>
      <c r="I149" s="288">
        <f t="shared" si="21"/>
        <v>0</v>
      </c>
      <c r="J149" s="269"/>
      <c r="K149" s="252"/>
      <c r="L149" s="307"/>
      <c r="M149" s="251"/>
      <c r="N149" s="567"/>
      <c r="O149" s="620"/>
      <c r="P149" s="785"/>
      <c r="Q149" s="739"/>
      <c r="R149" s="786"/>
      <c r="S149" s="66"/>
      <c r="T149" s="66"/>
    </row>
    <row r="150" spans="1:20" s="163" customFormat="1" hidden="1" x14ac:dyDescent="0.25">
      <c r="A150" s="101"/>
      <c r="B150" s="582"/>
      <c r="C150" s="553"/>
      <c r="D150" s="578"/>
      <c r="E150" s="760"/>
      <c r="F150" s="579"/>
      <c r="G150" s="580"/>
      <c r="H150" s="581"/>
      <c r="I150" s="288">
        <f t="shared" si="21"/>
        <v>0</v>
      </c>
      <c r="J150" s="269"/>
      <c r="K150" s="252"/>
      <c r="L150" s="307"/>
      <c r="M150" s="251"/>
      <c r="N150" s="567"/>
      <c r="O150" s="620"/>
      <c r="P150" s="785"/>
      <c r="Q150" s="739"/>
      <c r="R150" s="786"/>
      <c r="S150" s="66"/>
      <c r="T150" s="66"/>
    </row>
    <row r="151" spans="1:20" s="163" customFormat="1" hidden="1" x14ac:dyDescent="0.25">
      <c r="A151" s="101"/>
      <c r="B151" s="582"/>
      <c r="C151" s="553"/>
      <c r="D151" s="578"/>
      <c r="E151" s="760"/>
      <c r="F151" s="579"/>
      <c r="G151" s="580"/>
      <c r="H151" s="581"/>
      <c r="I151" s="288">
        <f t="shared" si="21"/>
        <v>0</v>
      </c>
      <c r="J151" s="269"/>
      <c r="K151" s="252"/>
      <c r="L151" s="307"/>
      <c r="M151" s="251"/>
      <c r="N151" s="567"/>
      <c r="O151" s="620"/>
      <c r="P151" s="785"/>
      <c r="Q151" s="739"/>
      <c r="R151" s="786"/>
      <c r="S151" s="66"/>
      <c r="T151" s="66"/>
    </row>
    <row r="152" spans="1:20" s="163" customFormat="1" hidden="1" x14ac:dyDescent="0.25">
      <c r="A152" s="101"/>
      <c r="B152" s="582"/>
      <c r="C152" s="553"/>
      <c r="D152" s="578"/>
      <c r="E152" s="760"/>
      <c r="F152" s="579"/>
      <c r="G152" s="580"/>
      <c r="H152" s="581"/>
      <c r="I152" s="288">
        <f t="shared" si="21"/>
        <v>0</v>
      </c>
      <c r="J152" s="269"/>
      <c r="K152" s="252"/>
      <c r="L152" s="307"/>
      <c r="M152" s="251"/>
      <c r="N152" s="567"/>
      <c r="O152" s="620"/>
      <c r="P152" s="785"/>
      <c r="Q152" s="739"/>
      <c r="R152" s="786"/>
      <c r="S152" s="66"/>
      <c r="T152" s="66"/>
    </row>
    <row r="153" spans="1:20" s="163" customFormat="1" hidden="1" x14ac:dyDescent="0.25">
      <c r="A153" s="101"/>
      <c r="B153" s="582"/>
      <c r="C153" s="553"/>
      <c r="D153" s="578"/>
      <c r="E153" s="760"/>
      <c r="F153" s="579"/>
      <c r="G153" s="580"/>
      <c r="H153" s="581"/>
      <c r="I153" s="288">
        <f t="shared" si="21"/>
        <v>0</v>
      </c>
      <c r="J153" s="269"/>
      <c r="K153" s="252"/>
      <c r="L153" s="307"/>
      <c r="M153" s="251"/>
      <c r="N153" s="567"/>
      <c r="O153" s="620"/>
      <c r="P153" s="785"/>
      <c r="Q153" s="739"/>
      <c r="R153" s="786"/>
      <c r="S153" s="66"/>
      <c r="T153" s="66"/>
    </row>
    <row r="154" spans="1:20" s="163" customFormat="1" hidden="1" x14ac:dyDescent="0.25">
      <c r="A154" s="101"/>
      <c r="B154" s="582"/>
      <c r="C154" s="553"/>
      <c r="D154" s="578"/>
      <c r="E154" s="760"/>
      <c r="F154" s="579"/>
      <c r="G154" s="580"/>
      <c r="H154" s="581"/>
      <c r="I154" s="288">
        <f t="shared" si="21"/>
        <v>0</v>
      </c>
      <c r="J154" s="269"/>
      <c r="K154" s="252"/>
      <c r="L154" s="307"/>
      <c r="M154" s="251"/>
      <c r="N154" s="567"/>
      <c r="O154" s="620"/>
      <c r="P154" s="785"/>
      <c r="Q154" s="739"/>
      <c r="R154" s="786"/>
      <c r="S154" s="66"/>
      <c r="T154" s="66"/>
    </row>
    <row r="155" spans="1:20" s="163" customFormat="1" hidden="1" x14ac:dyDescent="0.25">
      <c r="A155" s="101"/>
      <c r="B155" s="582"/>
      <c r="C155" s="553"/>
      <c r="D155" s="578"/>
      <c r="E155" s="760"/>
      <c r="F155" s="579"/>
      <c r="G155" s="580"/>
      <c r="H155" s="581"/>
      <c r="I155" s="288">
        <f t="shared" si="21"/>
        <v>0</v>
      </c>
      <c r="J155" s="269"/>
      <c r="K155" s="252"/>
      <c r="L155" s="307"/>
      <c r="M155" s="251"/>
      <c r="N155" s="567"/>
      <c r="O155" s="620"/>
      <c r="P155" s="785"/>
      <c r="Q155" s="739"/>
      <c r="R155" s="786"/>
      <c r="S155" s="66"/>
      <c r="T155" s="66"/>
    </row>
    <row r="156" spans="1:20" s="163" customFormat="1" hidden="1" x14ac:dyDescent="0.25">
      <c r="A156" s="101"/>
      <c r="B156" s="582"/>
      <c r="C156" s="553"/>
      <c r="D156" s="578"/>
      <c r="E156" s="760"/>
      <c r="F156" s="579"/>
      <c r="G156" s="580"/>
      <c r="H156" s="581"/>
      <c r="I156" s="288">
        <f t="shared" si="21"/>
        <v>0</v>
      </c>
      <c r="J156" s="269"/>
      <c r="K156" s="252"/>
      <c r="L156" s="307"/>
      <c r="M156" s="251"/>
      <c r="N156" s="567"/>
      <c r="O156" s="620"/>
      <c r="P156" s="785"/>
      <c r="Q156" s="739"/>
      <c r="R156" s="786"/>
      <c r="S156" s="66"/>
      <c r="T156" s="66"/>
    </row>
    <row r="157" spans="1:20" s="163" customFormat="1" hidden="1" x14ac:dyDescent="0.25">
      <c r="A157" s="101"/>
      <c r="B157" s="582"/>
      <c r="C157" s="553"/>
      <c r="D157" s="578"/>
      <c r="E157" s="760"/>
      <c r="F157" s="579"/>
      <c r="G157" s="580"/>
      <c r="H157" s="581"/>
      <c r="I157" s="288">
        <f t="shared" si="21"/>
        <v>0</v>
      </c>
      <c r="J157" s="269"/>
      <c r="K157" s="252"/>
      <c r="L157" s="307"/>
      <c r="M157" s="251"/>
      <c r="N157" s="567"/>
      <c r="O157" s="620"/>
      <c r="P157" s="785"/>
      <c r="Q157" s="739"/>
      <c r="R157" s="786"/>
      <c r="S157" s="66"/>
      <c r="T157" s="66"/>
    </row>
    <row r="158" spans="1:20" s="163" customFormat="1" hidden="1" x14ac:dyDescent="0.25">
      <c r="A158" s="101"/>
      <c r="B158" s="380"/>
      <c r="C158" s="384"/>
      <c r="D158" s="490"/>
      <c r="E158" s="757"/>
      <c r="F158" s="669"/>
      <c r="G158" s="670"/>
      <c r="H158" s="671"/>
      <c r="I158" s="288">
        <f t="shared" si="21"/>
        <v>0</v>
      </c>
      <c r="J158" s="269"/>
      <c r="K158" s="252"/>
      <c r="L158" s="307"/>
      <c r="M158" s="251"/>
      <c r="N158" s="567"/>
      <c r="O158" s="620"/>
      <c r="P158" s="785"/>
      <c r="Q158" s="739"/>
      <c r="R158" s="786"/>
      <c r="S158" s="66"/>
      <c r="T158" s="66"/>
    </row>
    <row r="159" spans="1:20" s="163" customFormat="1" hidden="1" x14ac:dyDescent="0.25">
      <c r="A159" s="101"/>
      <c r="B159" s="380"/>
      <c r="C159" s="384"/>
      <c r="D159" s="490"/>
      <c r="E159" s="757"/>
      <c r="F159" s="669"/>
      <c r="G159" s="670"/>
      <c r="H159" s="671"/>
      <c r="I159" s="288">
        <f t="shared" si="21"/>
        <v>0</v>
      </c>
      <c r="J159" s="269"/>
      <c r="K159" s="252"/>
      <c r="L159" s="307"/>
      <c r="M159" s="251"/>
      <c r="N159" s="567"/>
      <c r="O159" s="620"/>
      <c r="P159" s="785"/>
      <c r="Q159" s="739"/>
      <c r="R159" s="786"/>
      <c r="S159" s="66"/>
      <c r="T159" s="66"/>
    </row>
    <row r="160" spans="1:20" s="163" customFormat="1" hidden="1" x14ac:dyDescent="0.25">
      <c r="A160" s="101"/>
      <c r="B160" s="380"/>
      <c r="C160" s="384"/>
      <c r="D160" s="490"/>
      <c r="E160" s="757"/>
      <c r="F160" s="669"/>
      <c r="G160" s="670"/>
      <c r="H160" s="671"/>
      <c r="I160" s="288">
        <f t="shared" si="21"/>
        <v>0</v>
      </c>
      <c r="J160" s="269"/>
      <c r="K160" s="252"/>
      <c r="L160" s="307"/>
      <c r="M160" s="251"/>
      <c r="N160" s="567"/>
      <c r="O160" s="620"/>
      <c r="P160" s="785"/>
      <c r="Q160" s="739"/>
      <c r="R160" s="786"/>
      <c r="S160" s="66"/>
      <c r="T160" s="66"/>
    </row>
    <row r="161" spans="1:20" s="163" customFormat="1" hidden="1" x14ac:dyDescent="0.25">
      <c r="A161" s="101"/>
      <c r="B161" s="668"/>
      <c r="C161" s="74"/>
      <c r="D161" s="167"/>
      <c r="E161" s="160"/>
      <c r="F161" s="107"/>
      <c r="G161" s="101"/>
      <c r="H161" s="560"/>
      <c r="I161" s="288">
        <f t="shared" si="21"/>
        <v>0</v>
      </c>
      <c r="J161" s="269"/>
      <c r="K161" s="252"/>
      <c r="L161" s="307"/>
      <c r="M161" s="251"/>
      <c r="N161" s="567"/>
      <c r="O161" s="620"/>
      <c r="P161" s="574"/>
      <c r="Q161" s="575"/>
      <c r="R161" s="576"/>
      <c r="S161" s="66"/>
      <c r="T161" s="66"/>
    </row>
    <row r="162" spans="1:20" s="163" customFormat="1" hidden="1" x14ac:dyDescent="0.25">
      <c r="A162" s="101"/>
      <c r="B162" s="76"/>
      <c r="C162" s="74"/>
      <c r="D162" s="167"/>
      <c r="E162" s="160"/>
      <c r="F162" s="107"/>
      <c r="G162" s="101"/>
      <c r="H162" s="560"/>
      <c r="I162" s="288">
        <f t="shared" si="21"/>
        <v>0</v>
      </c>
      <c r="J162" s="269"/>
      <c r="K162" s="252"/>
      <c r="L162" s="307"/>
      <c r="M162" s="251"/>
      <c r="N162" s="567"/>
      <c r="O162" s="620"/>
      <c r="P162" s="574"/>
      <c r="Q162" s="575"/>
      <c r="R162" s="576"/>
      <c r="S162" s="66"/>
      <c r="T162" s="66"/>
    </row>
    <row r="163" spans="1:20" s="163" customFormat="1" hidden="1" x14ac:dyDescent="0.25">
      <c r="A163" s="101"/>
      <c r="B163" s="76"/>
      <c r="C163" s="74"/>
      <c r="D163" s="167"/>
      <c r="E163" s="160"/>
      <c r="F163" s="107"/>
      <c r="G163" s="101"/>
      <c r="H163" s="560"/>
      <c r="I163" s="288">
        <f t="shared" si="21"/>
        <v>0</v>
      </c>
      <c r="J163" s="269"/>
      <c r="K163" s="252"/>
      <c r="L163" s="307"/>
      <c r="M163" s="251"/>
      <c r="N163" s="567"/>
      <c r="O163" s="620"/>
      <c r="P163" s="574"/>
      <c r="Q163" s="575"/>
      <c r="R163" s="576"/>
      <c r="S163" s="66"/>
      <c r="T163" s="66"/>
    </row>
    <row r="164" spans="1:20" s="163" customFormat="1" hidden="1" x14ac:dyDescent="0.25">
      <c r="A164" s="101"/>
      <c r="B164" s="76"/>
      <c r="C164" s="74"/>
      <c r="D164" s="167"/>
      <c r="E164" s="160"/>
      <c r="F164" s="107"/>
      <c r="G164" s="101"/>
      <c r="H164" s="560"/>
      <c r="I164" s="288">
        <f t="shared" si="21"/>
        <v>0</v>
      </c>
      <c r="J164" s="269"/>
      <c r="K164" s="252"/>
      <c r="L164" s="307"/>
      <c r="M164" s="251"/>
      <c r="N164" s="567"/>
      <c r="O164" s="620"/>
      <c r="P164" s="574"/>
      <c r="Q164" s="575"/>
      <c r="R164" s="576"/>
      <c r="S164" s="66"/>
      <c r="T164" s="66"/>
    </row>
    <row r="165" spans="1:20" s="163" customFormat="1" hidden="1" x14ac:dyDescent="0.25">
      <c r="A165" s="101"/>
      <c r="B165" s="76"/>
      <c r="C165" s="74"/>
      <c r="D165" s="167"/>
      <c r="E165" s="160"/>
      <c r="F165" s="107"/>
      <c r="G165" s="101"/>
      <c r="H165" s="560"/>
      <c r="I165" s="288">
        <f t="shared" si="21"/>
        <v>0</v>
      </c>
      <c r="J165" s="269"/>
      <c r="K165" s="252"/>
      <c r="L165" s="307"/>
      <c r="M165" s="251"/>
      <c r="N165" s="567"/>
      <c r="O165" s="620"/>
      <c r="P165" s="574"/>
      <c r="Q165" s="575"/>
      <c r="R165" s="576"/>
      <c r="S165" s="66"/>
      <c r="T165" s="66"/>
    </row>
    <row r="166" spans="1:20" s="163" customFormat="1" hidden="1" x14ac:dyDescent="0.25">
      <c r="A166" s="101"/>
      <c r="B166" s="76"/>
      <c r="C166" s="74"/>
      <c r="D166" s="167"/>
      <c r="E166" s="160"/>
      <c r="F166" s="107"/>
      <c r="G166" s="101"/>
      <c r="H166" s="560"/>
      <c r="I166" s="288">
        <f t="shared" si="21"/>
        <v>0</v>
      </c>
      <c r="J166" s="269"/>
      <c r="K166" s="252"/>
      <c r="L166" s="307"/>
      <c r="M166" s="251"/>
      <c r="N166" s="567"/>
      <c r="O166" s="620"/>
      <c r="P166" s="574"/>
      <c r="Q166" s="575"/>
      <c r="R166" s="576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60"/>
      <c r="I167" s="288">
        <f t="shared" si="21"/>
        <v>0</v>
      </c>
      <c r="J167" s="269"/>
      <c r="K167" s="252"/>
      <c r="L167" s="307"/>
      <c r="M167" s="251"/>
      <c r="N167" s="567"/>
      <c r="O167" s="620"/>
      <c r="P167" s="574"/>
      <c r="Q167" s="575"/>
      <c r="R167" s="576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60"/>
      <c r="I168" s="288">
        <f t="shared" si="21"/>
        <v>0</v>
      </c>
      <c r="J168" s="269"/>
      <c r="K168" s="252"/>
      <c r="L168" s="307"/>
      <c r="M168" s="251"/>
      <c r="N168" s="480"/>
      <c r="O168" s="621"/>
      <c r="P168" s="250"/>
      <c r="Q168" s="251"/>
      <c r="R168" s="532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60"/>
      <c r="I169" s="288">
        <f t="shared" si="21"/>
        <v>0</v>
      </c>
      <c r="J169" s="269"/>
      <c r="K169" s="252"/>
      <c r="L169" s="307"/>
      <c r="M169" s="251"/>
      <c r="N169" s="480"/>
      <c r="O169" s="621"/>
      <c r="P169" s="250"/>
      <c r="Q169" s="251"/>
      <c r="R169" s="532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60"/>
      <c r="I170" s="288">
        <f t="shared" si="21"/>
        <v>0</v>
      </c>
      <c r="J170" s="269"/>
      <c r="K170" s="252"/>
      <c r="L170" s="307"/>
      <c r="M170" s="251"/>
      <c r="N170" s="480"/>
      <c r="O170" s="621"/>
      <c r="P170" s="250"/>
      <c r="Q170" s="251"/>
      <c r="R170" s="532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49"/>
      <c r="G171" s="101"/>
      <c r="H171" s="560"/>
      <c r="I171" s="288">
        <f t="shared" si="21"/>
        <v>0</v>
      </c>
      <c r="J171" s="269"/>
      <c r="K171" s="306"/>
      <c r="L171" s="307"/>
      <c r="M171" s="279"/>
      <c r="N171" s="480"/>
      <c r="O171" s="281"/>
      <c r="P171" s="304"/>
      <c r="Q171" s="316"/>
      <c r="R171" s="533"/>
      <c r="S171" s="66">
        <f t="shared" ref="S171:S176" si="30">Q171+M171+K171</f>
        <v>0</v>
      </c>
      <c r="T171" s="66" t="e">
        <f t="shared" ref="T171:T179" si="31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49"/>
      <c r="G172" s="101"/>
      <c r="H172" s="560"/>
      <c r="I172" s="107">
        <f t="shared" si="21"/>
        <v>0</v>
      </c>
      <c r="J172" s="199"/>
      <c r="K172" s="110"/>
      <c r="L172" s="180"/>
      <c r="M172" s="72"/>
      <c r="N172" s="481"/>
      <c r="O172" s="131"/>
      <c r="P172" s="119"/>
      <c r="Q172" s="186"/>
      <c r="R172" s="184"/>
      <c r="S172" s="66">
        <f t="shared" si="30"/>
        <v>0</v>
      </c>
      <c r="T172" s="66" t="e">
        <f t="shared" si="31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49"/>
      <c r="G173" s="101"/>
      <c r="H173" s="560"/>
      <c r="I173" s="107">
        <f t="shared" si="21"/>
        <v>0</v>
      </c>
      <c r="J173" s="199"/>
      <c r="K173" s="110"/>
      <c r="L173" s="180"/>
      <c r="M173" s="72"/>
      <c r="N173" s="481"/>
      <c r="O173" s="131"/>
      <c r="P173" s="119"/>
      <c r="Q173" s="186"/>
      <c r="R173" s="184"/>
      <c r="S173" s="66">
        <f t="shared" si="30"/>
        <v>0</v>
      </c>
      <c r="T173" s="66" t="e">
        <f t="shared" si="31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49"/>
      <c r="G174" s="101"/>
      <c r="H174" s="560"/>
      <c r="I174" s="107">
        <f t="shared" si="21"/>
        <v>0</v>
      </c>
      <c r="J174" s="199"/>
      <c r="K174" s="110"/>
      <c r="L174" s="180"/>
      <c r="M174" s="72"/>
      <c r="N174" s="481"/>
      <c r="O174" s="131"/>
      <c r="P174" s="119"/>
      <c r="Q174" s="186"/>
      <c r="R174" s="185"/>
      <c r="S174" s="66">
        <f t="shared" si="30"/>
        <v>0</v>
      </c>
      <c r="T174" s="66" t="e">
        <f t="shared" si="31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49"/>
      <c r="G175" s="101"/>
      <c r="H175" s="560"/>
      <c r="I175" s="107">
        <f t="shared" si="21"/>
        <v>0</v>
      </c>
      <c r="J175" s="199"/>
      <c r="K175" s="110"/>
      <c r="L175" s="180"/>
      <c r="M175" s="72"/>
      <c r="N175" s="481"/>
      <c r="O175" s="131"/>
      <c r="P175" s="119"/>
      <c r="Q175" s="186"/>
      <c r="R175" s="185"/>
      <c r="S175" s="66">
        <f t="shared" si="30"/>
        <v>0</v>
      </c>
      <c r="T175" s="66" t="e">
        <f t="shared" si="31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49"/>
      <c r="G176" s="101"/>
      <c r="H176" s="560"/>
      <c r="I176" s="107">
        <f t="shared" si="21"/>
        <v>0</v>
      </c>
      <c r="J176" s="199"/>
      <c r="K176" s="110"/>
      <c r="L176" s="180"/>
      <c r="M176" s="72"/>
      <c r="N176" s="481"/>
      <c r="O176" s="131"/>
      <c r="P176" s="119"/>
      <c r="Q176" s="72"/>
      <c r="R176" s="181"/>
      <c r="S176" s="66">
        <f t="shared" si="30"/>
        <v>0</v>
      </c>
      <c r="T176" s="66" t="e">
        <f t="shared" si="31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49"/>
      <c r="G177" s="101"/>
      <c r="H177" s="560"/>
      <c r="I177" s="107">
        <f t="shared" si="21"/>
        <v>0</v>
      </c>
      <c r="J177" s="199"/>
      <c r="K177" s="110"/>
      <c r="L177" s="180"/>
      <c r="M177" s="72"/>
      <c r="N177" s="481"/>
      <c r="O177" s="131"/>
      <c r="P177" s="119"/>
      <c r="Q177" s="72"/>
      <c r="R177" s="181"/>
      <c r="S177" s="66">
        <f t="shared" ref="S177:S182" si="32">Q177+M177+K177</f>
        <v>0</v>
      </c>
      <c r="T177" s="66" t="e">
        <f t="shared" si="31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49"/>
      <c r="G178" s="101"/>
      <c r="H178" s="560"/>
      <c r="I178" s="107">
        <f t="shared" si="21"/>
        <v>0</v>
      </c>
      <c r="J178" s="199"/>
      <c r="K178" s="110"/>
      <c r="L178" s="180"/>
      <c r="M178" s="72"/>
      <c r="N178" s="481"/>
      <c r="O178" s="131"/>
      <c r="P178" s="119"/>
      <c r="Q178" s="72"/>
      <c r="R178" s="181"/>
      <c r="S178" s="66">
        <f t="shared" si="32"/>
        <v>0</v>
      </c>
      <c r="T178" s="66" t="e">
        <f t="shared" si="31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49"/>
      <c r="G179" s="101"/>
      <c r="H179" s="560"/>
      <c r="I179" s="107">
        <f t="shared" si="21"/>
        <v>0</v>
      </c>
      <c r="J179" s="199"/>
      <c r="K179" s="110"/>
      <c r="L179" s="180"/>
      <c r="M179" s="72"/>
      <c r="N179" s="481"/>
      <c r="O179" s="131"/>
      <c r="P179" s="119"/>
      <c r="Q179" s="72"/>
      <c r="R179" s="181"/>
      <c r="S179" s="66">
        <f t="shared" si="32"/>
        <v>0</v>
      </c>
      <c r="T179" s="66" t="e">
        <f t="shared" si="31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49"/>
      <c r="G180" s="101"/>
      <c r="H180" s="560"/>
      <c r="I180" s="107">
        <f t="shared" si="21"/>
        <v>0</v>
      </c>
      <c r="J180" s="199"/>
      <c r="K180" s="110"/>
      <c r="L180" s="180"/>
      <c r="M180" s="72"/>
      <c r="N180" s="481"/>
      <c r="O180" s="131"/>
      <c r="P180" s="119"/>
      <c r="Q180" s="72"/>
      <c r="R180" s="181"/>
      <c r="S180" s="66">
        <f t="shared" si="32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49"/>
      <c r="G181" s="101"/>
      <c r="H181" s="560"/>
      <c r="I181" s="107">
        <f t="shared" si="21"/>
        <v>0</v>
      </c>
      <c r="J181" s="199"/>
      <c r="K181" s="110"/>
      <c r="L181" s="180"/>
      <c r="M181" s="72"/>
      <c r="N181" s="481"/>
      <c r="O181" s="131"/>
      <c r="P181" s="119"/>
      <c r="Q181" s="61"/>
      <c r="R181" s="182"/>
      <c r="S181" s="66">
        <f t="shared" si="32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49"/>
      <c r="G182" s="101"/>
      <c r="H182" s="560"/>
      <c r="I182" s="107">
        <f t="shared" si="21"/>
        <v>0</v>
      </c>
      <c r="J182" s="199"/>
      <c r="K182" s="110"/>
      <c r="L182" s="180"/>
      <c r="M182" s="72"/>
      <c r="N182" s="481"/>
      <c r="O182" s="131"/>
      <c r="P182" s="119"/>
      <c r="Q182" s="61"/>
      <c r="R182" s="174"/>
      <c r="S182" s="66">
        <f t="shared" si="32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61"/>
      <c r="F183" s="749"/>
      <c r="G183" s="101"/>
      <c r="H183" s="560"/>
      <c r="I183" s="107">
        <f t="shared" si="21"/>
        <v>0</v>
      </c>
      <c r="J183" s="133"/>
      <c r="K183" s="175"/>
      <c r="L183" s="681"/>
      <c r="M183" s="72"/>
      <c r="N183" s="482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55" t="s">
        <v>31</v>
      </c>
      <c r="G184" s="73">
        <f>SUM(G5:G183)</f>
        <v>3599</v>
      </c>
      <c r="H184" s="562">
        <f>SUM(H3:H183)</f>
        <v>777181.65</v>
      </c>
      <c r="I184" s="793">
        <f>PIERNA!I37</f>
        <v>-62.019999999996799</v>
      </c>
      <c r="J184" s="46"/>
      <c r="K184" s="177">
        <f>SUM(K5:K183)</f>
        <v>396615</v>
      </c>
      <c r="L184" s="682"/>
      <c r="M184" s="177">
        <f>SUM(M5:M183)</f>
        <v>1044000</v>
      </c>
      <c r="N184" s="483"/>
      <c r="O184" s="622"/>
      <c r="P184" s="120"/>
      <c r="Q184" s="178">
        <f>SUM(Q5:Q183)</f>
        <v>24506328.833259992</v>
      </c>
      <c r="R184" s="158"/>
      <c r="S184" s="188">
        <f>Q184+M184+K184</f>
        <v>25946943.833259992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83"/>
      <c r="N185" s="193"/>
      <c r="O185" s="173"/>
      <c r="P185" s="96"/>
      <c r="Q185" s="76"/>
      <c r="R185" s="159" t="s">
        <v>43</v>
      </c>
    </row>
  </sheetData>
  <sortState ref="B98:O105">
    <sortCondition ref="E98:E105"/>
  </sortState>
  <mergeCells count="18">
    <mergeCell ref="R116:R117"/>
    <mergeCell ref="O113:O115"/>
    <mergeCell ref="R113:R115"/>
    <mergeCell ref="R105:R107"/>
    <mergeCell ref="R102:R104"/>
    <mergeCell ref="B113:B115"/>
    <mergeCell ref="E113:E115"/>
    <mergeCell ref="B105:B107"/>
    <mergeCell ref="E105:E107"/>
    <mergeCell ref="O105:O107"/>
    <mergeCell ref="B102:B104"/>
    <mergeCell ref="E102:E104"/>
    <mergeCell ref="Q1:Q2"/>
    <mergeCell ref="K1:K2"/>
    <mergeCell ref="M1:M2"/>
    <mergeCell ref="O102:O104"/>
    <mergeCell ref="B116:B117"/>
    <mergeCell ref="O116:O11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G25" sqref="G2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6" t="s">
        <v>246</v>
      </c>
      <c r="B1" s="1176"/>
      <c r="C1" s="1176"/>
      <c r="D1" s="1176"/>
      <c r="E1" s="1176"/>
      <c r="F1" s="1176"/>
      <c r="G1" s="1176"/>
      <c r="H1" s="11">
        <v>1</v>
      </c>
    </row>
    <row r="2" spans="1:15" ht="16.5" thickBot="1" x14ac:dyDescent="0.3">
      <c r="K2" s="732"/>
      <c r="L2" s="262"/>
      <c r="M2" s="261"/>
      <c r="N2" s="323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18.75" x14ac:dyDescent="0.3">
      <c r="A5" s="1184" t="s">
        <v>102</v>
      </c>
      <c r="B5" s="550" t="s">
        <v>342</v>
      </c>
      <c r="C5" s="132">
        <v>140</v>
      </c>
      <c r="D5" s="140">
        <v>44548</v>
      </c>
      <c r="E5" s="203">
        <v>100</v>
      </c>
      <c r="F5" s="143">
        <v>100</v>
      </c>
      <c r="G5" s="89">
        <f>F29</f>
        <v>100</v>
      </c>
      <c r="H5" s="7">
        <f>E5-G5+E4+E6</f>
        <v>0</v>
      </c>
    </row>
    <row r="6" spans="1:15" ht="15.75" thickBot="1" x14ac:dyDescent="0.3">
      <c r="A6" s="1184"/>
      <c r="B6" s="200"/>
      <c r="C6" s="262"/>
      <c r="D6" s="261"/>
      <c r="E6" s="323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>
        <v>100</v>
      </c>
      <c r="D8" s="70">
        <v>100</v>
      </c>
      <c r="E8" s="140">
        <v>44548</v>
      </c>
      <c r="F8" s="288">
        <f t="shared" ref="F8:F28" si="0">D8</f>
        <v>100</v>
      </c>
      <c r="G8" s="278" t="s">
        <v>542</v>
      </c>
      <c r="H8" s="279">
        <v>140</v>
      </c>
      <c r="I8" s="764">
        <f>E5+E6-F8+E4</f>
        <v>0</v>
      </c>
      <c r="J8" s="787">
        <f>H8*F8</f>
        <v>14000</v>
      </c>
    </row>
    <row r="9" spans="1:15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1093"/>
      <c r="H9" s="1094"/>
      <c r="I9" s="1114">
        <f>I8-F9</f>
        <v>0</v>
      </c>
      <c r="J9" s="1115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si="0"/>
        <v>0</v>
      </c>
      <c r="G10" s="1093"/>
      <c r="H10" s="1094"/>
      <c r="I10" s="1114">
        <f t="shared" ref="I10:I27" si="3">I9-F10</f>
        <v>0</v>
      </c>
      <c r="J10" s="1115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0"/>
        <v>0</v>
      </c>
      <c r="G11" s="1093"/>
      <c r="H11" s="1094"/>
      <c r="I11" s="1114">
        <f t="shared" si="3"/>
        <v>0</v>
      </c>
      <c r="J11" s="1115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8">
        <f t="shared" si="0"/>
        <v>0</v>
      </c>
      <c r="G12" s="1093"/>
      <c r="H12" s="1094"/>
      <c r="I12" s="1114">
        <f t="shared" si="3"/>
        <v>0</v>
      </c>
      <c r="J12" s="1115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0"/>
        <v>0</v>
      </c>
      <c r="G13" s="278"/>
      <c r="H13" s="279"/>
      <c r="I13" s="766">
        <f t="shared" si="3"/>
        <v>0</v>
      </c>
      <c r="J13" s="787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0"/>
        <v>0</v>
      </c>
      <c r="G14" s="278"/>
      <c r="H14" s="279"/>
      <c r="I14" s="766">
        <f t="shared" si="3"/>
        <v>0</v>
      </c>
      <c r="J14" s="787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66">
        <f t="shared" si="3"/>
        <v>0</v>
      </c>
      <c r="J15" s="787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67">
        <f t="shared" si="3"/>
        <v>0</v>
      </c>
      <c r="J16" s="765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67">
        <f t="shared" si="3"/>
        <v>0</v>
      </c>
      <c r="J17" s="765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67">
        <f t="shared" si="3"/>
        <v>0</v>
      </c>
      <c r="J18" s="765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67">
        <f t="shared" si="3"/>
        <v>0</v>
      </c>
      <c r="J19" s="765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67">
        <f t="shared" si="3"/>
        <v>0</v>
      </c>
      <c r="J20" s="765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67">
        <f t="shared" si="3"/>
        <v>0</v>
      </c>
      <c r="J21" s="765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67">
        <f t="shared" si="3"/>
        <v>0</v>
      </c>
      <c r="J22" s="765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67">
        <f t="shared" si="3"/>
        <v>0</v>
      </c>
      <c r="J23" s="765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67">
        <f t="shared" si="3"/>
        <v>0</v>
      </c>
      <c r="J24" s="765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67">
        <f t="shared" si="3"/>
        <v>0</v>
      </c>
      <c r="J25" s="765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67">
        <f t="shared" si="3"/>
        <v>0</v>
      </c>
      <c r="J26" s="765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68">
        <f t="shared" si="3"/>
        <v>0</v>
      </c>
      <c r="J27" s="765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5"/>
      <c r="F28" s="231">
        <f t="shared" si="0"/>
        <v>0</v>
      </c>
      <c r="G28" s="145"/>
      <c r="H28" s="221"/>
      <c r="I28" s="769"/>
      <c r="J28" s="770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100</v>
      </c>
      <c r="D29" s="107">
        <f>SUM(D8:D28)</f>
        <v>100</v>
      </c>
      <c r="E29" s="140"/>
      <c r="F29" s="107">
        <f>SUM(F8:F28)</f>
        <v>100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158" t="s">
        <v>21</v>
      </c>
      <c r="E31" s="1159"/>
      <c r="F31" s="147">
        <f>E4+E5-F29+E6</f>
        <v>0</v>
      </c>
    </row>
    <row r="32" spans="1:10" ht="15.75" thickBot="1" x14ac:dyDescent="0.3">
      <c r="A32" s="129"/>
      <c r="D32" s="639" t="s">
        <v>4</v>
      </c>
      <c r="E32" s="640"/>
      <c r="F32" s="49">
        <f>F4+F5-C29+F6</f>
        <v>0</v>
      </c>
    </row>
    <row r="33" spans="2:2" x14ac:dyDescent="0.25">
      <c r="B33" s="207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17"/>
    <col min="10" max="10" width="17.5703125" customWidth="1"/>
  </cols>
  <sheetData>
    <row r="1" spans="1:11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11" ht="16.5" thickBot="1" x14ac:dyDescent="0.3">
      <c r="K2" s="732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3"/>
      <c r="F4" s="143"/>
      <c r="G4" s="38"/>
    </row>
    <row r="5" spans="1:11" ht="18.75" x14ac:dyDescent="0.3">
      <c r="A5" s="76"/>
      <c r="B5" s="550" t="s">
        <v>91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0"/>
      <c r="C6" s="262"/>
      <c r="D6" s="261"/>
      <c r="E6" s="323"/>
      <c r="F6" s="256"/>
    </row>
    <row r="7" spans="1:11" ht="17.2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18"/>
      <c r="J7" s="24"/>
    </row>
    <row r="8" spans="1:11" ht="16.5" thickTop="1" x14ac:dyDescent="0.25">
      <c r="A8" s="56" t="s">
        <v>32</v>
      </c>
      <c r="B8" s="205">
        <f>F4+F5+F6-C8</f>
        <v>0</v>
      </c>
      <c r="C8" s="15"/>
      <c r="D8" s="70">
        <v>0</v>
      </c>
      <c r="E8" s="140"/>
      <c r="F8" s="288">
        <f t="shared" ref="F8:F9" si="0">D8</f>
        <v>0</v>
      </c>
      <c r="G8" s="278"/>
      <c r="H8" s="279"/>
      <c r="I8" s="819">
        <f>E5+E6-F8+E4</f>
        <v>0</v>
      </c>
      <c r="J8" s="787">
        <f>H8*F8</f>
        <v>0</v>
      </c>
    </row>
    <row r="9" spans="1:11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278"/>
      <c r="H9" s="279"/>
      <c r="I9" s="819">
        <f>I8-F9</f>
        <v>0</v>
      </c>
      <c r="J9" s="787">
        <f t="shared" ref="J9:J28" si="1">H9*F9</f>
        <v>0</v>
      </c>
    </row>
    <row r="10" spans="1:11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ref="F10:F28" si="3">D10</f>
        <v>0</v>
      </c>
      <c r="G10" s="278"/>
      <c r="H10" s="279"/>
      <c r="I10" s="819">
        <f t="shared" ref="I10:I27" si="4">I9-F10</f>
        <v>0</v>
      </c>
      <c r="J10" s="787">
        <f t="shared" si="1"/>
        <v>0</v>
      </c>
    </row>
    <row r="11" spans="1:11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3"/>
        <v>0</v>
      </c>
      <c r="G11" s="278"/>
      <c r="H11" s="279"/>
      <c r="I11" s="819">
        <f t="shared" si="4"/>
        <v>0</v>
      </c>
      <c r="J11" s="787">
        <f t="shared" si="1"/>
        <v>0</v>
      </c>
    </row>
    <row r="12" spans="1:11" x14ac:dyDescent="0.25">
      <c r="B12" s="205">
        <f t="shared" si="2"/>
        <v>0</v>
      </c>
      <c r="C12" s="15"/>
      <c r="D12" s="70">
        <v>0</v>
      </c>
      <c r="E12" s="140"/>
      <c r="F12" s="288">
        <f t="shared" si="3"/>
        <v>0</v>
      </c>
      <c r="G12" s="278"/>
      <c r="H12" s="279"/>
      <c r="I12" s="819">
        <f t="shared" si="4"/>
        <v>0</v>
      </c>
      <c r="J12" s="787">
        <f t="shared" si="1"/>
        <v>0</v>
      </c>
    </row>
    <row r="13" spans="1:11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3"/>
        <v>0</v>
      </c>
      <c r="G13" s="278"/>
      <c r="H13" s="279"/>
      <c r="I13" s="819">
        <f t="shared" si="4"/>
        <v>0</v>
      </c>
      <c r="J13" s="787">
        <f t="shared" si="1"/>
        <v>0</v>
      </c>
    </row>
    <row r="14" spans="1:11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3"/>
        <v>0</v>
      </c>
      <c r="G14" s="278"/>
      <c r="H14" s="279"/>
      <c r="I14" s="819">
        <f t="shared" si="4"/>
        <v>0</v>
      </c>
      <c r="J14" s="787">
        <f t="shared" si="1"/>
        <v>0</v>
      </c>
    </row>
    <row r="15" spans="1:11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3"/>
        <v>0</v>
      </c>
      <c r="G15" s="278"/>
      <c r="H15" s="279"/>
      <c r="I15" s="819">
        <f t="shared" si="4"/>
        <v>0</v>
      </c>
      <c r="J15" s="787">
        <f t="shared" si="1"/>
        <v>0</v>
      </c>
    </row>
    <row r="16" spans="1:11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20">
        <f t="shared" si="4"/>
        <v>0</v>
      </c>
      <c r="J16" s="765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20">
        <f t="shared" si="4"/>
        <v>0</v>
      </c>
      <c r="J17" s="765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20">
        <f t="shared" si="4"/>
        <v>0</v>
      </c>
      <c r="J18" s="765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20">
        <f t="shared" si="4"/>
        <v>0</v>
      </c>
      <c r="J19" s="765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20">
        <f t="shared" si="4"/>
        <v>0</v>
      </c>
      <c r="J20" s="765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20">
        <f t="shared" si="4"/>
        <v>0</v>
      </c>
      <c r="J21" s="765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20">
        <f t="shared" si="4"/>
        <v>0</v>
      </c>
      <c r="J22" s="765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20">
        <f t="shared" si="4"/>
        <v>0</v>
      </c>
      <c r="J23" s="765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20">
        <f t="shared" si="4"/>
        <v>0</v>
      </c>
      <c r="J24" s="765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20">
        <f t="shared" si="4"/>
        <v>0</v>
      </c>
      <c r="J25" s="765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20">
        <f t="shared" si="4"/>
        <v>0</v>
      </c>
      <c r="J26" s="765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20">
        <f t="shared" si="4"/>
        <v>0</v>
      </c>
      <c r="J27" s="765">
        <f t="shared" si="1"/>
        <v>0</v>
      </c>
    </row>
    <row r="28" spans="1:10" ht="16.5" thickBot="1" x14ac:dyDescent="0.3">
      <c r="A28" s="125"/>
      <c r="B28" s="206"/>
      <c r="C28" s="37"/>
      <c r="D28" s="70">
        <v>0</v>
      </c>
      <c r="E28" s="345"/>
      <c r="F28" s="231">
        <f t="shared" si="3"/>
        <v>0</v>
      </c>
      <c r="G28" s="145"/>
      <c r="H28" s="221"/>
      <c r="I28" s="821"/>
      <c r="J28" s="770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7"/>
      <c r="D31" s="1158" t="s">
        <v>21</v>
      </c>
      <c r="E31" s="1159"/>
      <c r="F31" s="147">
        <f>E4+E5-F29+E6</f>
        <v>0</v>
      </c>
    </row>
    <row r="32" spans="1:10" ht="16.5" thickBot="1" x14ac:dyDescent="0.3">
      <c r="A32" s="129"/>
      <c r="D32" s="814" t="s">
        <v>4</v>
      </c>
      <c r="E32" s="815"/>
      <c r="F32" s="49">
        <f>F4+F5-C29+F6</f>
        <v>0</v>
      </c>
    </row>
    <row r="33" spans="2:2" x14ac:dyDescent="0.25">
      <c r="B33" s="207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62" t="s">
        <v>246</v>
      </c>
      <c r="B1" s="1162"/>
      <c r="C1" s="1162"/>
      <c r="D1" s="1162"/>
      <c r="E1" s="1162"/>
      <c r="F1" s="1162"/>
      <c r="G1" s="1162"/>
      <c r="H1" s="378">
        <v>1</v>
      </c>
      <c r="I1" s="631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27"/>
    </row>
    <row r="3" spans="1:10" ht="16.5" thickTop="1" thickBot="1" x14ac:dyDescent="0.3">
      <c r="A3" s="73" t="s">
        <v>0</v>
      </c>
      <c r="B3" s="1035" t="s">
        <v>1</v>
      </c>
      <c r="C3" s="73"/>
      <c r="D3" s="73" t="s">
        <v>2</v>
      </c>
      <c r="E3" s="73" t="s">
        <v>3</v>
      </c>
      <c r="F3" s="73" t="s">
        <v>4</v>
      </c>
      <c r="G3" s="388" t="s">
        <v>20</v>
      </c>
      <c r="H3" s="387" t="s">
        <v>6</v>
      </c>
      <c r="I3" s="632"/>
    </row>
    <row r="4" spans="1:10" ht="15.75" thickTop="1" x14ac:dyDescent="0.25">
      <c r="A4" s="76"/>
      <c r="B4" s="1185"/>
      <c r="C4" s="624"/>
      <c r="D4" s="261"/>
      <c r="E4" s="259"/>
      <c r="F4" s="256"/>
      <c r="G4" s="783"/>
      <c r="H4" s="159"/>
      <c r="I4" s="636"/>
    </row>
    <row r="5" spans="1:10" ht="28.5" customHeight="1" thickBot="1" x14ac:dyDescent="0.3">
      <c r="A5" s="780"/>
      <c r="B5" s="1186"/>
      <c r="C5" s="338"/>
      <c r="D5" s="261"/>
      <c r="E5" s="586"/>
      <c r="F5" s="256"/>
      <c r="G5" s="254">
        <f>F30</f>
        <v>0</v>
      </c>
      <c r="H5" s="144">
        <f>E5-G5</f>
        <v>0</v>
      </c>
      <c r="I5" s="633"/>
    </row>
    <row r="6" spans="1:10" ht="15.75" hidden="1" thickBot="1" x14ac:dyDescent="0.3">
      <c r="A6" s="263"/>
      <c r="B6" s="719"/>
      <c r="C6" s="627"/>
      <c r="D6" s="261"/>
      <c r="E6" s="76"/>
      <c r="F6" s="74"/>
      <c r="G6" s="256"/>
      <c r="H6" s="255"/>
      <c r="I6" s="338"/>
    </row>
    <row r="7" spans="1:10" ht="15.75" hidden="1" thickBot="1" x14ac:dyDescent="0.3">
      <c r="A7" s="263"/>
      <c r="B7" s="806"/>
      <c r="C7" s="627"/>
      <c r="D7" s="261"/>
      <c r="E7" s="76"/>
      <c r="F7" s="74"/>
      <c r="G7" s="256"/>
      <c r="H7" s="255"/>
      <c r="I7" s="338"/>
    </row>
    <row r="8" spans="1:10" ht="16.5" thickTop="1" thickBot="1" x14ac:dyDescent="0.3">
      <c r="A8" s="76"/>
      <c r="B8" s="397" t="s">
        <v>7</v>
      </c>
      <c r="C8" s="392" t="s">
        <v>8</v>
      </c>
      <c r="D8" s="393" t="s">
        <v>17</v>
      </c>
      <c r="E8" s="394" t="s">
        <v>2</v>
      </c>
      <c r="F8" s="386" t="s">
        <v>18</v>
      </c>
      <c r="G8" s="395" t="s">
        <v>15</v>
      </c>
      <c r="H8" s="396"/>
      <c r="I8" s="634"/>
    </row>
    <row r="9" spans="1:10" ht="15.75" thickTop="1" x14ac:dyDescent="0.25">
      <c r="A9" s="62"/>
      <c r="B9" s="205">
        <f>F4+F5+F6-C9+F7</f>
        <v>0</v>
      </c>
      <c r="C9" s="15"/>
      <c r="D9" s="70">
        <v>0</v>
      </c>
      <c r="E9" s="357" t="s">
        <v>678</v>
      </c>
      <c r="F9" s="292">
        <f>D9</f>
        <v>0</v>
      </c>
      <c r="G9" s="71"/>
      <c r="H9" s="72"/>
      <c r="I9" s="627">
        <f>E4+E5+E6-F9+E7</f>
        <v>0</v>
      </c>
      <c r="J9" s="61">
        <f>H9*F9</f>
        <v>0</v>
      </c>
    </row>
    <row r="10" spans="1:10" x14ac:dyDescent="0.25">
      <c r="A10" s="76"/>
      <c r="B10" s="205">
        <f>B9-C10</f>
        <v>0</v>
      </c>
      <c r="C10" s="15"/>
      <c r="D10" s="70">
        <v>0</v>
      </c>
      <c r="E10" s="545"/>
      <c r="F10" s="292">
        <f t="shared" ref="F10:F29" si="0">D10</f>
        <v>0</v>
      </c>
      <c r="G10" s="278"/>
      <c r="H10" s="279"/>
      <c r="I10" s="338">
        <f>I9-F10</f>
        <v>0</v>
      </c>
      <c r="J10" s="61">
        <f t="shared" ref="J10:J28" si="1">H10*F10</f>
        <v>0</v>
      </c>
    </row>
    <row r="11" spans="1:10" x14ac:dyDescent="0.25">
      <c r="A11" s="76"/>
      <c r="B11" s="205">
        <f t="shared" ref="B11:B29" si="2">B10-C11</f>
        <v>0</v>
      </c>
      <c r="C11" s="15"/>
      <c r="D11" s="70">
        <v>0</v>
      </c>
      <c r="E11" s="545"/>
      <c r="F11" s="292">
        <f t="shared" si="0"/>
        <v>0</v>
      </c>
      <c r="G11" s="278"/>
      <c r="H11" s="279"/>
      <c r="I11" s="338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5">
        <f t="shared" si="2"/>
        <v>0</v>
      </c>
      <c r="C12" s="15"/>
      <c r="D12" s="70">
        <v>0</v>
      </c>
      <c r="E12" s="545"/>
      <c r="F12" s="292">
        <f t="shared" si="0"/>
        <v>0</v>
      </c>
      <c r="G12" s="278"/>
      <c r="H12" s="279"/>
      <c r="I12" s="338">
        <f t="shared" si="3"/>
        <v>0</v>
      </c>
      <c r="J12" s="61">
        <f t="shared" si="1"/>
        <v>0</v>
      </c>
    </row>
    <row r="13" spans="1:10" x14ac:dyDescent="0.25">
      <c r="A13" s="76"/>
      <c r="B13" s="205">
        <f t="shared" si="2"/>
        <v>0</v>
      </c>
      <c r="C13" s="15"/>
      <c r="D13" s="70">
        <v>0</v>
      </c>
      <c r="E13" s="545"/>
      <c r="F13" s="292">
        <f t="shared" si="0"/>
        <v>0</v>
      </c>
      <c r="G13" s="278"/>
      <c r="H13" s="279"/>
      <c r="I13" s="338">
        <f t="shared" si="3"/>
        <v>0</v>
      </c>
      <c r="J13" s="61">
        <f t="shared" si="1"/>
        <v>0</v>
      </c>
    </row>
    <row r="14" spans="1:10" x14ac:dyDescent="0.25">
      <c r="A14" s="76"/>
      <c r="B14" s="205">
        <f t="shared" si="2"/>
        <v>0</v>
      </c>
      <c r="C14" s="15"/>
      <c r="D14" s="70">
        <v>0</v>
      </c>
      <c r="E14" s="545"/>
      <c r="F14" s="292">
        <f t="shared" si="0"/>
        <v>0</v>
      </c>
      <c r="G14" s="278"/>
      <c r="H14" s="279"/>
      <c r="I14" s="338">
        <f t="shared" si="3"/>
        <v>0</v>
      </c>
      <c r="J14" s="61">
        <f t="shared" si="1"/>
        <v>0</v>
      </c>
    </row>
    <row r="15" spans="1:10" x14ac:dyDescent="0.25">
      <c r="A15" s="76"/>
      <c r="B15" s="205">
        <f t="shared" si="2"/>
        <v>0</v>
      </c>
      <c r="C15" s="15"/>
      <c r="D15" s="70">
        <v>0</v>
      </c>
      <c r="E15" s="357"/>
      <c r="F15" s="292">
        <f t="shared" si="0"/>
        <v>0</v>
      </c>
      <c r="G15" s="278"/>
      <c r="H15" s="279"/>
      <c r="I15" s="338">
        <f t="shared" si="3"/>
        <v>0</v>
      </c>
      <c r="J15" s="61">
        <f t="shared" si="1"/>
        <v>0</v>
      </c>
    </row>
    <row r="16" spans="1:10" x14ac:dyDescent="0.25">
      <c r="A16" s="76"/>
      <c r="B16" s="205">
        <f t="shared" si="2"/>
        <v>0</v>
      </c>
      <c r="C16" s="15"/>
      <c r="D16" s="70">
        <v>0</v>
      </c>
      <c r="E16" s="357"/>
      <c r="F16" s="292">
        <f t="shared" si="0"/>
        <v>0</v>
      </c>
      <c r="G16" s="278"/>
      <c r="H16" s="279"/>
      <c r="I16" s="338">
        <f t="shared" si="3"/>
        <v>0</v>
      </c>
      <c r="J16" s="61">
        <f t="shared" si="1"/>
        <v>0</v>
      </c>
    </row>
    <row r="17" spans="1:10" x14ac:dyDescent="0.25">
      <c r="A17" s="76"/>
      <c r="B17" s="205">
        <f t="shared" si="2"/>
        <v>0</v>
      </c>
      <c r="C17" s="15"/>
      <c r="D17" s="70">
        <v>0</v>
      </c>
      <c r="E17" s="357"/>
      <c r="F17" s="292">
        <f t="shared" si="0"/>
        <v>0</v>
      </c>
      <c r="G17" s="278"/>
      <c r="H17" s="279"/>
      <c r="I17" s="338">
        <f t="shared" si="3"/>
        <v>0</v>
      </c>
      <c r="J17" s="61">
        <f t="shared" si="1"/>
        <v>0</v>
      </c>
    </row>
    <row r="18" spans="1:10" x14ac:dyDescent="0.25">
      <c r="A18" s="76"/>
      <c r="B18" s="205">
        <f t="shared" si="2"/>
        <v>0</v>
      </c>
      <c r="C18" s="15"/>
      <c r="D18" s="70">
        <v>0</v>
      </c>
      <c r="E18" s="357"/>
      <c r="F18" s="292">
        <f t="shared" si="0"/>
        <v>0</v>
      </c>
      <c r="G18" s="71"/>
      <c r="H18" s="72"/>
      <c r="I18" s="627">
        <f t="shared" si="3"/>
        <v>0</v>
      </c>
      <c r="J18" s="61">
        <f t="shared" si="1"/>
        <v>0</v>
      </c>
    </row>
    <row r="19" spans="1:10" x14ac:dyDescent="0.25">
      <c r="A19" s="76"/>
      <c r="B19" s="205">
        <f t="shared" si="2"/>
        <v>0</v>
      </c>
      <c r="C19" s="15"/>
      <c r="D19" s="70">
        <v>0</v>
      </c>
      <c r="E19" s="357"/>
      <c r="F19" s="292">
        <f t="shared" si="0"/>
        <v>0</v>
      </c>
      <c r="G19" s="71"/>
      <c r="H19" s="72"/>
      <c r="I19" s="627">
        <f t="shared" si="3"/>
        <v>0</v>
      </c>
      <c r="J19" s="61">
        <f t="shared" si="1"/>
        <v>0</v>
      </c>
    </row>
    <row r="20" spans="1:10" x14ac:dyDescent="0.25">
      <c r="A20" s="76"/>
      <c r="B20" s="205">
        <f t="shared" si="2"/>
        <v>0</v>
      </c>
      <c r="C20" s="15"/>
      <c r="D20" s="70">
        <v>0</v>
      </c>
      <c r="E20" s="357"/>
      <c r="F20" s="292">
        <f t="shared" si="0"/>
        <v>0</v>
      </c>
      <c r="G20" s="71"/>
      <c r="H20" s="72"/>
      <c r="I20" s="627">
        <f t="shared" si="3"/>
        <v>0</v>
      </c>
      <c r="J20" s="61">
        <f t="shared" si="1"/>
        <v>0</v>
      </c>
    </row>
    <row r="21" spans="1:10" x14ac:dyDescent="0.25">
      <c r="A21" s="76"/>
      <c r="B21" s="205">
        <f t="shared" si="2"/>
        <v>0</v>
      </c>
      <c r="C21" s="15"/>
      <c r="D21" s="70">
        <v>0</v>
      </c>
      <c r="E21" s="357"/>
      <c r="F21" s="292">
        <f t="shared" si="0"/>
        <v>0</v>
      </c>
      <c r="G21" s="71"/>
      <c r="H21" s="72"/>
      <c r="I21" s="627">
        <f t="shared" si="3"/>
        <v>0</v>
      </c>
      <c r="J21" s="61">
        <f t="shared" si="1"/>
        <v>0</v>
      </c>
    </row>
    <row r="22" spans="1:10" x14ac:dyDescent="0.25">
      <c r="A22" s="76"/>
      <c r="B22" s="205">
        <f t="shared" si="2"/>
        <v>0</v>
      </c>
      <c r="C22" s="15"/>
      <c r="D22" s="70">
        <v>0</v>
      </c>
      <c r="E22" s="357"/>
      <c r="F22" s="292">
        <f t="shared" si="0"/>
        <v>0</v>
      </c>
      <c r="G22" s="71"/>
      <c r="H22" s="72"/>
      <c r="I22" s="627">
        <f t="shared" si="3"/>
        <v>0</v>
      </c>
      <c r="J22" s="61">
        <f t="shared" si="1"/>
        <v>0</v>
      </c>
    </row>
    <row r="23" spans="1:10" x14ac:dyDescent="0.25">
      <c r="A23" s="19"/>
      <c r="B23" s="205">
        <f t="shared" si="2"/>
        <v>0</v>
      </c>
      <c r="C23" s="74"/>
      <c r="D23" s="70">
        <v>0</v>
      </c>
      <c r="E23" s="140"/>
      <c r="F23" s="292">
        <f t="shared" si="0"/>
        <v>0</v>
      </c>
      <c r="G23" s="71"/>
      <c r="H23" s="72"/>
      <c r="I23" s="627">
        <f t="shared" si="3"/>
        <v>0</v>
      </c>
      <c r="J23" s="61">
        <f t="shared" si="1"/>
        <v>0</v>
      </c>
    </row>
    <row r="24" spans="1:10" x14ac:dyDescent="0.25">
      <c r="A24" s="19"/>
      <c r="B24" s="205">
        <f t="shared" si="2"/>
        <v>0</v>
      </c>
      <c r="C24" s="74"/>
      <c r="D24" s="70">
        <v>0</v>
      </c>
      <c r="E24" s="140"/>
      <c r="F24" s="292">
        <f t="shared" si="0"/>
        <v>0</v>
      </c>
      <c r="G24" s="71"/>
      <c r="H24" s="72"/>
      <c r="I24" s="627">
        <f t="shared" si="3"/>
        <v>0</v>
      </c>
      <c r="J24" s="61">
        <f t="shared" si="1"/>
        <v>0</v>
      </c>
    </row>
    <row r="25" spans="1:10" x14ac:dyDescent="0.25">
      <c r="A25" s="19"/>
      <c r="B25" s="205">
        <f t="shared" si="2"/>
        <v>0</v>
      </c>
      <c r="C25" s="74"/>
      <c r="D25" s="70">
        <v>0</v>
      </c>
      <c r="E25" s="140"/>
      <c r="F25" s="292">
        <f t="shared" si="0"/>
        <v>0</v>
      </c>
      <c r="G25" s="71"/>
      <c r="H25" s="72"/>
      <c r="I25" s="627">
        <f t="shared" si="3"/>
        <v>0</v>
      </c>
      <c r="J25" s="61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292">
        <f t="shared" si="0"/>
        <v>0</v>
      </c>
      <c r="G26" s="71"/>
      <c r="H26" s="72"/>
      <c r="I26" s="627">
        <f t="shared" si="3"/>
        <v>0</v>
      </c>
      <c r="J26" s="61">
        <f t="shared" si="1"/>
        <v>0</v>
      </c>
    </row>
    <row r="27" spans="1:10" x14ac:dyDescent="0.25">
      <c r="A27" s="19"/>
      <c r="B27" s="205">
        <f t="shared" si="2"/>
        <v>0</v>
      </c>
      <c r="C27" s="15"/>
      <c r="D27" s="70">
        <v>0</v>
      </c>
      <c r="E27" s="140"/>
      <c r="F27" s="292">
        <f t="shared" si="0"/>
        <v>0</v>
      </c>
      <c r="G27" s="71"/>
      <c r="H27" s="72"/>
      <c r="I27" s="627">
        <f t="shared" si="3"/>
        <v>0</v>
      </c>
      <c r="J27" s="61">
        <f t="shared" si="1"/>
        <v>0</v>
      </c>
    </row>
    <row r="28" spans="1:10" x14ac:dyDescent="0.25">
      <c r="B28" s="205">
        <f t="shared" si="2"/>
        <v>0</v>
      </c>
      <c r="C28" s="15"/>
      <c r="D28" s="70">
        <v>0</v>
      </c>
      <c r="E28" s="140"/>
      <c r="F28" s="292">
        <f t="shared" si="0"/>
        <v>0</v>
      </c>
      <c r="G28" s="71"/>
      <c r="H28" s="72"/>
      <c r="I28" s="627">
        <f>SUM(I9:I27)</f>
        <v>0</v>
      </c>
      <c r="J28" s="61">
        <f t="shared" si="1"/>
        <v>0</v>
      </c>
    </row>
    <row r="29" spans="1:10" ht="15.75" thickBot="1" x14ac:dyDescent="0.3">
      <c r="A29" s="125"/>
      <c r="B29" s="205">
        <f t="shared" si="2"/>
        <v>0</v>
      </c>
      <c r="C29" s="37"/>
      <c r="D29" s="70">
        <v>0</v>
      </c>
      <c r="E29" s="345"/>
      <c r="F29" s="292">
        <f t="shared" si="0"/>
        <v>0</v>
      </c>
      <c r="G29" s="145"/>
      <c r="H29" s="221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7"/>
      <c r="D32" s="1158" t="s">
        <v>21</v>
      </c>
      <c r="E32" s="1159"/>
      <c r="F32" s="147">
        <f>G5-F30</f>
        <v>0</v>
      </c>
    </row>
    <row r="33" spans="1:6" ht="15.75" thickBot="1" x14ac:dyDescent="0.3">
      <c r="A33" s="129"/>
      <c r="D33" s="781" t="s">
        <v>4</v>
      </c>
      <c r="E33" s="782"/>
      <c r="F33" s="49">
        <v>0</v>
      </c>
    </row>
    <row r="34" spans="1:6" x14ac:dyDescent="0.25">
      <c r="B34" s="207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B22" sqref="B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76" t="s">
        <v>246</v>
      </c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868"/>
    </row>
    <row r="5" spans="1:9" ht="15.75" x14ac:dyDescent="0.25">
      <c r="A5" s="76" t="s">
        <v>100</v>
      </c>
      <c r="B5" s="951" t="s">
        <v>247</v>
      </c>
      <c r="C5" s="325">
        <v>260</v>
      </c>
      <c r="D5" s="261">
        <v>44533</v>
      </c>
      <c r="E5" s="911">
        <v>136.19999999999999</v>
      </c>
      <c r="F5" s="309">
        <v>30</v>
      </c>
      <c r="G5" s="289">
        <f>F26</f>
        <v>81.72</v>
      </c>
      <c r="H5" s="7">
        <f>E5-G5+E4+E6</f>
        <v>54.47999999999999</v>
      </c>
    </row>
    <row r="6" spans="1:9" ht="15.75" thickBot="1" x14ac:dyDescent="0.3">
      <c r="B6" s="912"/>
      <c r="C6" s="325"/>
      <c r="D6" s="326"/>
      <c r="E6" s="288"/>
      <c r="F6" s="256"/>
    </row>
    <row r="7" spans="1:9" ht="16.5" thickTop="1" thickBot="1" x14ac:dyDescent="0.3">
      <c r="B7" s="65" t="s">
        <v>7</v>
      </c>
      <c r="C7" s="27" t="s">
        <v>8</v>
      </c>
      <c r="D7" s="229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689">
        <f>F4+F5+F6-C8</f>
        <v>22</v>
      </c>
      <c r="C8" s="256">
        <v>8</v>
      </c>
      <c r="D8" s="277">
        <v>36.32</v>
      </c>
      <c r="E8" s="346">
        <v>44533</v>
      </c>
      <c r="F8" s="107">
        <f t="shared" ref="F8:F25" si="0">D8</f>
        <v>36.32</v>
      </c>
      <c r="G8" s="278" t="s">
        <v>250</v>
      </c>
      <c r="H8" s="279">
        <v>265</v>
      </c>
      <c r="I8" s="47">
        <f>E4+E5+E6-F8</f>
        <v>99.88</v>
      </c>
    </row>
    <row r="9" spans="1:9" x14ac:dyDescent="0.25">
      <c r="B9" s="689">
        <f>B8-C9</f>
        <v>15</v>
      </c>
      <c r="C9" s="256">
        <v>7</v>
      </c>
      <c r="D9" s="983">
        <v>31.78</v>
      </c>
      <c r="E9" s="991">
        <v>44543</v>
      </c>
      <c r="F9" s="992">
        <f t="shared" si="0"/>
        <v>31.78</v>
      </c>
      <c r="G9" s="687" t="s">
        <v>462</v>
      </c>
      <c r="H9" s="985">
        <v>265</v>
      </c>
      <c r="I9" s="275">
        <f>I8-F9</f>
        <v>68.099999999999994</v>
      </c>
    </row>
    <row r="10" spans="1:9" x14ac:dyDescent="0.25">
      <c r="B10" s="689">
        <f>B9-C10</f>
        <v>14</v>
      </c>
      <c r="C10" s="256">
        <v>1</v>
      </c>
      <c r="D10" s="983">
        <v>4.54</v>
      </c>
      <c r="E10" s="991">
        <v>44549</v>
      </c>
      <c r="F10" s="992">
        <f t="shared" si="0"/>
        <v>4.54</v>
      </c>
      <c r="G10" s="687" t="s">
        <v>554</v>
      </c>
      <c r="H10" s="985">
        <v>265</v>
      </c>
      <c r="I10" s="275">
        <f t="shared" ref="I10:I25" si="1">I9-F10</f>
        <v>63.559999999999995</v>
      </c>
    </row>
    <row r="11" spans="1:9" x14ac:dyDescent="0.25">
      <c r="A11" s="56" t="s">
        <v>33</v>
      </c>
      <c r="B11" s="689">
        <f t="shared" ref="B11:B13" si="2">B10-C11</f>
        <v>12</v>
      </c>
      <c r="C11" s="256">
        <v>2</v>
      </c>
      <c r="D11" s="983">
        <v>9.08</v>
      </c>
      <c r="E11" s="991">
        <v>44551</v>
      </c>
      <c r="F11" s="992">
        <f t="shared" si="0"/>
        <v>9.08</v>
      </c>
      <c r="G11" s="687" t="s">
        <v>563</v>
      </c>
      <c r="H11" s="985">
        <v>265</v>
      </c>
      <c r="I11" s="275">
        <f t="shared" si="1"/>
        <v>54.48</v>
      </c>
    </row>
    <row r="12" spans="1:9" x14ac:dyDescent="0.25">
      <c r="B12" s="689">
        <f t="shared" si="2"/>
        <v>12</v>
      </c>
      <c r="C12" s="256"/>
      <c r="D12" s="983"/>
      <c r="E12" s="991"/>
      <c r="F12" s="992">
        <f t="shared" si="0"/>
        <v>0</v>
      </c>
      <c r="G12" s="687"/>
      <c r="H12" s="985"/>
      <c r="I12" s="275">
        <f t="shared" si="1"/>
        <v>54.48</v>
      </c>
    </row>
    <row r="13" spans="1:9" x14ac:dyDescent="0.25">
      <c r="A13" s="19"/>
      <c r="B13" s="689">
        <f t="shared" si="2"/>
        <v>12</v>
      </c>
      <c r="C13" s="256"/>
      <c r="D13" s="983"/>
      <c r="E13" s="991"/>
      <c r="F13" s="992">
        <f t="shared" si="0"/>
        <v>0</v>
      </c>
      <c r="G13" s="687"/>
      <c r="H13" s="985"/>
      <c r="I13" s="275">
        <f t="shared" si="1"/>
        <v>54.48</v>
      </c>
    </row>
    <row r="14" spans="1:9" x14ac:dyDescent="0.25">
      <c r="B14" s="689">
        <f>B13-C14</f>
        <v>12</v>
      </c>
      <c r="C14" s="256"/>
      <c r="D14" s="983"/>
      <c r="E14" s="991"/>
      <c r="F14" s="992">
        <f t="shared" si="0"/>
        <v>0</v>
      </c>
      <c r="G14" s="687"/>
      <c r="H14" s="985"/>
      <c r="I14" s="275">
        <f t="shared" si="1"/>
        <v>54.48</v>
      </c>
    </row>
    <row r="15" spans="1:9" x14ac:dyDescent="0.25">
      <c r="B15" s="689">
        <f t="shared" ref="B15:B25" si="3">B14-C15</f>
        <v>12</v>
      </c>
      <c r="C15" s="256"/>
      <c r="D15" s="983"/>
      <c r="E15" s="991"/>
      <c r="F15" s="992">
        <f t="shared" si="0"/>
        <v>0</v>
      </c>
      <c r="G15" s="687"/>
      <c r="H15" s="985"/>
      <c r="I15" s="275">
        <f t="shared" si="1"/>
        <v>54.48</v>
      </c>
    </row>
    <row r="16" spans="1:9" x14ac:dyDescent="0.25">
      <c r="B16" s="689">
        <f t="shared" si="3"/>
        <v>12</v>
      </c>
      <c r="C16" s="256"/>
      <c r="D16" s="983"/>
      <c r="E16" s="991"/>
      <c r="F16" s="992">
        <f t="shared" si="0"/>
        <v>0</v>
      </c>
      <c r="G16" s="687"/>
      <c r="H16" s="985"/>
      <c r="I16" s="275">
        <f t="shared" si="1"/>
        <v>54.48</v>
      </c>
    </row>
    <row r="17" spans="1:9" x14ac:dyDescent="0.25">
      <c r="B17" s="689">
        <f t="shared" si="3"/>
        <v>12</v>
      </c>
      <c r="C17" s="256"/>
      <c r="D17" s="983"/>
      <c r="E17" s="991"/>
      <c r="F17" s="992">
        <f t="shared" si="0"/>
        <v>0</v>
      </c>
      <c r="G17" s="687"/>
      <c r="H17" s="985"/>
      <c r="I17" s="275">
        <f t="shared" si="1"/>
        <v>54.48</v>
      </c>
    </row>
    <row r="18" spans="1:9" x14ac:dyDescent="0.25">
      <c r="B18" s="689">
        <f t="shared" si="3"/>
        <v>12</v>
      </c>
      <c r="C18" s="256"/>
      <c r="D18" s="277"/>
      <c r="E18" s="346"/>
      <c r="F18" s="288">
        <f t="shared" si="0"/>
        <v>0</v>
      </c>
      <c r="G18" s="278"/>
      <c r="H18" s="279"/>
      <c r="I18" s="275">
        <f t="shared" si="1"/>
        <v>54.48</v>
      </c>
    </row>
    <row r="19" spans="1:9" x14ac:dyDescent="0.25">
      <c r="B19" s="689">
        <f t="shared" si="3"/>
        <v>12</v>
      </c>
      <c r="C19" s="256"/>
      <c r="D19" s="277"/>
      <c r="E19" s="346"/>
      <c r="F19" s="288">
        <f t="shared" si="0"/>
        <v>0</v>
      </c>
      <c r="G19" s="278"/>
      <c r="H19" s="279"/>
      <c r="I19" s="47">
        <f t="shared" si="1"/>
        <v>54.48</v>
      </c>
    </row>
    <row r="20" spans="1:9" x14ac:dyDescent="0.25">
      <c r="B20" s="689">
        <f t="shared" si="3"/>
        <v>12</v>
      </c>
      <c r="C20" s="256"/>
      <c r="D20" s="277"/>
      <c r="E20" s="346"/>
      <c r="F20" s="288">
        <f t="shared" si="0"/>
        <v>0</v>
      </c>
      <c r="G20" s="278"/>
      <c r="H20" s="279"/>
      <c r="I20" s="47">
        <f t="shared" si="1"/>
        <v>54.48</v>
      </c>
    </row>
    <row r="21" spans="1:9" x14ac:dyDescent="0.25">
      <c r="B21" s="689">
        <f t="shared" si="3"/>
        <v>12</v>
      </c>
      <c r="C21" s="256"/>
      <c r="D21" s="277"/>
      <c r="E21" s="346"/>
      <c r="F21" s="288">
        <f t="shared" si="0"/>
        <v>0</v>
      </c>
      <c r="G21" s="278"/>
      <c r="H21" s="279"/>
      <c r="I21" s="47">
        <f t="shared" si="1"/>
        <v>54.48</v>
      </c>
    </row>
    <row r="22" spans="1:9" x14ac:dyDescent="0.25">
      <c r="B22" s="689">
        <f t="shared" si="3"/>
        <v>12</v>
      </c>
      <c r="C22" s="276"/>
      <c r="D22" s="277"/>
      <c r="E22" s="346"/>
      <c r="F22" s="288">
        <f t="shared" si="0"/>
        <v>0</v>
      </c>
      <c r="G22" s="278"/>
      <c r="H22" s="279"/>
      <c r="I22" s="47">
        <f t="shared" si="1"/>
        <v>54.48</v>
      </c>
    </row>
    <row r="23" spans="1:9" x14ac:dyDescent="0.25">
      <c r="B23" s="689">
        <f t="shared" si="3"/>
        <v>12</v>
      </c>
      <c r="C23" s="15"/>
      <c r="D23" s="70">
        <v>0</v>
      </c>
      <c r="E23" s="346"/>
      <c r="F23" s="288">
        <f t="shared" si="0"/>
        <v>0</v>
      </c>
      <c r="G23" s="278"/>
      <c r="H23" s="279"/>
      <c r="I23" s="275">
        <f t="shared" si="1"/>
        <v>54.48</v>
      </c>
    </row>
    <row r="24" spans="1:9" x14ac:dyDescent="0.25">
      <c r="B24" s="689">
        <f t="shared" si="3"/>
        <v>12</v>
      </c>
      <c r="C24" s="15"/>
      <c r="D24" s="70">
        <v>0</v>
      </c>
      <c r="E24" s="341"/>
      <c r="F24" s="288">
        <f t="shared" si="0"/>
        <v>0</v>
      </c>
      <c r="G24" s="278"/>
      <c r="H24" s="279"/>
      <c r="I24" s="275">
        <f t="shared" si="1"/>
        <v>54.48</v>
      </c>
    </row>
    <row r="25" spans="1:9" ht="15.75" thickBot="1" x14ac:dyDescent="0.3">
      <c r="A25" s="125"/>
      <c r="B25" s="689">
        <f t="shared" si="3"/>
        <v>12</v>
      </c>
      <c r="C25" s="37"/>
      <c r="D25" s="70">
        <v>0</v>
      </c>
      <c r="E25" s="230"/>
      <c r="F25" s="740">
        <f t="shared" si="0"/>
        <v>0</v>
      </c>
      <c r="G25" s="741"/>
      <c r="H25" s="742"/>
      <c r="I25" s="275">
        <f t="shared" si="1"/>
        <v>54.48</v>
      </c>
    </row>
    <row r="26" spans="1:9" ht="15.75" thickTop="1" x14ac:dyDescent="0.25">
      <c r="A26" s="47">
        <f>SUM(A25:A25)</f>
        <v>0</v>
      </c>
      <c r="C26" s="74">
        <f>SUM(C8:C25)</f>
        <v>18</v>
      </c>
      <c r="D26" s="107">
        <f>SUM(D8:D25)</f>
        <v>81.72</v>
      </c>
      <c r="E26" s="76"/>
      <c r="F26" s="107">
        <f>SUM(F8:F25)</f>
        <v>81.72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58" t="s">
        <v>21</v>
      </c>
      <c r="E28" s="1159"/>
      <c r="F28" s="147">
        <f>E4+E5-F26+E6</f>
        <v>54.47999999999999</v>
      </c>
    </row>
    <row r="29" spans="1:9" ht="15.75" thickBot="1" x14ac:dyDescent="0.3">
      <c r="A29" s="129"/>
      <c r="D29" s="866" t="s">
        <v>4</v>
      </c>
      <c r="E29" s="867"/>
      <c r="F29" s="49">
        <f>F4+F5-C26+F6</f>
        <v>12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3"/>
      <c r="B4" s="256"/>
      <c r="C4" s="290"/>
      <c r="D4" s="291"/>
      <c r="E4" s="283"/>
      <c r="F4" s="256"/>
      <c r="G4" s="38"/>
    </row>
    <row r="5" spans="1:10" ht="15.75" x14ac:dyDescent="0.25">
      <c r="A5" s="255"/>
      <c r="B5" s="256"/>
      <c r="C5" s="290"/>
      <c r="D5" s="291"/>
      <c r="E5" s="283"/>
      <c r="F5" s="256"/>
      <c r="G5" s="89">
        <f>F30</f>
        <v>0</v>
      </c>
      <c r="H5" s="165">
        <f>E5-G5+E6</f>
        <v>0</v>
      </c>
    </row>
    <row r="6" spans="1:10" ht="15.75" x14ac:dyDescent="0.25">
      <c r="A6" s="263"/>
      <c r="B6" s="717" t="s">
        <v>92</v>
      </c>
      <c r="C6" s="290"/>
      <c r="D6" s="291"/>
      <c r="E6" s="283"/>
      <c r="F6" s="256"/>
      <c r="G6" s="468"/>
      <c r="H6" s="253"/>
      <c r="I6" s="255"/>
    </row>
    <row r="7" spans="1:10" ht="15.75" thickBot="1" x14ac:dyDescent="0.3">
      <c r="B7" s="74"/>
      <c r="C7" s="167"/>
      <c r="D7" s="160"/>
      <c r="E7" s="283"/>
      <c r="F7" s="256"/>
      <c r="G7" s="253"/>
      <c r="H7" s="253"/>
      <c r="I7" s="255"/>
    </row>
    <row r="8" spans="1:10" ht="17.25" thickTop="1" thickBot="1" x14ac:dyDescent="0.3">
      <c r="B8" s="693" t="s">
        <v>7</v>
      </c>
      <c r="C8" s="694" t="s">
        <v>8</v>
      </c>
      <c r="D8" s="695" t="s">
        <v>17</v>
      </c>
      <c r="E8" s="696" t="s">
        <v>2</v>
      </c>
      <c r="F8" s="697" t="s">
        <v>18</v>
      </c>
      <c r="G8" s="692" t="s">
        <v>90</v>
      </c>
      <c r="H8" s="521"/>
      <c r="I8" s="255"/>
    </row>
    <row r="9" spans="1:10" ht="15.75" thickTop="1" x14ac:dyDescent="0.25">
      <c r="A9" s="56" t="s">
        <v>32</v>
      </c>
      <c r="B9" s="90"/>
      <c r="C9" s="698"/>
      <c r="D9" s="699"/>
      <c r="E9" s="700"/>
      <c r="F9" s="701">
        <f>D9</f>
        <v>0</v>
      </c>
      <c r="G9" s="278"/>
      <c r="H9" s="279"/>
      <c r="I9" s="283">
        <f>E5+E6+E4+E7-F9</f>
        <v>0</v>
      </c>
      <c r="J9" s="316">
        <f>H9*F9</f>
        <v>0</v>
      </c>
    </row>
    <row r="10" spans="1:10" x14ac:dyDescent="0.25">
      <c r="B10" s="90"/>
      <c r="C10" s="459"/>
      <c r="D10" s="629"/>
      <c r="E10" s="840"/>
      <c r="F10" s="460">
        <f>D10</f>
        <v>0</v>
      </c>
      <c r="G10" s="278"/>
      <c r="H10" s="279"/>
      <c r="I10" s="283">
        <f>I9-F10</f>
        <v>0</v>
      </c>
      <c r="J10" s="316">
        <f t="shared" ref="J10:J28" si="0">H10*F10</f>
        <v>0</v>
      </c>
    </row>
    <row r="11" spans="1:10" x14ac:dyDescent="0.25">
      <c r="B11" s="90"/>
      <c r="C11" s="459"/>
      <c r="D11" s="629"/>
      <c r="E11" s="840"/>
      <c r="F11" s="460">
        <f t="shared" ref="F11:F29" si="1">D11</f>
        <v>0</v>
      </c>
      <c r="G11" s="278"/>
      <c r="H11" s="279"/>
      <c r="I11" s="283">
        <f t="shared" ref="I11:I28" si="2">I10-F11</f>
        <v>0</v>
      </c>
      <c r="J11" s="316">
        <f t="shared" si="0"/>
        <v>0</v>
      </c>
    </row>
    <row r="12" spans="1:10" x14ac:dyDescent="0.25">
      <c r="A12" s="56" t="s">
        <v>33</v>
      </c>
      <c r="B12" s="90"/>
      <c r="C12" s="459"/>
      <c r="D12" s="629">
        <v>0</v>
      </c>
      <c r="E12" s="840"/>
      <c r="F12" s="460">
        <f t="shared" si="1"/>
        <v>0</v>
      </c>
      <c r="G12" s="278"/>
      <c r="H12" s="279"/>
      <c r="I12" s="283">
        <f t="shared" si="2"/>
        <v>0</v>
      </c>
      <c r="J12" s="316">
        <f t="shared" si="0"/>
        <v>0</v>
      </c>
    </row>
    <row r="13" spans="1:10" x14ac:dyDescent="0.25">
      <c r="B13" s="90"/>
      <c r="C13" s="459"/>
      <c r="D13" s="629">
        <v>0</v>
      </c>
      <c r="E13" s="840"/>
      <c r="F13" s="460">
        <f t="shared" si="1"/>
        <v>0</v>
      </c>
      <c r="G13" s="278"/>
      <c r="H13" s="279"/>
      <c r="I13" s="283">
        <f t="shared" si="2"/>
        <v>0</v>
      </c>
      <c r="J13" s="316">
        <f t="shared" si="0"/>
        <v>0</v>
      </c>
    </row>
    <row r="14" spans="1:10" x14ac:dyDescent="0.25">
      <c r="A14" s="19"/>
      <c r="B14" s="90"/>
      <c r="C14" s="459"/>
      <c r="D14" s="629">
        <v>0</v>
      </c>
      <c r="E14" s="840"/>
      <c r="F14" s="460">
        <f t="shared" si="1"/>
        <v>0</v>
      </c>
      <c r="G14" s="278"/>
      <c r="H14" s="279"/>
      <c r="I14" s="283">
        <f t="shared" si="2"/>
        <v>0</v>
      </c>
      <c r="J14" s="316">
        <f t="shared" si="0"/>
        <v>0</v>
      </c>
    </row>
    <row r="15" spans="1:10" x14ac:dyDescent="0.25">
      <c r="B15" s="90"/>
      <c r="C15" s="459"/>
      <c r="D15" s="629">
        <v>0</v>
      </c>
      <c r="E15" s="840"/>
      <c r="F15" s="460">
        <f t="shared" si="1"/>
        <v>0</v>
      </c>
      <c r="G15" s="278"/>
      <c r="H15" s="279"/>
      <c r="I15" s="283">
        <f t="shared" si="2"/>
        <v>0</v>
      </c>
      <c r="J15" s="316">
        <f t="shared" si="0"/>
        <v>0</v>
      </c>
    </row>
    <row r="16" spans="1:10" x14ac:dyDescent="0.25">
      <c r="B16" s="90"/>
      <c r="C16" s="459"/>
      <c r="D16" s="629">
        <v>0</v>
      </c>
      <c r="E16" s="840"/>
      <c r="F16" s="460">
        <f t="shared" si="1"/>
        <v>0</v>
      </c>
      <c r="G16" s="278"/>
      <c r="H16" s="279"/>
      <c r="I16" s="283">
        <f t="shared" si="2"/>
        <v>0</v>
      </c>
      <c r="J16" s="316">
        <f t="shared" si="0"/>
        <v>0</v>
      </c>
    </row>
    <row r="17" spans="1:10" x14ac:dyDescent="0.25">
      <c r="B17" s="90"/>
      <c r="C17" s="459"/>
      <c r="D17" s="629">
        <v>0</v>
      </c>
      <c r="E17" s="840"/>
      <c r="F17" s="460">
        <f t="shared" si="1"/>
        <v>0</v>
      </c>
      <c r="G17" s="278"/>
      <c r="H17" s="279"/>
      <c r="I17" s="283">
        <f t="shared" si="2"/>
        <v>0</v>
      </c>
      <c r="J17" s="316">
        <f t="shared" si="0"/>
        <v>0</v>
      </c>
    </row>
    <row r="18" spans="1:10" x14ac:dyDescent="0.25">
      <c r="B18" s="90"/>
      <c r="C18" s="459"/>
      <c r="D18" s="629">
        <v>0</v>
      </c>
      <c r="E18" s="840"/>
      <c r="F18" s="460">
        <f t="shared" si="1"/>
        <v>0</v>
      </c>
      <c r="G18" s="278"/>
      <c r="H18" s="279"/>
      <c r="I18" s="283">
        <f t="shared" si="2"/>
        <v>0</v>
      </c>
      <c r="J18" s="316">
        <f t="shared" si="0"/>
        <v>0</v>
      </c>
    </row>
    <row r="19" spans="1:10" x14ac:dyDescent="0.25">
      <c r="B19" s="90"/>
      <c r="C19" s="459"/>
      <c r="D19" s="629">
        <v>0</v>
      </c>
      <c r="E19" s="840"/>
      <c r="F19" s="460">
        <f t="shared" si="1"/>
        <v>0</v>
      </c>
      <c r="G19" s="278"/>
      <c r="H19" s="279"/>
      <c r="I19" s="283">
        <f t="shared" si="2"/>
        <v>0</v>
      </c>
      <c r="J19" s="316">
        <f t="shared" si="0"/>
        <v>0</v>
      </c>
    </row>
    <row r="20" spans="1:10" x14ac:dyDescent="0.25">
      <c r="B20" s="90"/>
      <c r="C20" s="459"/>
      <c r="D20" s="629">
        <v>0</v>
      </c>
      <c r="E20" s="505"/>
      <c r="F20" s="629">
        <f t="shared" si="1"/>
        <v>0</v>
      </c>
      <c r="G20" s="278"/>
      <c r="H20" s="279"/>
      <c r="I20" s="283">
        <f t="shared" si="2"/>
        <v>0</v>
      </c>
      <c r="J20" s="316">
        <f t="shared" si="0"/>
        <v>0</v>
      </c>
    </row>
    <row r="21" spans="1:10" x14ac:dyDescent="0.25">
      <c r="B21" s="90"/>
      <c r="C21" s="459"/>
      <c r="D21" s="629">
        <v>0</v>
      </c>
      <c r="E21" s="505"/>
      <c r="F21" s="629">
        <f t="shared" si="1"/>
        <v>0</v>
      </c>
      <c r="G21" s="278"/>
      <c r="H21" s="279"/>
      <c r="I21" s="283">
        <f t="shared" si="2"/>
        <v>0</v>
      </c>
      <c r="J21" s="316">
        <f t="shared" si="0"/>
        <v>0</v>
      </c>
    </row>
    <row r="22" spans="1:10" x14ac:dyDescent="0.25">
      <c r="B22" s="90"/>
      <c r="C22" s="459"/>
      <c r="D22" s="629">
        <v>0</v>
      </c>
      <c r="E22" s="505"/>
      <c r="F22" s="629">
        <f t="shared" si="1"/>
        <v>0</v>
      </c>
      <c r="G22" s="278"/>
      <c r="H22" s="279"/>
      <c r="I22" s="283">
        <f t="shared" si="2"/>
        <v>0</v>
      </c>
      <c r="J22" s="316">
        <f t="shared" si="0"/>
        <v>0</v>
      </c>
    </row>
    <row r="23" spans="1:10" x14ac:dyDescent="0.25">
      <c r="B23" s="90"/>
      <c r="C23" s="459"/>
      <c r="D23" s="629">
        <v>0</v>
      </c>
      <c r="E23" s="505"/>
      <c r="F23" s="629">
        <f t="shared" si="1"/>
        <v>0</v>
      </c>
      <c r="G23" s="278"/>
      <c r="H23" s="279"/>
      <c r="I23" s="283">
        <f t="shared" si="2"/>
        <v>0</v>
      </c>
      <c r="J23" s="316">
        <f t="shared" si="0"/>
        <v>0</v>
      </c>
    </row>
    <row r="24" spans="1:10" x14ac:dyDescent="0.25">
      <c r="B24" s="90"/>
      <c r="C24" s="459"/>
      <c r="D24" s="629">
        <v>0</v>
      </c>
      <c r="E24" s="505"/>
      <c r="F24" s="629">
        <f t="shared" si="1"/>
        <v>0</v>
      </c>
      <c r="G24" s="278"/>
      <c r="H24" s="279"/>
      <c r="I24" s="283">
        <f t="shared" si="2"/>
        <v>0</v>
      </c>
      <c r="J24" s="316">
        <f t="shared" si="0"/>
        <v>0</v>
      </c>
    </row>
    <row r="25" spans="1:10" x14ac:dyDescent="0.25">
      <c r="B25" s="90"/>
      <c r="C25" s="459"/>
      <c r="D25" s="629">
        <v>0</v>
      </c>
      <c r="E25" s="505"/>
      <c r="F25" s="629">
        <f t="shared" si="1"/>
        <v>0</v>
      </c>
      <c r="G25" s="278"/>
      <c r="H25" s="279"/>
      <c r="I25" s="283">
        <f t="shared" si="2"/>
        <v>0</v>
      </c>
      <c r="J25" s="316">
        <f t="shared" si="0"/>
        <v>0</v>
      </c>
    </row>
    <row r="26" spans="1:10" x14ac:dyDescent="0.25">
      <c r="B26" s="90"/>
      <c r="C26" s="459"/>
      <c r="D26" s="629">
        <v>0</v>
      </c>
      <c r="E26" s="505"/>
      <c r="F26" s="629">
        <f t="shared" si="1"/>
        <v>0</v>
      </c>
      <c r="G26" s="278"/>
      <c r="H26" s="279"/>
      <c r="I26" s="283">
        <f t="shared" si="2"/>
        <v>0</v>
      </c>
      <c r="J26" s="61">
        <f t="shared" si="0"/>
        <v>0</v>
      </c>
    </row>
    <row r="27" spans="1:10" x14ac:dyDescent="0.25">
      <c r="B27" s="90"/>
      <c r="C27" s="459"/>
      <c r="D27" s="629">
        <f t="shared" ref="D27:D28" si="3">C27*B27</f>
        <v>0</v>
      </c>
      <c r="E27" s="505"/>
      <c r="F27" s="629">
        <f t="shared" si="1"/>
        <v>0</v>
      </c>
      <c r="G27" s="278"/>
      <c r="H27" s="279"/>
      <c r="I27" s="283">
        <f t="shared" si="2"/>
        <v>0</v>
      </c>
      <c r="J27" s="61">
        <f t="shared" si="0"/>
        <v>0</v>
      </c>
    </row>
    <row r="28" spans="1:10" x14ac:dyDescent="0.25">
      <c r="B28" s="90"/>
      <c r="C28" s="459"/>
      <c r="D28" s="629">
        <f t="shared" si="3"/>
        <v>0</v>
      </c>
      <c r="E28" s="505"/>
      <c r="F28" s="629">
        <f t="shared" si="1"/>
        <v>0</v>
      </c>
      <c r="G28" s="278"/>
      <c r="H28" s="279"/>
      <c r="I28" s="283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02"/>
      <c r="D29" s="703">
        <f>B29*C29</f>
        <v>0</v>
      </c>
      <c r="E29" s="704"/>
      <c r="F29" s="629">
        <f t="shared" si="1"/>
        <v>0</v>
      </c>
      <c r="G29" s="106"/>
      <c r="H29" s="190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58" t="s">
        <v>21</v>
      </c>
      <c r="E32" s="1159"/>
      <c r="F32" s="147">
        <f>E5-F30+E6+E7</f>
        <v>0</v>
      </c>
    </row>
    <row r="33" spans="1:6" ht="15.75" thickBot="1" x14ac:dyDescent="0.3">
      <c r="A33" s="129"/>
      <c r="D33" s="838" t="s">
        <v>4</v>
      </c>
      <c r="E33" s="839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I13" sqref="I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76" t="s">
        <v>246</v>
      </c>
      <c r="B1" s="1176"/>
      <c r="C1" s="1176"/>
      <c r="D1" s="1176"/>
      <c r="E1" s="1176"/>
      <c r="F1" s="1176"/>
      <c r="G1" s="117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34"/>
      <c r="B4" s="534"/>
      <c r="C4" s="535"/>
      <c r="D4" s="326"/>
      <c r="E4" s="538"/>
      <c r="F4" s="534"/>
      <c r="G4" s="331"/>
      <c r="H4" s="331"/>
    </row>
    <row r="5" spans="1:8" ht="15" hidden="1" customHeight="1" x14ac:dyDescent="0.25">
      <c r="A5" s="74"/>
      <c r="C5" s="557"/>
      <c r="D5" s="326"/>
      <c r="E5" s="536"/>
      <c r="F5" s="309"/>
      <c r="G5" s="835"/>
    </row>
    <row r="6" spans="1:8" ht="15.75" customHeight="1" thickTop="1" x14ac:dyDescent="0.25">
      <c r="A6" s="1167" t="s">
        <v>100</v>
      </c>
      <c r="B6" s="870" t="s">
        <v>122</v>
      </c>
      <c r="C6" s="557"/>
      <c r="D6" s="326"/>
      <c r="E6" s="536"/>
      <c r="F6" s="309"/>
      <c r="G6" s="89"/>
      <c r="H6" s="273"/>
    </row>
    <row r="7" spans="1:8" ht="16.5" customHeight="1" thickBot="1" x14ac:dyDescent="0.3">
      <c r="A7" s="1167"/>
      <c r="B7" s="871"/>
      <c r="C7" s="558">
        <v>180</v>
      </c>
      <c r="D7" s="326">
        <v>44533</v>
      </c>
      <c r="E7" s="537">
        <v>160</v>
      </c>
      <c r="F7" s="256">
        <v>8</v>
      </c>
      <c r="G7" s="5">
        <f>D28</f>
        <v>40</v>
      </c>
      <c r="H7" s="1116">
        <f>E7-G7</f>
        <v>120</v>
      </c>
    </row>
    <row r="8" spans="1:8" ht="16.5" customHeight="1" thickBot="1" x14ac:dyDescent="0.3">
      <c r="A8" s="664"/>
      <c r="B8" s="493"/>
      <c r="C8" s="558"/>
      <c r="D8" s="326"/>
      <c r="E8" s="537"/>
      <c r="F8" s="256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40">
        <f>F4+F5+F6+F7+F8-C10</f>
        <v>6</v>
      </c>
      <c r="C10" s="15">
        <v>2</v>
      </c>
      <c r="D10" s="323">
        <v>40</v>
      </c>
      <c r="E10" s="788">
        <v>44533</v>
      </c>
      <c r="F10" s="789">
        <f>D10</f>
        <v>40</v>
      </c>
      <c r="G10" s="790" t="s">
        <v>250</v>
      </c>
      <c r="H10" s="791">
        <v>185</v>
      </c>
    </row>
    <row r="11" spans="1:8" x14ac:dyDescent="0.25">
      <c r="B11" s="540">
        <f>B10-C11</f>
        <v>6</v>
      </c>
      <c r="C11" s="15"/>
      <c r="D11" s="983">
        <v>0</v>
      </c>
      <c r="E11" s="993"/>
      <c r="F11" s="992">
        <f>D11</f>
        <v>0</v>
      </c>
      <c r="G11" s="687"/>
      <c r="H11" s="985"/>
    </row>
    <row r="12" spans="1:8" x14ac:dyDescent="0.25">
      <c r="B12" s="540">
        <f t="shared" ref="B12:B27" si="0">B11-C12</f>
        <v>6</v>
      </c>
      <c r="C12" s="15"/>
      <c r="D12" s="983">
        <v>0</v>
      </c>
      <c r="E12" s="993"/>
      <c r="F12" s="992">
        <f>D12</f>
        <v>0</v>
      </c>
      <c r="G12" s="687"/>
      <c r="H12" s="985"/>
    </row>
    <row r="13" spans="1:8" x14ac:dyDescent="0.25">
      <c r="A13" s="56" t="s">
        <v>33</v>
      </c>
      <c r="B13" s="540">
        <f t="shared" si="0"/>
        <v>6</v>
      </c>
      <c r="C13" s="15"/>
      <c r="D13" s="983">
        <v>0</v>
      </c>
      <c r="E13" s="993"/>
      <c r="F13" s="992">
        <f>D13</f>
        <v>0</v>
      </c>
      <c r="G13" s="687"/>
      <c r="H13" s="985"/>
    </row>
    <row r="14" spans="1:8" x14ac:dyDescent="0.25">
      <c r="B14" s="540">
        <f t="shared" si="0"/>
        <v>6</v>
      </c>
      <c r="C14" s="15"/>
      <c r="D14" s="983">
        <v>0</v>
      </c>
      <c r="E14" s="993"/>
      <c r="F14" s="992">
        <f t="shared" ref="F14:F27" si="1">D14</f>
        <v>0</v>
      </c>
      <c r="G14" s="687"/>
      <c r="H14" s="985"/>
    </row>
    <row r="15" spans="1:8" x14ac:dyDescent="0.25">
      <c r="A15" s="19"/>
      <c r="B15" s="540">
        <f t="shared" si="0"/>
        <v>6</v>
      </c>
      <c r="C15" s="15"/>
      <c r="D15" s="983">
        <v>0</v>
      </c>
      <c r="E15" s="993"/>
      <c r="F15" s="992">
        <f t="shared" si="1"/>
        <v>0</v>
      </c>
      <c r="G15" s="687"/>
      <c r="H15" s="985"/>
    </row>
    <row r="16" spans="1:8" x14ac:dyDescent="0.25">
      <c r="B16" s="540">
        <f t="shared" si="0"/>
        <v>6</v>
      </c>
      <c r="C16" s="15"/>
      <c r="D16" s="983">
        <v>0</v>
      </c>
      <c r="E16" s="993"/>
      <c r="F16" s="992">
        <f t="shared" si="1"/>
        <v>0</v>
      </c>
      <c r="G16" s="687"/>
      <c r="H16" s="985"/>
    </row>
    <row r="17" spans="1:8" x14ac:dyDescent="0.25">
      <c r="B17" s="540">
        <f t="shared" si="0"/>
        <v>6</v>
      </c>
      <c r="C17" s="15"/>
      <c r="D17" s="983">
        <v>0</v>
      </c>
      <c r="E17" s="993"/>
      <c r="F17" s="992">
        <f t="shared" si="1"/>
        <v>0</v>
      </c>
      <c r="G17" s="687"/>
      <c r="H17" s="985"/>
    </row>
    <row r="18" spans="1:8" x14ac:dyDescent="0.25">
      <c r="B18" s="540">
        <f t="shared" si="0"/>
        <v>6</v>
      </c>
      <c r="C18" s="15"/>
      <c r="D18" s="983">
        <v>0</v>
      </c>
      <c r="E18" s="993"/>
      <c r="F18" s="992">
        <f t="shared" si="1"/>
        <v>0</v>
      </c>
      <c r="G18" s="687"/>
      <c r="H18" s="985"/>
    </row>
    <row r="19" spans="1:8" x14ac:dyDescent="0.25">
      <c r="B19" s="540">
        <f t="shared" si="0"/>
        <v>6</v>
      </c>
      <c r="C19" s="15"/>
      <c r="D19" s="983">
        <v>0</v>
      </c>
      <c r="E19" s="993"/>
      <c r="F19" s="992">
        <f t="shared" si="1"/>
        <v>0</v>
      </c>
      <c r="G19" s="687"/>
      <c r="H19" s="985"/>
    </row>
    <row r="20" spans="1:8" x14ac:dyDescent="0.25">
      <c r="B20" s="540">
        <f t="shared" si="0"/>
        <v>6</v>
      </c>
      <c r="C20" s="15"/>
      <c r="D20" s="983">
        <v>0</v>
      </c>
      <c r="E20" s="993"/>
      <c r="F20" s="992">
        <f t="shared" si="1"/>
        <v>0</v>
      </c>
      <c r="G20" s="687"/>
      <c r="H20" s="985"/>
    </row>
    <row r="21" spans="1:8" x14ac:dyDescent="0.25">
      <c r="B21" s="540">
        <f t="shared" si="0"/>
        <v>6</v>
      </c>
      <c r="C21" s="15"/>
      <c r="D21" s="70">
        <v>0</v>
      </c>
      <c r="E21" s="141"/>
      <c r="F21" s="107">
        <f t="shared" si="1"/>
        <v>0</v>
      </c>
      <c r="G21" s="278"/>
      <c r="H21" s="279"/>
    </row>
    <row r="22" spans="1:8" x14ac:dyDescent="0.25">
      <c r="B22" s="540">
        <f t="shared" si="0"/>
        <v>6</v>
      </c>
      <c r="C22" s="15"/>
      <c r="D22" s="70">
        <v>0</v>
      </c>
      <c r="E22" s="141"/>
      <c r="F22" s="107">
        <f t="shared" si="1"/>
        <v>0</v>
      </c>
      <c r="G22" s="278"/>
      <c r="H22" s="279"/>
    </row>
    <row r="23" spans="1:8" x14ac:dyDescent="0.25">
      <c r="B23" s="540">
        <f t="shared" si="0"/>
        <v>6</v>
      </c>
      <c r="C23" s="15"/>
      <c r="D23" s="70">
        <v>0</v>
      </c>
      <c r="E23" s="141"/>
      <c r="F23" s="107">
        <f t="shared" si="1"/>
        <v>0</v>
      </c>
      <c r="G23" s="278"/>
      <c r="H23" s="279"/>
    </row>
    <row r="24" spans="1:8" x14ac:dyDescent="0.25">
      <c r="B24" s="540">
        <f t="shared" si="0"/>
        <v>6</v>
      </c>
      <c r="C24" s="15"/>
      <c r="D24" s="70">
        <v>0</v>
      </c>
      <c r="E24" s="141"/>
      <c r="F24" s="107">
        <f t="shared" si="1"/>
        <v>0</v>
      </c>
      <c r="G24" s="278"/>
      <c r="H24" s="279"/>
    </row>
    <row r="25" spans="1:8" x14ac:dyDescent="0.25">
      <c r="B25" s="540">
        <f t="shared" si="0"/>
        <v>6</v>
      </c>
      <c r="C25" s="15"/>
      <c r="D25" s="70">
        <v>0</v>
      </c>
      <c r="E25" s="141"/>
      <c r="F25" s="107">
        <f t="shared" si="1"/>
        <v>0</v>
      </c>
      <c r="G25" s="278"/>
      <c r="H25" s="279"/>
    </row>
    <row r="26" spans="1:8" x14ac:dyDescent="0.25">
      <c r="B26" s="540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41">
        <f t="shared" si="0"/>
        <v>6</v>
      </c>
      <c r="C27" s="37"/>
      <c r="D27" s="70">
        <v>0</v>
      </c>
      <c r="E27" s="347"/>
      <c r="F27" s="348">
        <f t="shared" si="1"/>
        <v>0</v>
      </c>
      <c r="G27" s="349"/>
      <c r="H27" s="350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58" t="s">
        <v>21</v>
      </c>
      <c r="E30" s="1159"/>
      <c r="F30" s="147">
        <f>E5+E6-F28+E7+E4+E8</f>
        <v>120</v>
      </c>
    </row>
    <row r="31" spans="1:8" ht="15.75" thickBot="1" x14ac:dyDescent="0.3">
      <c r="A31" s="129"/>
      <c r="D31" s="662" t="s">
        <v>4</v>
      </c>
      <c r="E31" s="663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xSplit="2" ySplit="8" topLeftCell="D96" activePane="bottomRight" state="frozen"/>
      <selection pane="topRight" activeCell="C1" sqref="C1"/>
      <selection pane="bottomLeft" activeCell="A9" sqref="A9"/>
      <selection pane="bottomRight" activeCell="F108" sqref="F10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87" t="s">
        <v>256</v>
      </c>
      <c r="B1" s="1187"/>
      <c r="C1" s="1187"/>
      <c r="D1" s="1187"/>
      <c r="E1" s="1187"/>
      <c r="F1" s="1187"/>
      <c r="G1" s="1187"/>
      <c r="H1" s="1187"/>
      <c r="I1" s="1187"/>
      <c r="J1" s="1187"/>
      <c r="K1" s="84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88" t="s">
        <v>103</v>
      </c>
      <c r="B4" s="336">
        <v>18506.759999999998</v>
      </c>
      <c r="C4" s="685"/>
      <c r="D4" s="258"/>
      <c r="E4" s="283">
        <v>408.3</v>
      </c>
      <c r="F4" s="256">
        <v>15</v>
      </c>
      <c r="G4" s="586"/>
      <c r="H4" s="253"/>
      <c r="I4" s="253"/>
    </row>
    <row r="5" spans="1:11" ht="15.75" customHeight="1" x14ac:dyDescent="0.25">
      <c r="A5" s="1189"/>
      <c r="B5" s="12" t="s">
        <v>51</v>
      </c>
      <c r="C5" s="686"/>
      <c r="D5" s="141">
        <v>44467</v>
      </c>
      <c r="E5" s="136">
        <v>18509.599999999999</v>
      </c>
      <c r="F5" s="74">
        <v>680</v>
      </c>
      <c r="G5" s="47">
        <f>F115</f>
        <v>34651.060000000005</v>
      </c>
      <c r="H5" s="165">
        <f>E5+E6-G5+E4</f>
        <v>2776.4399999999923</v>
      </c>
    </row>
    <row r="6" spans="1:11" ht="15.75" customHeight="1" x14ac:dyDescent="0.25">
      <c r="A6" s="1189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55"/>
      <c r="B7" s="169"/>
      <c r="C7" s="904"/>
      <c r="D7" s="905" t="s">
        <v>160</v>
      </c>
      <c r="E7" s="906">
        <v>-108.88</v>
      </c>
      <c r="F7" s="907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21" t="s">
        <v>93</v>
      </c>
      <c r="I8" s="722" t="s">
        <v>94</v>
      </c>
      <c r="J8" s="722" t="s">
        <v>95</v>
      </c>
      <c r="K8" s="723" t="s">
        <v>96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2">
        <f t="shared" ref="D9:D72" si="0">C9*B9</f>
        <v>871.04</v>
      </c>
      <c r="E9" s="343">
        <v>44498</v>
      </c>
      <c r="F9" s="70">
        <f t="shared" ref="F9:F72" si="1">D9</f>
        <v>871.04</v>
      </c>
      <c r="G9" s="71" t="s">
        <v>138</v>
      </c>
      <c r="H9" s="72">
        <v>70</v>
      </c>
      <c r="I9" s="724">
        <f>E5-F9+E4+E6+E7</f>
        <v>36447.579999999994</v>
      </c>
      <c r="J9" s="725">
        <f>F5-C9+F4+F6+F7</f>
        <v>1339</v>
      </c>
      <c r="K9" s="726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2">
        <f t="shared" si="0"/>
        <v>108.88</v>
      </c>
      <c r="E10" s="343">
        <v>44499</v>
      </c>
      <c r="F10" s="70">
        <f t="shared" si="1"/>
        <v>108.88</v>
      </c>
      <c r="G10" s="71" t="s">
        <v>139</v>
      </c>
      <c r="H10" s="72">
        <v>70</v>
      </c>
      <c r="I10" s="727">
        <f>I9-F10</f>
        <v>36338.699999999997</v>
      </c>
      <c r="J10" s="728">
        <f>J9-C10</f>
        <v>1335</v>
      </c>
      <c r="K10" s="729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2">
        <f t="shared" si="0"/>
        <v>27.22</v>
      </c>
      <c r="E11" s="343">
        <v>44499</v>
      </c>
      <c r="F11" s="70">
        <f t="shared" si="1"/>
        <v>27.22</v>
      </c>
      <c r="G11" s="278" t="s">
        <v>140</v>
      </c>
      <c r="H11" s="279">
        <v>70</v>
      </c>
      <c r="I11" s="727">
        <f t="shared" ref="I11:I74" si="3">I10-F11</f>
        <v>36311.479999999996</v>
      </c>
      <c r="J11" s="728">
        <f t="shared" ref="J11" si="4">J10-C11</f>
        <v>1334</v>
      </c>
      <c r="K11" s="729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2">
        <f t="shared" si="0"/>
        <v>27.22</v>
      </c>
      <c r="E12" s="343">
        <v>44501</v>
      </c>
      <c r="F12" s="70">
        <f t="shared" si="1"/>
        <v>27.22</v>
      </c>
      <c r="G12" s="278" t="s">
        <v>142</v>
      </c>
      <c r="H12" s="279">
        <v>70</v>
      </c>
      <c r="I12" s="727">
        <f t="shared" si="3"/>
        <v>36284.259999999995</v>
      </c>
      <c r="J12" s="728">
        <f>J11-C12</f>
        <v>1333</v>
      </c>
      <c r="K12" s="729">
        <f t="shared" si="2"/>
        <v>1905.3999999999999</v>
      </c>
    </row>
    <row r="13" spans="1:11" ht="15" customHeight="1" x14ac:dyDescent="0.25">
      <c r="A13" s="684"/>
      <c r="B13" s="332">
        <v>27.22</v>
      </c>
      <c r="C13" s="15">
        <v>28</v>
      </c>
      <c r="D13" s="412">
        <f t="shared" si="0"/>
        <v>762.16</v>
      </c>
      <c r="E13" s="343">
        <v>44501</v>
      </c>
      <c r="F13" s="70">
        <f t="shared" si="1"/>
        <v>762.16</v>
      </c>
      <c r="G13" s="71" t="s">
        <v>143</v>
      </c>
      <c r="H13" s="72">
        <v>70</v>
      </c>
      <c r="I13" s="727">
        <f t="shared" si="3"/>
        <v>35522.099999999991</v>
      </c>
      <c r="J13" s="728">
        <f t="shared" ref="J13:J76" si="5">J12-C13</f>
        <v>1305</v>
      </c>
      <c r="K13" s="729">
        <f t="shared" si="2"/>
        <v>53351.199999999997</v>
      </c>
    </row>
    <row r="14" spans="1:11" x14ac:dyDescent="0.25">
      <c r="A14" s="684"/>
      <c r="B14" s="332">
        <v>27.22</v>
      </c>
      <c r="C14" s="15">
        <v>2</v>
      </c>
      <c r="D14" s="412">
        <f t="shared" si="0"/>
        <v>54.44</v>
      </c>
      <c r="E14" s="343">
        <v>44502</v>
      </c>
      <c r="F14" s="70">
        <f t="shared" si="1"/>
        <v>54.44</v>
      </c>
      <c r="G14" s="71" t="s">
        <v>145</v>
      </c>
      <c r="H14" s="72">
        <v>70</v>
      </c>
      <c r="I14" s="727">
        <f t="shared" si="3"/>
        <v>35467.659999999989</v>
      </c>
      <c r="J14" s="728">
        <f t="shared" si="5"/>
        <v>1303</v>
      </c>
      <c r="K14" s="729">
        <f t="shared" si="2"/>
        <v>3810.7999999999997</v>
      </c>
    </row>
    <row r="15" spans="1:11" x14ac:dyDescent="0.25">
      <c r="A15" s="684"/>
      <c r="B15" s="332">
        <v>27.22</v>
      </c>
      <c r="C15" s="15">
        <v>1</v>
      </c>
      <c r="D15" s="412">
        <f t="shared" si="0"/>
        <v>27.22</v>
      </c>
      <c r="E15" s="343">
        <v>44503</v>
      </c>
      <c r="F15" s="70">
        <f t="shared" si="1"/>
        <v>27.22</v>
      </c>
      <c r="G15" s="71" t="s">
        <v>146</v>
      </c>
      <c r="H15" s="72">
        <v>70</v>
      </c>
      <c r="I15" s="727">
        <f t="shared" si="3"/>
        <v>35440.439999999988</v>
      </c>
      <c r="J15" s="728">
        <f t="shared" si="5"/>
        <v>1302</v>
      </c>
      <c r="K15" s="729">
        <f t="shared" si="2"/>
        <v>1905.3999999999999</v>
      </c>
    </row>
    <row r="16" spans="1:11" x14ac:dyDescent="0.25">
      <c r="A16" s="684"/>
      <c r="B16" s="332">
        <v>27.22</v>
      </c>
      <c r="C16" s="15">
        <v>4</v>
      </c>
      <c r="D16" s="412">
        <f t="shared" si="0"/>
        <v>108.88</v>
      </c>
      <c r="E16" s="343">
        <v>44503</v>
      </c>
      <c r="F16" s="70">
        <f t="shared" si="1"/>
        <v>108.88</v>
      </c>
      <c r="G16" s="71" t="s">
        <v>147</v>
      </c>
      <c r="H16" s="72">
        <v>70</v>
      </c>
      <c r="I16" s="727">
        <f t="shared" si="3"/>
        <v>35331.55999999999</v>
      </c>
      <c r="J16" s="728">
        <f t="shared" si="5"/>
        <v>1298</v>
      </c>
      <c r="K16" s="729">
        <f t="shared" si="2"/>
        <v>7621.5999999999995</v>
      </c>
    </row>
    <row r="17" spans="1:11" x14ac:dyDescent="0.25">
      <c r="A17" s="684"/>
      <c r="B17" s="332">
        <v>27.22</v>
      </c>
      <c r="C17" s="15">
        <v>1</v>
      </c>
      <c r="D17" s="412">
        <f t="shared" si="0"/>
        <v>27.22</v>
      </c>
      <c r="E17" s="341">
        <v>44504</v>
      </c>
      <c r="F17" s="70">
        <f t="shared" si="1"/>
        <v>27.22</v>
      </c>
      <c r="G17" s="71" t="s">
        <v>137</v>
      </c>
      <c r="H17" s="72">
        <v>70</v>
      </c>
      <c r="I17" s="727">
        <f t="shared" si="3"/>
        <v>35304.339999999989</v>
      </c>
      <c r="J17" s="728">
        <f t="shared" si="5"/>
        <v>1297</v>
      </c>
      <c r="K17" s="729">
        <f t="shared" si="2"/>
        <v>1905.3999999999999</v>
      </c>
    </row>
    <row r="18" spans="1:11" x14ac:dyDescent="0.25">
      <c r="B18" s="2">
        <v>27.22</v>
      </c>
      <c r="C18" s="15">
        <v>36</v>
      </c>
      <c r="D18" s="412">
        <f t="shared" si="0"/>
        <v>979.92</v>
      </c>
      <c r="E18" s="343">
        <v>44504</v>
      </c>
      <c r="F18" s="70">
        <f t="shared" si="1"/>
        <v>979.92</v>
      </c>
      <c r="G18" s="71" t="s">
        <v>149</v>
      </c>
      <c r="H18" s="72">
        <v>70</v>
      </c>
      <c r="I18" s="727">
        <f t="shared" si="3"/>
        <v>34324.419999999991</v>
      </c>
      <c r="J18" s="728">
        <f t="shared" si="5"/>
        <v>1261</v>
      </c>
      <c r="K18" s="729">
        <f t="shared" si="2"/>
        <v>68594.399999999994</v>
      </c>
    </row>
    <row r="19" spans="1:11" x14ac:dyDescent="0.25">
      <c r="B19" s="2">
        <v>27.22</v>
      </c>
      <c r="C19" s="15">
        <v>10</v>
      </c>
      <c r="D19" s="412">
        <f t="shared" si="0"/>
        <v>272.2</v>
      </c>
      <c r="E19" s="343">
        <v>44504</v>
      </c>
      <c r="F19" s="70">
        <f t="shared" si="1"/>
        <v>272.2</v>
      </c>
      <c r="G19" s="71" t="s">
        <v>150</v>
      </c>
      <c r="H19" s="72">
        <v>70</v>
      </c>
      <c r="I19" s="727">
        <f t="shared" si="3"/>
        <v>34052.219999999994</v>
      </c>
      <c r="J19" s="728">
        <f t="shared" si="5"/>
        <v>1251</v>
      </c>
      <c r="K19" s="729">
        <f t="shared" si="2"/>
        <v>19054</v>
      </c>
    </row>
    <row r="20" spans="1:11" x14ac:dyDescent="0.25">
      <c r="B20" s="2">
        <v>27.22</v>
      </c>
      <c r="C20" s="15">
        <v>1</v>
      </c>
      <c r="D20" s="412">
        <f t="shared" si="0"/>
        <v>27.22</v>
      </c>
      <c r="E20" s="341">
        <v>44505</v>
      </c>
      <c r="F20" s="70">
        <f t="shared" si="1"/>
        <v>27.22</v>
      </c>
      <c r="G20" s="71" t="s">
        <v>152</v>
      </c>
      <c r="H20" s="72">
        <v>70</v>
      </c>
      <c r="I20" s="727">
        <f t="shared" si="3"/>
        <v>34024.999999999993</v>
      </c>
      <c r="J20" s="908">
        <f t="shared" si="5"/>
        <v>1250</v>
      </c>
      <c r="K20" s="729">
        <f t="shared" si="2"/>
        <v>1905.3999999999999</v>
      </c>
    </row>
    <row r="21" spans="1:11" x14ac:dyDescent="0.25">
      <c r="B21" s="2">
        <v>27.22</v>
      </c>
      <c r="C21" s="15">
        <v>1</v>
      </c>
      <c r="D21" s="412">
        <f t="shared" si="0"/>
        <v>27.22</v>
      </c>
      <c r="E21" s="341">
        <v>44505</v>
      </c>
      <c r="F21" s="70">
        <f t="shared" si="1"/>
        <v>27.22</v>
      </c>
      <c r="G21" s="71" t="s">
        <v>153</v>
      </c>
      <c r="H21" s="72">
        <v>70</v>
      </c>
      <c r="I21" s="727">
        <f t="shared" si="3"/>
        <v>33997.779999999992</v>
      </c>
      <c r="J21" s="728">
        <f t="shared" si="5"/>
        <v>1249</v>
      </c>
      <c r="K21" s="729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2">
        <f t="shared" si="0"/>
        <v>27.22</v>
      </c>
      <c r="E22" s="341">
        <v>44506</v>
      </c>
      <c r="F22" s="70">
        <f t="shared" si="1"/>
        <v>27.22</v>
      </c>
      <c r="G22" s="71" t="s">
        <v>155</v>
      </c>
      <c r="H22" s="72">
        <v>70</v>
      </c>
      <c r="I22" s="727">
        <f t="shared" si="3"/>
        <v>33970.55999999999</v>
      </c>
      <c r="J22" s="728">
        <f t="shared" si="5"/>
        <v>1248</v>
      </c>
      <c r="K22" s="729">
        <f t="shared" si="2"/>
        <v>1905.3999999999999</v>
      </c>
    </row>
    <row r="23" spans="1:11" x14ac:dyDescent="0.25">
      <c r="B23" s="2">
        <v>27.22</v>
      </c>
      <c r="C23" s="15">
        <v>32</v>
      </c>
      <c r="D23" s="412">
        <f t="shared" si="0"/>
        <v>871.04</v>
      </c>
      <c r="E23" s="343">
        <v>44506</v>
      </c>
      <c r="F23" s="70">
        <f t="shared" si="1"/>
        <v>871.04</v>
      </c>
      <c r="G23" s="71" t="s">
        <v>156</v>
      </c>
      <c r="H23" s="72">
        <v>70</v>
      </c>
      <c r="I23" s="727">
        <f t="shared" si="3"/>
        <v>33099.51999999999</v>
      </c>
      <c r="J23" s="728">
        <f t="shared" si="5"/>
        <v>1216</v>
      </c>
      <c r="K23" s="729">
        <f t="shared" si="2"/>
        <v>60972.799999999996</v>
      </c>
    </row>
    <row r="24" spans="1:11" x14ac:dyDescent="0.25">
      <c r="B24" s="2">
        <v>27.22</v>
      </c>
      <c r="C24" s="15">
        <v>1</v>
      </c>
      <c r="D24" s="412">
        <f t="shared" si="0"/>
        <v>27.22</v>
      </c>
      <c r="E24" s="341">
        <v>44506</v>
      </c>
      <c r="F24" s="70">
        <f t="shared" si="1"/>
        <v>27.22</v>
      </c>
      <c r="G24" s="71" t="s">
        <v>157</v>
      </c>
      <c r="H24" s="72">
        <v>70</v>
      </c>
      <c r="I24" s="727">
        <f t="shared" si="3"/>
        <v>33072.299999999988</v>
      </c>
      <c r="J24" s="728">
        <f t="shared" si="5"/>
        <v>1215</v>
      </c>
      <c r="K24" s="729">
        <f t="shared" si="2"/>
        <v>1905.3999999999999</v>
      </c>
    </row>
    <row r="25" spans="1:11" x14ac:dyDescent="0.25">
      <c r="B25" s="2">
        <v>27.22</v>
      </c>
      <c r="C25" s="15">
        <v>3</v>
      </c>
      <c r="D25" s="412">
        <f t="shared" si="0"/>
        <v>81.66</v>
      </c>
      <c r="E25" s="343">
        <v>44507</v>
      </c>
      <c r="F25" s="70">
        <f t="shared" si="1"/>
        <v>81.66</v>
      </c>
      <c r="G25" s="71" t="s">
        <v>158</v>
      </c>
      <c r="H25" s="72">
        <v>70</v>
      </c>
      <c r="I25" s="727">
        <f t="shared" si="3"/>
        <v>32990.639999999985</v>
      </c>
      <c r="J25" s="728">
        <f t="shared" si="5"/>
        <v>1212</v>
      </c>
      <c r="K25" s="729">
        <f t="shared" si="2"/>
        <v>5716.2</v>
      </c>
    </row>
    <row r="26" spans="1:11" x14ac:dyDescent="0.25">
      <c r="B26" s="2">
        <v>27.22</v>
      </c>
      <c r="C26" s="15">
        <v>39</v>
      </c>
      <c r="D26" s="859">
        <f t="shared" si="0"/>
        <v>1061.58</v>
      </c>
      <c r="E26" s="860">
        <v>44508</v>
      </c>
      <c r="F26" s="240">
        <f t="shared" si="1"/>
        <v>1061.58</v>
      </c>
      <c r="G26" s="183" t="s">
        <v>168</v>
      </c>
      <c r="H26" s="121">
        <v>70</v>
      </c>
      <c r="I26" s="727">
        <f t="shared" si="3"/>
        <v>31929.059999999983</v>
      </c>
      <c r="J26" s="728">
        <f t="shared" si="5"/>
        <v>1173</v>
      </c>
      <c r="K26" s="729">
        <f t="shared" si="2"/>
        <v>74310.599999999991</v>
      </c>
    </row>
    <row r="27" spans="1:11" x14ac:dyDescent="0.25">
      <c r="B27" s="2">
        <v>27.22</v>
      </c>
      <c r="C27" s="15">
        <v>36</v>
      </c>
      <c r="D27" s="859">
        <f t="shared" si="0"/>
        <v>979.92</v>
      </c>
      <c r="E27" s="860">
        <v>44511</v>
      </c>
      <c r="F27" s="240">
        <f t="shared" si="1"/>
        <v>979.92</v>
      </c>
      <c r="G27" s="183" t="s">
        <v>174</v>
      </c>
      <c r="H27" s="121">
        <v>70</v>
      </c>
      <c r="I27" s="727">
        <f t="shared" si="3"/>
        <v>30949.139999999985</v>
      </c>
      <c r="J27" s="728">
        <f t="shared" si="5"/>
        <v>1137</v>
      </c>
      <c r="K27" s="729">
        <f t="shared" si="2"/>
        <v>68594.399999999994</v>
      </c>
    </row>
    <row r="28" spans="1:11" x14ac:dyDescent="0.25">
      <c r="B28" s="2">
        <v>27.22</v>
      </c>
      <c r="C28" s="15">
        <v>20</v>
      </c>
      <c r="D28" s="859">
        <f t="shared" si="0"/>
        <v>544.4</v>
      </c>
      <c r="E28" s="860">
        <v>44513</v>
      </c>
      <c r="F28" s="240">
        <f t="shared" si="1"/>
        <v>544.4</v>
      </c>
      <c r="G28" s="183" t="s">
        <v>170</v>
      </c>
      <c r="H28" s="121">
        <v>70</v>
      </c>
      <c r="I28" s="727">
        <f t="shared" si="3"/>
        <v>30404.739999999983</v>
      </c>
      <c r="J28" s="728">
        <f t="shared" si="5"/>
        <v>1117</v>
      </c>
      <c r="K28" s="729">
        <f t="shared" si="2"/>
        <v>38108</v>
      </c>
    </row>
    <row r="29" spans="1:11" x14ac:dyDescent="0.25">
      <c r="B29" s="2">
        <v>27.22</v>
      </c>
      <c r="C29" s="15">
        <v>15</v>
      </c>
      <c r="D29" s="859">
        <f t="shared" si="0"/>
        <v>408.29999999999995</v>
      </c>
      <c r="E29" s="860">
        <v>44513</v>
      </c>
      <c r="F29" s="240">
        <f t="shared" si="1"/>
        <v>408.29999999999995</v>
      </c>
      <c r="G29" s="447" t="s">
        <v>182</v>
      </c>
      <c r="H29" s="448">
        <v>70</v>
      </c>
      <c r="I29" s="727">
        <f t="shared" si="3"/>
        <v>29996.439999999984</v>
      </c>
      <c r="J29" s="730">
        <f t="shared" si="5"/>
        <v>1102</v>
      </c>
      <c r="K29" s="729">
        <f t="shared" si="2"/>
        <v>28580.999999999996</v>
      </c>
    </row>
    <row r="30" spans="1:11" x14ac:dyDescent="0.25">
      <c r="B30" s="2">
        <v>27.22</v>
      </c>
      <c r="C30" s="15">
        <v>28</v>
      </c>
      <c r="D30" s="859">
        <f t="shared" si="0"/>
        <v>762.16</v>
      </c>
      <c r="E30" s="860">
        <v>44513</v>
      </c>
      <c r="F30" s="240">
        <f t="shared" si="1"/>
        <v>762.16</v>
      </c>
      <c r="G30" s="447" t="s">
        <v>177</v>
      </c>
      <c r="H30" s="448">
        <v>70</v>
      </c>
      <c r="I30" s="727">
        <f t="shared" si="3"/>
        <v>29234.279999999984</v>
      </c>
      <c r="J30" s="730">
        <f t="shared" si="5"/>
        <v>1074</v>
      </c>
      <c r="K30" s="729">
        <f t="shared" si="2"/>
        <v>53351.199999999997</v>
      </c>
    </row>
    <row r="31" spans="1:11" x14ac:dyDescent="0.25">
      <c r="B31" s="2">
        <v>27.22</v>
      </c>
      <c r="C31" s="15">
        <v>28</v>
      </c>
      <c r="D31" s="859">
        <f t="shared" si="0"/>
        <v>762.16</v>
      </c>
      <c r="E31" s="860">
        <v>44516</v>
      </c>
      <c r="F31" s="240">
        <f t="shared" si="1"/>
        <v>762.16</v>
      </c>
      <c r="G31" s="447" t="s">
        <v>184</v>
      </c>
      <c r="H31" s="448">
        <v>70</v>
      </c>
      <c r="I31" s="727">
        <f t="shared" si="3"/>
        <v>28472.119999999984</v>
      </c>
      <c r="J31" s="730">
        <f t="shared" si="5"/>
        <v>1046</v>
      </c>
      <c r="K31" s="729">
        <f t="shared" si="2"/>
        <v>53351.199999999997</v>
      </c>
    </row>
    <row r="32" spans="1:11" x14ac:dyDescent="0.25">
      <c r="B32" s="2">
        <v>27.22</v>
      </c>
      <c r="C32" s="15">
        <v>10</v>
      </c>
      <c r="D32" s="859">
        <f t="shared" si="0"/>
        <v>272.2</v>
      </c>
      <c r="E32" s="860">
        <v>44516</v>
      </c>
      <c r="F32" s="240">
        <f t="shared" si="1"/>
        <v>272.2</v>
      </c>
      <c r="G32" s="447" t="s">
        <v>189</v>
      </c>
      <c r="H32" s="448">
        <v>70</v>
      </c>
      <c r="I32" s="727">
        <f t="shared" si="3"/>
        <v>28199.919999999984</v>
      </c>
      <c r="J32" s="730">
        <f t="shared" si="5"/>
        <v>1036</v>
      </c>
      <c r="K32" s="729">
        <f t="shared" si="2"/>
        <v>19054</v>
      </c>
    </row>
    <row r="33" spans="2:11" x14ac:dyDescent="0.25">
      <c r="B33" s="2">
        <v>27.22</v>
      </c>
      <c r="C33" s="15">
        <v>7</v>
      </c>
      <c r="D33" s="859">
        <f t="shared" si="0"/>
        <v>190.54</v>
      </c>
      <c r="E33" s="860">
        <v>44517</v>
      </c>
      <c r="F33" s="240">
        <f t="shared" si="1"/>
        <v>190.54</v>
      </c>
      <c r="G33" s="447" t="s">
        <v>180</v>
      </c>
      <c r="H33" s="448">
        <v>70</v>
      </c>
      <c r="I33" s="727">
        <f t="shared" si="3"/>
        <v>28009.379999999983</v>
      </c>
      <c r="J33" s="730">
        <f t="shared" si="5"/>
        <v>1029</v>
      </c>
      <c r="K33" s="729">
        <f t="shared" si="2"/>
        <v>13337.8</v>
      </c>
    </row>
    <row r="34" spans="2:11" x14ac:dyDescent="0.25">
      <c r="B34" s="2">
        <v>27.22</v>
      </c>
      <c r="C34" s="15">
        <v>28</v>
      </c>
      <c r="D34" s="859">
        <f t="shared" si="0"/>
        <v>762.16</v>
      </c>
      <c r="E34" s="860">
        <v>44517</v>
      </c>
      <c r="F34" s="240">
        <f t="shared" si="1"/>
        <v>762.16</v>
      </c>
      <c r="G34" s="183" t="s">
        <v>191</v>
      </c>
      <c r="H34" s="121">
        <v>70</v>
      </c>
      <c r="I34" s="727">
        <f t="shared" si="3"/>
        <v>27247.219999999983</v>
      </c>
      <c r="J34" s="728">
        <f t="shared" si="5"/>
        <v>1001</v>
      </c>
      <c r="K34" s="729">
        <f t="shared" si="2"/>
        <v>53351.199999999997</v>
      </c>
    </row>
    <row r="35" spans="2:11" x14ac:dyDescent="0.25">
      <c r="B35" s="2">
        <v>27.22</v>
      </c>
      <c r="C35" s="15">
        <v>24</v>
      </c>
      <c r="D35" s="859">
        <f t="shared" si="0"/>
        <v>653.28</v>
      </c>
      <c r="E35" s="860">
        <v>44518</v>
      </c>
      <c r="F35" s="240">
        <f t="shared" si="1"/>
        <v>653.28</v>
      </c>
      <c r="G35" s="183" t="s">
        <v>193</v>
      </c>
      <c r="H35" s="121">
        <v>70</v>
      </c>
      <c r="I35" s="727">
        <f t="shared" si="3"/>
        <v>26593.939999999984</v>
      </c>
      <c r="J35" s="728">
        <f t="shared" si="5"/>
        <v>977</v>
      </c>
      <c r="K35" s="729">
        <f t="shared" si="2"/>
        <v>45729.599999999999</v>
      </c>
    </row>
    <row r="36" spans="2:11" x14ac:dyDescent="0.25">
      <c r="B36" s="2">
        <v>27.22</v>
      </c>
      <c r="C36" s="15">
        <v>7</v>
      </c>
      <c r="D36" s="859">
        <f t="shared" si="0"/>
        <v>190.54</v>
      </c>
      <c r="E36" s="860">
        <v>44519</v>
      </c>
      <c r="F36" s="240">
        <f t="shared" si="1"/>
        <v>190.54</v>
      </c>
      <c r="G36" s="183" t="s">
        <v>195</v>
      </c>
      <c r="H36" s="121">
        <v>70</v>
      </c>
      <c r="I36" s="727">
        <f t="shared" si="3"/>
        <v>26403.399999999983</v>
      </c>
      <c r="J36" s="728">
        <f t="shared" si="5"/>
        <v>970</v>
      </c>
      <c r="K36" s="729">
        <f t="shared" si="2"/>
        <v>13337.8</v>
      </c>
    </row>
    <row r="37" spans="2:11" x14ac:dyDescent="0.25">
      <c r="B37" s="2">
        <v>27.22</v>
      </c>
      <c r="C37" s="15">
        <v>28</v>
      </c>
      <c r="D37" s="240">
        <f t="shared" si="0"/>
        <v>762.16</v>
      </c>
      <c r="E37" s="344">
        <v>44519</v>
      </c>
      <c r="F37" s="240">
        <f t="shared" si="1"/>
        <v>762.16</v>
      </c>
      <c r="G37" s="183" t="s">
        <v>197</v>
      </c>
      <c r="H37" s="121">
        <v>70</v>
      </c>
      <c r="I37" s="727">
        <f t="shared" si="3"/>
        <v>25641.239999999983</v>
      </c>
      <c r="J37" s="728">
        <f t="shared" si="5"/>
        <v>942</v>
      </c>
      <c r="K37" s="729">
        <f t="shared" si="2"/>
        <v>53351.199999999997</v>
      </c>
    </row>
    <row r="38" spans="2:11" x14ac:dyDescent="0.25">
      <c r="B38" s="2">
        <v>27.22</v>
      </c>
      <c r="C38" s="15">
        <v>24</v>
      </c>
      <c r="D38" s="240">
        <f t="shared" si="0"/>
        <v>653.28</v>
      </c>
      <c r="E38" s="344">
        <v>44519</v>
      </c>
      <c r="F38" s="240">
        <f t="shared" si="1"/>
        <v>653.28</v>
      </c>
      <c r="G38" s="183" t="s">
        <v>198</v>
      </c>
      <c r="H38" s="121">
        <v>70</v>
      </c>
      <c r="I38" s="727">
        <f t="shared" si="3"/>
        <v>24987.959999999985</v>
      </c>
      <c r="J38" s="728">
        <f t="shared" si="5"/>
        <v>918</v>
      </c>
      <c r="K38" s="729">
        <f t="shared" si="2"/>
        <v>45729.599999999999</v>
      </c>
    </row>
    <row r="39" spans="2:11" x14ac:dyDescent="0.25">
      <c r="B39" s="2">
        <v>27.22</v>
      </c>
      <c r="C39" s="15">
        <v>2</v>
      </c>
      <c r="D39" s="240">
        <f t="shared" si="0"/>
        <v>54.44</v>
      </c>
      <c r="E39" s="344">
        <v>44524</v>
      </c>
      <c r="F39" s="240">
        <f t="shared" si="1"/>
        <v>54.44</v>
      </c>
      <c r="G39" s="183" t="s">
        <v>212</v>
      </c>
      <c r="H39" s="121">
        <v>70</v>
      </c>
      <c r="I39" s="727">
        <f t="shared" si="3"/>
        <v>24933.519999999986</v>
      </c>
      <c r="J39" s="728">
        <f t="shared" si="5"/>
        <v>916</v>
      </c>
      <c r="K39" s="729">
        <f t="shared" si="2"/>
        <v>3810.7999999999997</v>
      </c>
    </row>
    <row r="40" spans="2:11" x14ac:dyDescent="0.25">
      <c r="B40" s="2">
        <v>27.22</v>
      </c>
      <c r="C40" s="15">
        <v>1</v>
      </c>
      <c r="D40" s="240">
        <f t="shared" si="0"/>
        <v>27.22</v>
      </c>
      <c r="E40" s="344">
        <v>44524</v>
      </c>
      <c r="F40" s="240">
        <f t="shared" si="1"/>
        <v>27.22</v>
      </c>
      <c r="G40" s="183" t="s">
        <v>213</v>
      </c>
      <c r="H40" s="121">
        <v>70</v>
      </c>
      <c r="I40" s="727">
        <f t="shared" si="3"/>
        <v>24906.299999999985</v>
      </c>
      <c r="J40" s="728">
        <f t="shared" si="5"/>
        <v>915</v>
      </c>
      <c r="K40" s="729">
        <f t="shared" si="2"/>
        <v>1905.3999999999999</v>
      </c>
    </row>
    <row r="41" spans="2:11" x14ac:dyDescent="0.25">
      <c r="B41" s="2">
        <v>27.22</v>
      </c>
      <c r="C41" s="15">
        <v>38</v>
      </c>
      <c r="D41" s="240">
        <f t="shared" si="0"/>
        <v>1034.3599999999999</v>
      </c>
      <c r="E41" s="344">
        <v>44525</v>
      </c>
      <c r="F41" s="240">
        <f t="shared" si="1"/>
        <v>1034.3599999999999</v>
      </c>
      <c r="G41" s="183" t="s">
        <v>216</v>
      </c>
      <c r="H41" s="121">
        <v>70</v>
      </c>
      <c r="I41" s="727">
        <f t="shared" si="3"/>
        <v>23871.939999999984</v>
      </c>
      <c r="J41" s="728">
        <f t="shared" si="5"/>
        <v>877</v>
      </c>
      <c r="K41" s="729">
        <f t="shared" si="2"/>
        <v>72405.2</v>
      </c>
    </row>
    <row r="42" spans="2:11" x14ac:dyDescent="0.25">
      <c r="B42" s="2">
        <v>27.22</v>
      </c>
      <c r="C42" s="15">
        <v>40</v>
      </c>
      <c r="D42" s="240">
        <f t="shared" si="0"/>
        <v>1088.8</v>
      </c>
      <c r="E42" s="344">
        <v>44526</v>
      </c>
      <c r="F42" s="240">
        <f t="shared" si="1"/>
        <v>1088.8</v>
      </c>
      <c r="G42" s="183" t="s">
        <v>220</v>
      </c>
      <c r="H42" s="121">
        <v>70</v>
      </c>
      <c r="I42" s="727">
        <f t="shared" si="3"/>
        <v>22783.139999999985</v>
      </c>
      <c r="J42" s="728">
        <f t="shared" si="5"/>
        <v>837</v>
      </c>
      <c r="K42" s="729">
        <f t="shared" si="2"/>
        <v>76216</v>
      </c>
    </row>
    <row r="43" spans="2:11" x14ac:dyDescent="0.25">
      <c r="B43" s="2">
        <v>27.22</v>
      </c>
      <c r="C43" s="15">
        <v>52</v>
      </c>
      <c r="D43" s="240">
        <f t="shared" si="0"/>
        <v>1415.44</v>
      </c>
      <c r="E43" s="344">
        <v>44526</v>
      </c>
      <c r="F43" s="240">
        <f t="shared" si="1"/>
        <v>1415.44</v>
      </c>
      <c r="G43" s="183" t="s">
        <v>225</v>
      </c>
      <c r="H43" s="121">
        <v>70</v>
      </c>
      <c r="I43" s="727">
        <f t="shared" si="3"/>
        <v>21367.699999999986</v>
      </c>
      <c r="J43" s="728">
        <f t="shared" si="5"/>
        <v>785</v>
      </c>
      <c r="K43" s="729">
        <f t="shared" si="2"/>
        <v>99080.8</v>
      </c>
    </row>
    <row r="44" spans="2:11" x14ac:dyDescent="0.25">
      <c r="B44" s="2">
        <v>27.22</v>
      </c>
      <c r="C44" s="15">
        <v>15</v>
      </c>
      <c r="D44" s="240">
        <f t="shared" si="0"/>
        <v>408.29999999999995</v>
      </c>
      <c r="E44" s="344">
        <v>44530</v>
      </c>
      <c r="F44" s="240">
        <f t="shared" si="1"/>
        <v>408.29999999999995</v>
      </c>
      <c r="G44" s="183" t="s">
        <v>234</v>
      </c>
      <c r="H44" s="121">
        <v>70</v>
      </c>
      <c r="I44" s="727">
        <f t="shared" si="3"/>
        <v>20959.399999999987</v>
      </c>
      <c r="J44" s="728">
        <f t="shared" si="5"/>
        <v>770</v>
      </c>
      <c r="K44" s="729">
        <f t="shared" si="2"/>
        <v>28580.999999999996</v>
      </c>
    </row>
    <row r="45" spans="2:11" x14ac:dyDescent="0.25">
      <c r="B45" s="2">
        <v>27.22</v>
      </c>
      <c r="C45" s="15">
        <v>15</v>
      </c>
      <c r="D45" s="240">
        <f t="shared" si="0"/>
        <v>408.29999999999995</v>
      </c>
      <c r="E45" s="344">
        <v>44533</v>
      </c>
      <c r="F45" s="240">
        <f t="shared" si="1"/>
        <v>408.29999999999995</v>
      </c>
      <c r="G45" s="183" t="s">
        <v>239</v>
      </c>
      <c r="H45" s="121">
        <v>70</v>
      </c>
      <c r="I45" s="727">
        <f t="shared" si="3"/>
        <v>20551.099999999988</v>
      </c>
      <c r="J45" s="728">
        <f t="shared" si="5"/>
        <v>755</v>
      </c>
      <c r="K45" s="729">
        <f t="shared" si="2"/>
        <v>28580.999999999996</v>
      </c>
    </row>
    <row r="46" spans="2:11" x14ac:dyDescent="0.25">
      <c r="B46" s="2">
        <v>27.22</v>
      </c>
      <c r="C46" s="15">
        <v>15</v>
      </c>
      <c r="D46" s="240">
        <f t="shared" si="0"/>
        <v>408.29999999999995</v>
      </c>
      <c r="E46" s="344">
        <v>44533</v>
      </c>
      <c r="F46" s="240">
        <f t="shared" si="1"/>
        <v>408.29999999999995</v>
      </c>
      <c r="G46" s="183" t="s">
        <v>240</v>
      </c>
      <c r="H46" s="121">
        <v>70</v>
      </c>
      <c r="I46" s="727">
        <f t="shared" si="3"/>
        <v>20142.799999999988</v>
      </c>
      <c r="J46" s="728">
        <f t="shared" si="5"/>
        <v>740</v>
      </c>
      <c r="K46" s="729">
        <f t="shared" si="2"/>
        <v>28580.999999999996</v>
      </c>
    </row>
    <row r="47" spans="2:11" x14ac:dyDescent="0.25">
      <c r="B47" s="2">
        <v>27.22</v>
      </c>
      <c r="C47" s="15">
        <v>32</v>
      </c>
      <c r="D47" s="240">
        <f t="shared" si="0"/>
        <v>871.04</v>
      </c>
      <c r="E47" s="344">
        <v>44533</v>
      </c>
      <c r="F47" s="240">
        <f t="shared" si="1"/>
        <v>871.04</v>
      </c>
      <c r="G47" s="183" t="s">
        <v>242</v>
      </c>
      <c r="H47" s="121">
        <v>70</v>
      </c>
      <c r="I47" s="727">
        <f t="shared" si="3"/>
        <v>19271.759999999987</v>
      </c>
      <c r="J47" s="728">
        <f t="shared" si="5"/>
        <v>708</v>
      </c>
      <c r="K47" s="729">
        <f t="shared" si="2"/>
        <v>60972.799999999996</v>
      </c>
    </row>
    <row r="48" spans="2:11" x14ac:dyDescent="0.25">
      <c r="B48" s="2">
        <v>27.22</v>
      </c>
      <c r="C48" s="15">
        <v>15</v>
      </c>
      <c r="D48" s="240">
        <f t="shared" si="0"/>
        <v>408.29999999999995</v>
      </c>
      <c r="E48" s="344">
        <v>44534</v>
      </c>
      <c r="F48" s="240">
        <f t="shared" si="1"/>
        <v>408.29999999999995</v>
      </c>
      <c r="G48" s="183" t="s">
        <v>245</v>
      </c>
      <c r="H48" s="121">
        <v>70</v>
      </c>
      <c r="I48" s="727">
        <f t="shared" si="3"/>
        <v>18863.459999999988</v>
      </c>
      <c r="J48" s="728">
        <f t="shared" si="5"/>
        <v>693</v>
      </c>
      <c r="K48" s="729">
        <f t="shared" si="2"/>
        <v>28580.999999999996</v>
      </c>
    </row>
    <row r="49" spans="1:11" x14ac:dyDescent="0.25">
      <c r="B49" s="2">
        <v>27.22</v>
      </c>
      <c r="C49" s="15">
        <v>15</v>
      </c>
      <c r="D49" s="705">
        <f t="shared" si="0"/>
        <v>408.29999999999995</v>
      </c>
      <c r="E49" s="811">
        <v>44537</v>
      </c>
      <c r="F49" s="705">
        <f t="shared" si="1"/>
        <v>408.29999999999995</v>
      </c>
      <c r="G49" s="706" t="s">
        <v>466</v>
      </c>
      <c r="H49" s="186">
        <v>70</v>
      </c>
      <c r="I49" s="727">
        <f t="shared" si="3"/>
        <v>18455.159999999989</v>
      </c>
      <c r="J49" s="728">
        <f t="shared" si="5"/>
        <v>678</v>
      </c>
      <c r="K49" s="729">
        <f t="shared" si="2"/>
        <v>28580.999999999996</v>
      </c>
    </row>
    <row r="50" spans="1:11" x14ac:dyDescent="0.25">
      <c r="B50" s="2">
        <v>27.22</v>
      </c>
      <c r="C50" s="15">
        <v>3</v>
      </c>
      <c r="D50" s="705">
        <f t="shared" si="0"/>
        <v>81.66</v>
      </c>
      <c r="E50" s="811">
        <v>44538</v>
      </c>
      <c r="F50" s="705">
        <f t="shared" si="1"/>
        <v>81.66</v>
      </c>
      <c r="G50" s="706" t="s">
        <v>478</v>
      </c>
      <c r="H50" s="186">
        <v>70</v>
      </c>
      <c r="I50" s="727">
        <f t="shared" si="3"/>
        <v>18373.499999999989</v>
      </c>
      <c r="J50" s="728">
        <f t="shared" si="5"/>
        <v>675</v>
      </c>
      <c r="K50" s="729">
        <f t="shared" si="2"/>
        <v>5716.2</v>
      </c>
    </row>
    <row r="51" spans="1:11" x14ac:dyDescent="0.25">
      <c r="B51" s="2">
        <v>27.22</v>
      </c>
      <c r="C51" s="15">
        <v>1</v>
      </c>
      <c r="D51" s="705">
        <f t="shared" si="0"/>
        <v>27.22</v>
      </c>
      <c r="E51" s="811">
        <v>44538</v>
      </c>
      <c r="F51" s="705">
        <f t="shared" si="1"/>
        <v>27.22</v>
      </c>
      <c r="G51" s="706" t="s">
        <v>479</v>
      </c>
      <c r="H51" s="186">
        <v>70</v>
      </c>
      <c r="I51" s="727">
        <f t="shared" si="3"/>
        <v>18346.279999999988</v>
      </c>
      <c r="J51" s="728">
        <f t="shared" si="5"/>
        <v>674</v>
      </c>
      <c r="K51" s="729">
        <f t="shared" si="2"/>
        <v>1905.3999999999999</v>
      </c>
    </row>
    <row r="52" spans="1:11" x14ac:dyDescent="0.25">
      <c r="B52" s="2">
        <v>27.22</v>
      </c>
      <c r="C52" s="15">
        <v>36</v>
      </c>
      <c r="D52" s="705">
        <f t="shared" si="0"/>
        <v>979.92</v>
      </c>
      <c r="E52" s="811">
        <v>44538</v>
      </c>
      <c r="F52" s="705">
        <f t="shared" si="1"/>
        <v>979.92</v>
      </c>
      <c r="G52" s="706" t="s">
        <v>458</v>
      </c>
      <c r="H52" s="186">
        <v>70</v>
      </c>
      <c r="I52" s="727">
        <f t="shared" si="3"/>
        <v>17366.35999999999</v>
      </c>
      <c r="J52" s="728">
        <f t="shared" si="5"/>
        <v>638</v>
      </c>
      <c r="K52" s="729">
        <f t="shared" si="2"/>
        <v>68594.399999999994</v>
      </c>
    </row>
    <row r="53" spans="1:11" x14ac:dyDescent="0.25">
      <c r="B53" s="2">
        <v>27.22</v>
      </c>
      <c r="C53" s="15">
        <v>10</v>
      </c>
      <c r="D53" s="705">
        <f t="shared" si="0"/>
        <v>272.2</v>
      </c>
      <c r="E53" s="811">
        <v>44538</v>
      </c>
      <c r="F53" s="705">
        <f t="shared" si="1"/>
        <v>272.2</v>
      </c>
      <c r="G53" s="706" t="s">
        <v>480</v>
      </c>
      <c r="H53" s="186">
        <v>70</v>
      </c>
      <c r="I53" s="727">
        <f t="shared" si="3"/>
        <v>17094.159999999989</v>
      </c>
      <c r="J53" s="728">
        <f t="shared" si="5"/>
        <v>628</v>
      </c>
      <c r="K53" s="729">
        <f t="shared" si="2"/>
        <v>19054</v>
      </c>
    </row>
    <row r="54" spans="1:11" x14ac:dyDescent="0.25">
      <c r="B54" s="2">
        <v>27.22</v>
      </c>
      <c r="C54" s="15">
        <v>15</v>
      </c>
      <c r="D54" s="705">
        <f t="shared" si="0"/>
        <v>408.29999999999995</v>
      </c>
      <c r="E54" s="811">
        <v>44540</v>
      </c>
      <c r="F54" s="705">
        <f t="shared" si="1"/>
        <v>408.29999999999995</v>
      </c>
      <c r="G54" s="706" t="s">
        <v>499</v>
      </c>
      <c r="H54" s="186">
        <v>70</v>
      </c>
      <c r="I54" s="727">
        <f t="shared" si="3"/>
        <v>16685.85999999999</v>
      </c>
      <c r="J54" s="728">
        <f t="shared" si="5"/>
        <v>613</v>
      </c>
      <c r="K54" s="729">
        <f t="shared" si="2"/>
        <v>28580.999999999996</v>
      </c>
    </row>
    <row r="55" spans="1:11" x14ac:dyDescent="0.25">
      <c r="B55" s="2">
        <v>27.22</v>
      </c>
      <c r="C55" s="15">
        <v>28</v>
      </c>
      <c r="D55" s="705">
        <f t="shared" si="0"/>
        <v>762.16</v>
      </c>
      <c r="E55" s="811">
        <v>44540</v>
      </c>
      <c r="F55" s="705">
        <f t="shared" si="1"/>
        <v>762.16</v>
      </c>
      <c r="G55" s="706" t="s">
        <v>460</v>
      </c>
      <c r="H55" s="186">
        <v>70</v>
      </c>
      <c r="I55" s="727">
        <f t="shared" si="3"/>
        <v>15923.69999999999</v>
      </c>
      <c r="J55" s="728">
        <f t="shared" si="5"/>
        <v>585</v>
      </c>
      <c r="K55" s="729">
        <f t="shared" si="2"/>
        <v>53351.199999999997</v>
      </c>
    </row>
    <row r="56" spans="1:11" x14ac:dyDescent="0.25">
      <c r="B56" s="2">
        <v>27.22</v>
      </c>
      <c r="C56" s="15">
        <v>10</v>
      </c>
      <c r="D56" s="705">
        <f t="shared" si="0"/>
        <v>272.2</v>
      </c>
      <c r="E56" s="811">
        <v>44541</v>
      </c>
      <c r="F56" s="705">
        <f t="shared" si="1"/>
        <v>272.2</v>
      </c>
      <c r="G56" s="706" t="s">
        <v>504</v>
      </c>
      <c r="H56" s="186">
        <v>70</v>
      </c>
      <c r="I56" s="727">
        <f t="shared" si="3"/>
        <v>15651.499999999989</v>
      </c>
      <c r="J56" s="728">
        <f t="shared" si="5"/>
        <v>575</v>
      </c>
      <c r="K56" s="729">
        <f t="shared" si="2"/>
        <v>19054</v>
      </c>
    </row>
    <row r="57" spans="1:11" x14ac:dyDescent="0.25">
      <c r="B57" s="2">
        <v>27.22</v>
      </c>
      <c r="C57" s="15">
        <v>24</v>
      </c>
      <c r="D57" s="705">
        <f t="shared" si="0"/>
        <v>653.28</v>
      </c>
      <c r="E57" s="811">
        <v>44541</v>
      </c>
      <c r="F57" s="705">
        <f t="shared" si="1"/>
        <v>653.28</v>
      </c>
      <c r="G57" s="706" t="s">
        <v>506</v>
      </c>
      <c r="H57" s="186">
        <v>70</v>
      </c>
      <c r="I57" s="727">
        <f t="shared" si="3"/>
        <v>14998.219999999988</v>
      </c>
      <c r="J57" s="728">
        <f t="shared" si="5"/>
        <v>551</v>
      </c>
      <c r="K57" s="729">
        <f t="shared" si="2"/>
        <v>45729.599999999999</v>
      </c>
    </row>
    <row r="58" spans="1:11" x14ac:dyDescent="0.25">
      <c r="B58" s="2">
        <v>27.22</v>
      </c>
      <c r="C58" s="15">
        <v>20</v>
      </c>
      <c r="D58" s="705">
        <f t="shared" si="0"/>
        <v>544.4</v>
      </c>
      <c r="E58" s="811">
        <v>44544</v>
      </c>
      <c r="F58" s="705">
        <f t="shared" si="1"/>
        <v>544.4</v>
      </c>
      <c r="G58" s="706" t="s">
        <v>518</v>
      </c>
      <c r="H58" s="186">
        <v>70</v>
      </c>
      <c r="I58" s="727">
        <f t="shared" si="3"/>
        <v>14453.819999999989</v>
      </c>
      <c r="J58" s="728">
        <f t="shared" si="5"/>
        <v>531</v>
      </c>
      <c r="K58" s="729">
        <f t="shared" si="2"/>
        <v>38108</v>
      </c>
    </row>
    <row r="59" spans="1:11" x14ac:dyDescent="0.25">
      <c r="B59" s="2">
        <v>27.22</v>
      </c>
      <c r="C59" s="15">
        <v>20</v>
      </c>
      <c r="D59" s="705">
        <f t="shared" si="0"/>
        <v>544.4</v>
      </c>
      <c r="E59" s="811">
        <v>44544</v>
      </c>
      <c r="F59" s="705">
        <f t="shared" si="1"/>
        <v>544.4</v>
      </c>
      <c r="G59" s="706" t="s">
        <v>519</v>
      </c>
      <c r="H59" s="186">
        <v>70</v>
      </c>
      <c r="I59" s="727">
        <f t="shared" si="3"/>
        <v>13909.419999999989</v>
      </c>
      <c r="J59" s="728">
        <f t="shared" si="5"/>
        <v>511</v>
      </c>
      <c r="K59" s="729">
        <f t="shared" si="2"/>
        <v>38108</v>
      </c>
    </row>
    <row r="60" spans="1:11" ht="15.75" thickBot="1" x14ac:dyDescent="0.3">
      <c r="A60" s="124"/>
      <c r="B60" s="2">
        <v>27.22</v>
      </c>
      <c r="C60" s="15">
        <v>15</v>
      </c>
      <c r="D60" s="705">
        <f t="shared" si="0"/>
        <v>408.29999999999995</v>
      </c>
      <c r="E60" s="811">
        <v>44546</v>
      </c>
      <c r="F60" s="705">
        <f t="shared" si="1"/>
        <v>408.29999999999995</v>
      </c>
      <c r="G60" s="706" t="s">
        <v>495</v>
      </c>
      <c r="H60" s="186">
        <v>70</v>
      </c>
      <c r="I60" s="727">
        <f t="shared" si="3"/>
        <v>13501.11999999999</v>
      </c>
      <c r="J60" s="728">
        <f t="shared" si="5"/>
        <v>496</v>
      </c>
      <c r="K60" s="729">
        <f t="shared" si="2"/>
        <v>28580.999999999996</v>
      </c>
    </row>
    <row r="61" spans="1:11" ht="15.75" thickTop="1" x14ac:dyDescent="0.25">
      <c r="A61" s="332"/>
      <c r="B61" s="2">
        <v>27.22</v>
      </c>
      <c r="C61" s="15">
        <v>5</v>
      </c>
      <c r="D61" s="705">
        <f t="shared" si="0"/>
        <v>136.1</v>
      </c>
      <c r="E61" s="811">
        <v>44547</v>
      </c>
      <c r="F61" s="705">
        <f t="shared" si="1"/>
        <v>136.1</v>
      </c>
      <c r="G61" s="706" t="s">
        <v>534</v>
      </c>
      <c r="H61" s="186">
        <v>70</v>
      </c>
      <c r="I61" s="727">
        <f t="shared" si="3"/>
        <v>13365.01999999999</v>
      </c>
      <c r="J61" s="728">
        <f t="shared" si="5"/>
        <v>491</v>
      </c>
      <c r="K61" s="729">
        <f t="shared" si="2"/>
        <v>9527</v>
      </c>
    </row>
    <row r="62" spans="1:11" x14ac:dyDescent="0.25">
      <c r="A62" s="332"/>
      <c r="B62" s="2">
        <v>27.22</v>
      </c>
      <c r="C62" s="15">
        <v>1</v>
      </c>
      <c r="D62" s="705">
        <f t="shared" si="0"/>
        <v>27.22</v>
      </c>
      <c r="E62" s="811">
        <v>44547</v>
      </c>
      <c r="F62" s="705">
        <f t="shared" si="1"/>
        <v>27.22</v>
      </c>
      <c r="G62" s="706" t="s">
        <v>535</v>
      </c>
      <c r="H62" s="186">
        <v>70</v>
      </c>
      <c r="I62" s="727">
        <f t="shared" si="3"/>
        <v>13337.79999999999</v>
      </c>
      <c r="J62" s="728">
        <f t="shared" si="5"/>
        <v>490</v>
      </c>
      <c r="K62" s="729">
        <f t="shared" si="2"/>
        <v>1905.3999999999999</v>
      </c>
    </row>
    <row r="63" spans="1:11" x14ac:dyDescent="0.25">
      <c r="A63" s="332"/>
      <c r="B63" s="2">
        <v>27.22</v>
      </c>
      <c r="C63" s="15">
        <v>1</v>
      </c>
      <c r="D63" s="705">
        <f t="shared" si="0"/>
        <v>27.22</v>
      </c>
      <c r="E63" s="811">
        <v>44548</v>
      </c>
      <c r="F63" s="705">
        <f t="shared" si="1"/>
        <v>27.22</v>
      </c>
      <c r="G63" s="706" t="s">
        <v>537</v>
      </c>
      <c r="H63" s="186">
        <v>70</v>
      </c>
      <c r="I63" s="727">
        <f t="shared" si="3"/>
        <v>13310.579999999991</v>
      </c>
      <c r="J63" s="728">
        <f t="shared" si="5"/>
        <v>489</v>
      </c>
      <c r="K63" s="729">
        <f t="shared" si="2"/>
        <v>1905.3999999999999</v>
      </c>
    </row>
    <row r="64" spans="1:11" x14ac:dyDescent="0.25">
      <c r="A64" s="332"/>
      <c r="B64" s="2">
        <v>27.22</v>
      </c>
      <c r="C64" s="15">
        <v>1</v>
      </c>
      <c r="D64" s="705">
        <f t="shared" si="0"/>
        <v>27.22</v>
      </c>
      <c r="E64" s="811">
        <v>44548</v>
      </c>
      <c r="F64" s="705">
        <f t="shared" si="1"/>
        <v>27.22</v>
      </c>
      <c r="G64" s="706" t="s">
        <v>545</v>
      </c>
      <c r="H64" s="186">
        <v>70</v>
      </c>
      <c r="I64" s="727">
        <f t="shared" si="3"/>
        <v>13283.359999999991</v>
      </c>
      <c r="J64" s="728">
        <f t="shared" si="5"/>
        <v>488</v>
      </c>
      <c r="K64" s="729">
        <f t="shared" si="2"/>
        <v>1905.3999999999999</v>
      </c>
    </row>
    <row r="65" spans="1:11" x14ac:dyDescent="0.25">
      <c r="A65" s="332"/>
      <c r="B65" s="2">
        <v>27.22</v>
      </c>
      <c r="C65" s="15">
        <v>1</v>
      </c>
      <c r="D65" s="705">
        <f t="shared" si="0"/>
        <v>27.22</v>
      </c>
      <c r="E65" s="811">
        <v>44548</v>
      </c>
      <c r="F65" s="705">
        <f t="shared" si="1"/>
        <v>27.22</v>
      </c>
      <c r="G65" s="706" t="s">
        <v>546</v>
      </c>
      <c r="H65" s="186">
        <v>70</v>
      </c>
      <c r="I65" s="727">
        <f t="shared" si="3"/>
        <v>13256.139999999992</v>
      </c>
      <c r="J65" s="728">
        <f t="shared" si="5"/>
        <v>487</v>
      </c>
      <c r="K65" s="729">
        <f t="shared" si="2"/>
        <v>1905.3999999999999</v>
      </c>
    </row>
    <row r="66" spans="1:11" x14ac:dyDescent="0.25">
      <c r="A66" s="332"/>
      <c r="B66" s="2">
        <v>27.22</v>
      </c>
      <c r="C66" s="15">
        <v>20</v>
      </c>
      <c r="D66" s="705">
        <f t="shared" si="0"/>
        <v>544.4</v>
      </c>
      <c r="E66" s="811">
        <v>44548</v>
      </c>
      <c r="F66" s="705">
        <f t="shared" si="1"/>
        <v>544.4</v>
      </c>
      <c r="G66" s="706" t="s">
        <v>548</v>
      </c>
      <c r="H66" s="186">
        <v>70</v>
      </c>
      <c r="I66" s="727">
        <f t="shared" si="3"/>
        <v>12711.739999999993</v>
      </c>
      <c r="J66" s="728">
        <f t="shared" si="5"/>
        <v>467</v>
      </c>
      <c r="K66" s="729">
        <f t="shared" si="2"/>
        <v>38108</v>
      </c>
    </row>
    <row r="67" spans="1:11" x14ac:dyDescent="0.25">
      <c r="A67" s="332"/>
      <c r="B67" s="2">
        <v>27.22</v>
      </c>
      <c r="C67" s="15">
        <v>20</v>
      </c>
      <c r="D67" s="705">
        <f t="shared" si="0"/>
        <v>544.4</v>
      </c>
      <c r="E67" s="811">
        <v>44548</v>
      </c>
      <c r="F67" s="705">
        <f t="shared" si="1"/>
        <v>544.4</v>
      </c>
      <c r="G67" s="706" t="s">
        <v>548</v>
      </c>
      <c r="H67" s="186">
        <v>70</v>
      </c>
      <c r="I67" s="727">
        <f t="shared" si="3"/>
        <v>12167.339999999993</v>
      </c>
      <c r="J67" s="728">
        <f t="shared" si="5"/>
        <v>447</v>
      </c>
      <c r="K67" s="729">
        <f t="shared" si="2"/>
        <v>38108</v>
      </c>
    </row>
    <row r="68" spans="1:11" x14ac:dyDescent="0.25">
      <c r="A68" s="332"/>
      <c r="B68" s="2">
        <v>27.22</v>
      </c>
      <c r="C68" s="15">
        <v>1</v>
      </c>
      <c r="D68" s="705">
        <f t="shared" si="0"/>
        <v>27.22</v>
      </c>
      <c r="E68" s="811">
        <v>44550</v>
      </c>
      <c r="F68" s="705">
        <f t="shared" si="1"/>
        <v>27.22</v>
      </c>
      <c r="G68" s="706" t="s">
        <v>557</v>
      </c>
      <c r="H68" s="186">
        <v>70</v>
      </c>
      <c r="I68" s="727">
        <f t="shared" si="3"/>
        <v>12140.119999999994</v>
      </c>
      <c r="J68" s="728">
        <f t="shared" si="5"/>
        <v>446</v>
      </c>
      <c r="K68" s="729">
        <f t="shared" si="2"/>
        <v>1905.3999999999999</v>
      </c>
    </row>
    <row r="69" spans="1:11" x14ac:dyDescent="0.25">
      <c r="A69" s="332"/>
      <c r="B69" s="2">
        <v>27.22</v>
      </c>
      <c r="C69" s="15">
        <v>1</v>
      </c>
      <c r="D69" s="705">
        <f t="shared" si="0"/>
        <v>27.22</v>
      </c>
      <c r="E69" s="811">
        <v>44551</v>
      </c>
      <c r="F69" s="705">
        <f t="shared" si="1"/>
        <v>27.22</v>
      </c>
      <c r="G69" s="706" t="s">
        <v>559</v>
      </c>
      <c r="H69" s="186">
        <v>70</v>
      </c>
      <c r="I69" s="727">
        <f t="shared" si="3"/>
        <v>12112.899999999994</v>
      </c>
      <c r="J69" s="728">
        <f t="shared" si="5"/>
        <v>445</v>
      </c>
      <c r="K69" s="729">
        <f t="shared" si="2"/>
        <v>1905.3999999999999</v>
      </c>
    </row>
    <row r="70" spans="1:11" x14ac:dyDescent="0.25">
      <c r="A70" s="332"/>
      <c r="B70" s="2">
        <v>27.22</v>
      </c>
      <c r="C70" s="15">
        <v>1</v>
      </c>
      <c r="D70" s="705">
        <f t="shared" si="0"/>
        <v>27.22</v>
      </c>
      <c r="E70" s="811">
        <v>44551</v>
      </c>
      <c r="F70" s="983">
        <f t="shared" si="1"/>
        <v>27.22</v>
      </c>
      <c r="G70" s="687" t="s">
        <v>562</v>
      </c>
      <c r="H70" s="985">
        <v>70</v>
      </c>
      <c r="I70" s="727">
        <f t="shared" si="3"/>
        <v>12085.679999999995</v>
      </c>
      <c r="J70" s="730">
        <f t="shared" si="5"/>
        <v>444</v>
      </c>
      <c r="K70" s="729">
        <f t="shared" si="2"/>
        <v>1905.3999999999999</v>
      </c>
    </row>
    <row r="71" spans="1:11" x14ac:dyDescent="0.25">
      <c r="A71" s="332"/>
      <c r="B71" s="2">
        <v>27.22</v>
      </c>
      <c r="C71" s="15">
        <v>20</v>
      </c>
      <c r="D71" s="705">
        <f t="shared" si="0"/>
        <v>544.4</v>
      </c>
      <c r="E71" s="811">
        <v>44552</v>
      </c>
      <c r="F71" s="983">
        <f t="shared" si="1"/>
        <v>544.4</v>
      </c>
      <c r="G71" s="687" t="s">
        <v>574</v>
      </c>
      <c r="H71" s="985">
        <v>70</v>
      </c>
      <c r="I71" s="727">
        <f t="shared" si="3"/>
        <v>11541.279999999995</v>
      </c>
      <c r="J71" s="730">
        <f t="shared" si="5"/>
        <v>424</v>
      </c>
      <c r="K71" s="729">
        <f t="shared" si="2"/>
        <v>38108</v>
      </c>
    </row>
    <row r="72" spans="1:11" x14ac:dyDescent="0.25">
      <c r="A72" s="332"/>
      <c r="B72" s="2">
        <v>27.22</v>
      </c>
      <c r="C72" s="15">
        <v>4</v>
      </c>
      <c r="D72" s="705">
        <f t="shared" si="0"/>
        <v>108.88</v>
      </c>
      <c r="E72" s="811">
        <v>44552</v>
      </c>
      <c r="F72" s="983">
        <f t="shared" si="1"/>
        <v>108.88</v>
      </c>
      <c r="G72" s="687" t="s">
        <v>575</v>
      </c>
      <c r="H72" s="985">
        <v>70</v>
      </c>
      <c r="I72" s="727">
        <f t="shared" si="3"/>
        <v>11432.399999999996</v>
      </c>
      <c r="J72" s="730">
        <f t="shared" si="5"/>
        <v>420</v>
      </c>
      <c r="K72" s="729">
        <f t="shared" si="2"/>
        <v>7621.5999999999995</v>
      </c>
    </row>
    <row r="73" spans="1:11" x14ac:dyDescent="0.25">
      <c r="A73" s="332"/>
      <c r="B73" s="2">
        <v>27.22</v>
      </c>
      <c r="C73" s="15">
        <v>2</v>
      </c>
      <c r="D73" s="705">
        <f t="shared" ref="D73:D114" si="6">C73*B73</f>
        <v>54.44</v>
      </c>
      <c r="E73" s="811">
        <v>44552</v>
      </c>
      <c r="F73" s="983">
        <f t="shared" ref="F73:F114" si="7">D73</f>
        <v>54.44</v>
      </c>
      <c r="G73" s="687" t="s">
        <v>576</v>
      </c>
      <c r="H73" s="985">
        <v>70</v>
      </c>
      <c r="I73" s="727">
        <f t="shared" si="3"/>
        <v>11377.959999999995</v>
      </c>
      <c r="J73" s="730">
        <f t="shared" si="5"/>
        <v>418</v>
      </c>
      <c r="K73" s="729">
        <f t="shared" si="2"/>
        <v>3810.7999999999997</v>
      </c>
    </row>
    <row r="74" spans="1:11" x14ac:dyDescent="0.25">
      <c r="A74" s="332"/>
      <c r="B74" s="2">
        <v>27.22</v>
      </c>
      <c r="C74" s="15">
        <v>1</v>
      </c>
      <c r="D74" s="705">
        <f t="shared" si="6"/>
        <v>27.22</v>
      </c>
      <c r="E74" s="811">
        <v>44552</v>
      </c>
      <c r="F74" s="983">
        <f t="shared" si="7"/>
        <v>27.22</v>
      </c>
      <c r="G74" s="687" t="s">
        <v>586</v>
      </c>
      <c r="H74" s="985">
        <v>70</v>
      </c>
      <c r="I74" s="727">
        <f t="shared" si="3"/>
        <v>11350.739999999996</v>
      </c>
      <c r="J74" s="730">
        <f t="shared" si="5"/>
        <v>417</v>
      </c>
      <c r="K74" s="729">
        <f t="shared" ref="K74:K114" si="8">F74*H74</f>
        <v>1905.3999999999999</v>
      </c>
    </row>
    <row r="75" spans="1:11" x14ac:dyDescent="0.25">
      <c r="A75" s="332"/>
      <c r="B75" s="2">
        <v>27.22</v>
      </c>
      <c r="C75" s="15">
        <v>24</v>
      </c>
      <c r="D75" s="705">
        <f t="shared" si="6"/>
        <v>653.28</v>
      </c>
      <c r="E75" s="811">
        <v>44552</v>
      </c>
      <c r="F75" s="983">
        <f t="shared" si="7"/>
        <v>653.28</v>
      </c>
      <c r="G75" s="687" t="s">
        <v>587</v>
      </c>
      <c r="H75" s="985">
        <v>70</v>
      </c>
      <c r="I75" s="727">
        <f t="shared" ref="I75:I113" si="9">I74-F75</f>
        <v>10697.459999999995</v>
      </c>
      <c r="J75" s="730">
        <f t="shared" si="5"/>
        <v>393</v>
      </c>
      <c r="K75" s="729">
        <f t="shared" si="8"/>
        <v>45729.599999999999</v>
      </c>
    </row>
    <row r="76" spans="1:11" x14ac:dyDescent="0.25">
      <c r="A76" s="332"/>
      <c r="B76" s="2">
        <v>27.22</v>
      </c>
      <c r="C76" s="15">
        <v>1</v>
      </c>
      <c r="D76" s="705">
        <f t="shared" si="6"/>
        <v>27.22</v>
      </c>
      <c r="E76" s="811">
        <v>44553</v>
      </c>
      <c r="F76" s="705">
        <f t="shared" si="7"/>
        <v>27.22</v>
      </c>
      <c r="G76" s="706" t="s">
        <v>588</v>
      </c>
      <c r="H76" s="186">
        <v>70</v>
      </c>
      <c r="I76" s="727">
        <f t="shared" si="9"/>
        <v>10670.239999999996</v>
      </c>
      <c r="J76" s="728">
        <f t="shared" si="5"/>
        <v>392</v>
      </c>
      <c r="K76" s="729">
        <f t="shared" si="8"/>
        <v>1905.3999999999999</v>
      </c>
    </row>
    <row r="77" spans="1:11" x14ac:dyDescent="0.25">
      <c r="A77" s="332"/>
      <c r="B77" s="2">
        <v>27.22</v>
      </c>
      <c r="C77" s="15">
        <v>2</v>
      </c>
      <c r="D77" s="705">
        <f t="shared" si="6"/>
        <v>54.44</v>
      </c>
      <c r="E77" s="811">
        <v>44553</v>
      </c>
      <c r="F77" s="705">
        <f t="shared" si="7"/>
        <v>54.44</v>
      </c>
      <c r="G77" s="706" t="s">
        <v>590</v>
      </c>
      <c r="H77" s="186">
        <v>70</v>
      </c>
      <c r="I77" s="727">
        <f t="shared" si="9"/>
        <v>10615.799999999996</v>
      </c>
      <c r="J77" s="728">
        <f t="shared" ref="J77:J113" si="10">J76-C77</f>
        <v>390</v>
      </c>
      <c r="K77" s="729">
        <f t="shared" si="8"/>
        <v>3810.7999999999997</v>
      </c>
    </row>
    <row r="78" spans="1:11" x14ac:dyDescent="0.25">
      <c r="A78" s="332"/>
      <c r="B78" s="2">
        <v>27.22</v>
      </c>
      <c r="C78" s="15">
        <v>2</v>
      </c>
      <c r="D78" s="705">
        <f t="shared" si="6"/>
        <v>54.44</v>
      </c>
      <c r="E78" s="811">
        <v>44553</v>
      </c>
      <c r="F78" s="705">
        <f t="shared" si="7"/>
        <v>54.44</v>
      </c>
      <c r="G78" s="706" t="s">
        <v>602</v>
      </c>
      <c r="H78" s="186">
        <v>70</v>
      </c>
      <c r="I78" s="727">
        <f t="shared" si="9"/>
        <v>10561.359999999995</v>
      </c>
      <c r="J78" s="728">
        <f t="shared" si="10"/>
        <v>388</v>
      </c>
      <c r="K78" s="729">
        <f t="shared" si="8"/>
        <v>3810.7999999999997</v>
      </c>
    </row>
    <row r="79" spans="1:11" x14ac:dyDescent="0.25">
      <c r="A79" s="332"/>
      <c r="B79" s="2">
        <v>27.22</v>
      </c>
      <c r="C79" s="15">
        <v>24</v>
      </c>
      <c r="D79" s="705">
        <f t="shared" si="6"/>
        <v>653.28</v>
      </c>
      <c r="E79" s="811">
        <v>44554</v>
      </c>
      <c r="F79" s="705">
        <f t="shared" si="7"/>
        <v>653.28</v>
      </c>
      <c r="G79" s="706" t="s">
        <v>606</v>
      </c>
      <c r="H79" s="186">
        <v>70</v>
      </c>
      <c r="I79" s="727">
        <f t="shared" si="9"/>
        <v>9908.0799999999945</v>
      </c>
      <c r="J79" s="728">
        <f t="shared" si="10"/>
        <v>364</v>
      </c>
      <c r="K79" s="729">
        <f t="shared" si="8"/>
        <v>45729.599999999999</v>
      </c>
    </row>
    <row r="80" spans="1:11" x14ac:dyDescent="0.25">
      <c r="A80" s="332"/>
      <c r="B80" s="2">
        <v>27.22</v>
      </c>
      <c r="C80" s="15">
        <v>1</v>
      </c>
      <c r="D80" s="705">
        <f t="shared" si="6"/>
        <v>27.22</v>
      </c>
      <c r="E80" s="811">
        <v>44554</v>
      </c>
      <c r="F80" s="705">
        <f t="shared" si="7"/>
        <v>27.22</v>
      </c>
      <c r="G80" s="706" t="s">
        <v>607</v>
      </c>
      <c r="H80" s="186">
        <v>70</v>
      </c>
      <c r="I80" s="727">
        <f t="shared" si="9"/>
        <v>9880.8599999999951</v>
      </c>
      <c r="J80" s="728">
        <f t="shared" si="10"/>
        <v>363</v>
      </c>
      <c r="K80" s="729">
        <f t="shared" si="8"/>
        <v>1905.3999999999999</v>
      </c>
    </row>
    <row r="81" spans="1:11" x14ac:dyDescent="0.25">
      <c r="A81" s="332"/>
      <c r="B81" s="2">
        <v>27.22</v>
      </c>
      <c r="C81" s="15">
        <v>5</v>
      </c>
      <c r="D81" s="705">
        <f t="shared" si="6"/>
        <v>136.1</v>
      </c>
      <c r="E81" s="811">
        <v>44557</v>
      </c>
      <c r="F81" s="705">
        <f t="shared" si="7"/>
        <v>136.1</v>
      </c>
      <c r="G81" s="706" t="s">
        <v>623</v>
      </c>
      <c r="H81" s="186">
        <v>70</v>
      </c>
      <c r="I81" s="727">
        <f t="shared" si="9"/>
        <v>9744.7599999999948</v>
      </c>
      <c r="J81" s="728">
        <f t="shared" si="10"/>
        <v>358</v>
      </c>
      <c r="K81" s="729">
        <f t="shared" si="8"/>
        <v>9527</v>
      </c>
    </row>
    <row r="82" spans="1:11" x14ac:dyDescent="0.25">
      <c r="A82" s="332"/>
      <c r="B82" s="2">
        <v>27.22</v>
      </c>
      <c r="C82" s="15">
        <v>50</v>
      </c>
      <c r="D82" s="705">
        <f t="shared" si="6"/>
        <v>1361</v>
      </c>
      <c r="E82" s="811">
        <v>44557</v>
      </c>
      <c r="F82" s="705">
        <f t="shared" si="7"/>
        <v>1361</v>
      </c>
      <c r="G82" s="706" t="s">
        <v>625</v>
      </c>
      <c r="H82" s="186">
        <v>70</v>
      </c>
      <c r="I82" s="727">
        <f t="shared" si="9"/>
        <v>8383.7599999999948</v>
      </c>
      <c r="J82" s="728">
        <f t="shared" si="10"/>
        <v>308</v>
      </c>
      <c r="K82" s="729">
        <f t="shared" si="8"/>
        <v>95270</v>
      </c>
    </row>
    <row r="83" spans="1:11" x14ac:dyDescent="0.25">
      <c r="A83" s="332"/>
      <c r="B83" s="2">
        <v>27.22</v>
      </c>
      <c r="C83" s="15">
        <v>15</v>
      </c>
      <c r="D83" s="705">
        <f t="shared" si="6"/>
        <v>408.29999999999995</v>
      </c>
      <c r="E83" s="811">
        <v>44557</v>
      </c>
      <c r="F83" s="705">
        <f t="shared" si="7"/>
        <v>408.29999999999995</v>
      </c>
      <c r="G83" s="706" t="s">
        <v>626</v>
      </c>
      <c r="H83" s="186">
        <v>70</v>
      </c>
      <c r="I83" s="727">
        <f t="shared" si="9"/>
        <v>7975.4599999999946</v>
      </c>
      <c r="J83" s="728">
        <f t="shared" si="10"/>
        <v>293</v>
      </c>
      <c r="K83" s="729">
        <f t="shared" si="8"/>
        <v>28580.999999999996</v>
      </c>
    </row>
    <row r="84" spans="1:11" x14ac:dyDescent="0.25">
      <c r="A84" s="332"/>
      <c r="B84" s="2">
        <v>27.22</v>
      </c>
      <c r="C84" s="15">
        <v>24</v>
      </c>
      <c r="D84" s="705">
        <f t="shared" si="6"/>
        <v>653.28</v>
      </c>
      <c r="E84" s="811">
        <v>44557</v>
      </c>
      <c r="F84" s="705">
        <f t="shared" si="7"/>
        <v>653.28</v>
      </c>
      <c r="G84" s="706" t="s">
        <v>627</v>
      </c>
      <c r="H84" s="186">
        <v>70</v>
      </c>
      <c r="I84" s="727">
        <f t="shared" si="9"/>
        <v>7322.1799999999948</v>
      </c>
      <c r="J84" s="728">
        <f t="shared" si="10"/>
        <v>269</v>
      </c>
      <c r="K84" s="729">
        <f t="shared" si="8"/>
        <v>45729.599999999999</v>
      </c>
    </row>
    <row r="85" spans="1:11" x14ac:dyDescent="0.25">
      <c r="A85" s="332"/>
      <c r="B85" s="2">
        <v>27.22</v>
      </c>
      <c r="C85" s="15">
        <v>2</v>
      </c>
      <c r="D85" s="705">
        <f t="shared" si="6"/>
        <v>54.44</v>
      </c>
      <c r="E85" s="811">
        <v>44558</v>
      </c>
      <c r="F85" s="705">
        <f t="shared" si="7"/>
        <v>54.44</v>
      </c>
      <c r="G85" s="706" t="s">
        <v>629</v>
      </c>
      <c r="H85" s="186">
        <v>70</v>
      </c>
      <c r="I85" s="727">
        <f t="shared" si="9"/>
        <v>7267.7399999999952</v>
      </c>
      <c r="J85" s="728">
        <f t="shared" si="10"/>
        <v>267</v>
      </c>
      <c r="K85" s="729">
        <f t="shared" si="8"/>
        <v>3810.7999999999997</v>
      </c>
    </row>
    <row r="86" spans="1:11" x14ac:dyDescent="0.25">
      <c r="A86" s="332"/>
      <c r="B86" s="2">
        <v>27.22</v>
      </c>
      <c r="C86" s="15">
        <v>1</v>
      </c>
      <c r="D86" s="705">
        <f t="shared" si="6"/>
        <v>27.22</v>
      </c>
      <c r="E86" s="811">
        <v>44558</v>
      </c>
      <c r="F86" s="705">
        <f t="shared" si="7"/>
        <v>27.22</v>
      </c>
      <c r="G86" s="706" t="s">
        <v>632</v>
      </c>
      <c r="H86" s="186">
        <v>70</v>
      </c>
      <c r="I86" s="727">
        <f t="shared" si="9"/>
        <v>7240.519999999995</v>
      </c>
      <c r="J86" s="728">
        <f t="shared" si="10"/>
        <v>266</v>
      </c>
      <c r="K86" s="729">
        <f t="shared" si="8"/>
        <v>1905.3999999999999</v>
      </c>
    </row>
    <row r="87" spans="1:11" x14ac:dyDescent="0.25">
      <c r="A87" s="332"/>
      <c r="B87" s="2">
        <v>27.22</v>
      </c>
      <c r="C87" s="15">
        <v>2</v>
      </c>
      <c r="D87" s="705">
        <f t="shared" si="6"/>
        <v>54.44</v>
      </c>
      <c r="E87" s="811">
        <v>44558</v>
      </c>
      <c r="F87" s="705">
        <f t="shared" si="7"/>
        <v>54.44</v>
      </c>
      <c r="G87" s="706" t="s">
        <v>633</v>
      </c>
      <c r="H87" s="186">
        <v>70</v>
      </c>
      <c r="I87" s="727">
        <f t="shared" si="9"/>
        <v>7186.0799999999954</v>
      </c>
      <c r="J87" s="728">
        <f t="shared" si="10"/>
        <v>264</v>
      </c>
      <c r="K87" s="729">
        <f t="shared" si="8"/>
        <v>3810.7999999999997</v>
      </c>
    </row>
    <row r="88" spans="1:11" x14ac:dyDescent="0.25">
      <c r="A88" s="332"/>
      <c r="B88" s="2">
        <v>27.22</v>
      </c>
      <c r="C88" s="15">
        <v>2</v>
      </c>
      <c r="D88" s="705">
        <f t="shared" si="6"/>
        <v>54.44</v>
      </c>
      <c r="E88" s="811">
        <v>44558</v>
      </c>
      <c r="F88" s="705">
        <f t="shared" si="7"/>
        <v>54.44</v>
      </c>
      <c r="G88" s="706" t="s">
        <v>634</v>
      </c>
      <c r="H88" s="186">
        <v>70</v>
      </c>
      <c r="I88" s="727">
        <f t="shared" si="9"/>
        <v>7131.6399999999958</v>
      </c>
      <c r="J88" s="728">
        <f t="shared" si="10"/>
        <v>262</v>
      </c>
      <c r="K88" s="729">
        <f t="shared" si="8"/>
        <v>3810.7999999999997</v>
      </c>
    </row>
    <row r="89" spans="1:11" x14ac:dyDescent="0.25">
      <c r="A89" s="332"/>
      <c r="B89" s="2">
        <v>27.22</v>
      </c>
      <c r="C89" s="15">
        <v>2</v>
      </c>
      <c r="D89" s="705">
        <f t="shared" si="6"/>
        <v>54.44</v>
      </c>
      <c r="E89" s="811">
        <v>44558</v>
      </c>
      <c r="F89" s="705">
        <f t="shared" si="7"/>
        <v>54.44</v>
      </c>
      <c r="G89" s="706" t="s">
        <v>638</v>
      </c>
      <c r="H89" s="186">
        <v>70</v>
      </c>
      <c r="I89" s="727">
        <f t="shared" si="9"/>
        <v>7077.1999999999962</v>
      </c>
      <c r="J89" s="728">
        <f t="shared" si="10"/>
        <v>260</v>
      </c>
      <c r="K89" s="729">
        <f t="shared" si="8"/>
        <v>3810.7999999999997</v>
      </c>
    </row>
    <row r="90" spans="1:11" x14ac:dyDescent="0.25">
      <c r="A90" s="332"/>
      <c r="B90" s="2">
        <v>27.22</v>
      </c>
      <c r="C90" s="15">
        <v>24</v>
      </c>
      <c r="D90" s="705">
        <f t="shared" si="6"/>
        <v>653.28</v>
      </c>
      <c r="E90" s="811">
        <v>44558</v>
      </c>
      <c r="F90" s="705">
        <f t="shared" si="7"/>
        <v>653.28</v>
      </c>
      <c r="G90" s="706" t="s">
        <v>640</v>
      </c>
      <c r="H90" s="186">
        <v>70</v>
      </c>
      <c r="I90" s="727">
        <f t="shared" si="9"/>
        <v>6423.9199999999964</v>
      </c>
      <c r="J90" s="728">
        <f t="shared" si="10"/>
        <v>236</v>
      </c>
      <c r="K90" s="729">
        <f t="shared" si="8"/>
        <v>45729.599999999999</v>
      </c>
    </row>
    <row r="91" spans="1:11" x14ac:dyDescent="0.25">
      <c r="A91" s="332"/>
      <c r="B91" s="2">
        <v>27.22</v>
      </c>
      <c r="C91" s="15">
        <v>3</v>
      </c>
      <c r="D91" s="705">
        <f t="shared" si="6"/>
        <v>81.66</v>
      </c>
      <c r="E91" s="811">
        <v>44559</v>
      </c>
      <c r="F91" s="705">
        <f t="shared" si="7"/>
        <v>81.66</v>
      </c>
      <c r="G91" s="706" t="s">
        <v>646</v>
      </c>
      <c r="H91" s="186">
        <v>70</v>
      </c>
      <c r="I91" s="727">
        <f t="shared" si="9"/>
        <v>6342.2599999999966</v>
      </c>
      <c r="J91" s="728">
        <f t="shared" si="10"/>
        <v>233</v>
      </c>
      <c r="K91" s="729">
        <f t="shared" si="8"/>
        <v>5716.2</v>
      </c>
    </row>
    <row r="92" spans="1:11" x14ac:dyDescent="0.25">
      <c r="A92" s="332"/>
      <c r="B92" s="2">
        <v>27.22</v>
      </c>
      <c r="C92" s="15">
        <v>1</v>
      </c>
      <c r="D92" s="705">
        <f t="shared" si="6"/>
        <v>27.22</v>
      </c>
      <c r="E92" s="811">
        <v>44559</v>
      </c>
      <c r="F92" s="705">
        <f t="shared" si="7"/>
        <v>27.22</v>
      </c>
      <c r="G92" s="706" t="s">
        <v>647</v>
      </c>
      <c r="H92" s="186">
        <v>70</v>
      </c>
      <c r="I92" s="727">
        <f t="shared" si="9"/>
        <v>6315.0399999999963</v>
      </c>
      <c r="J92" s="728">
        <f t="shared" si="10"/>
        <v>232</v>
      </c>
      <c r="K92" s="729">
        <f t="shared" si="8"/>
        <v>1905.3999999999999</v>
      </c>
    </row>
    <row r="93" spans="1:11" x14ac:dyDescent="0.25">
      <c r="A93" s="332"/>
      <c r="B93" s="2">
        <v>27.22</v>
      </c>
      <c r="C93" s="15">
        <v>20</v>
      </c>
      <c r="D93" s="705">
        <f t="shared" si="6"/>
        <v>544.4</v>
      </c>
      <c r="E93" s="811">
        <v>44559</v>
      </c>
      <c r="F93" s="705">
        <f t="shared" si="7"/>
        <v>544.4</v>
      </c>
      <c r="G93" s="706" t="s">
        <v>648</v>
      </c>
      <c r="H93" s="186">
        <v>70</v>
      </c>
      <c r="I93" s="727">
        <f t="shared" si="9"/>
        <v>5770.6399999999967</v>
      </c>
      <c r="J93" s="728">
        <f t="shared" si="10"/>
        <v>212</v>
      </c>
      <c r="K93" s="729">
        <f t="shared" si="8"/>
        <v>38108</v>
      </c>
    </row>
    <row r="94" spans="1:11" x14ac:dyDescent="0.25">
      <c r="A94" s="332"/>
      <c r="B94" s="2">
        <v>27.22</v>
      </c>
      <c r="C94" s="15">
        <v>3</v>
      </c>
      <c r="D94" s="705">
        <f t="shared" si="6"/>
        <v>81.66</v>
      </c>
      <c r="E94" s="811">
        <v>44559</v>
      </c>
      <c r="F94" s="705">
        <f t="shared" si="7"/>
        <v>81.66</v>
      </c>
      <c r="G94" s="706" t="s">
        <v>653</v>
      </c>
      <c r="H94" s="186">
        <v>70</v>
      </c>
      <c r="I94" s="727">
        <f t="shared" si="9"/>
        <v>5688.9799999999968</v>
      </c>
      <c r="J94" s="728">
        <f t="shared" si="10"/>
        <v>209</v>
      </c>
      <c r="K94" s="729">
        <f t="shared" si="8"/>
        <v>5716.2</v>
      </c>
    </row>
    <row r="95" spans="1:11" x14ac:dyDescent="0.25">
      <c r="A95" s="332"/>
      <c r="B95" s="2">
        <v>27.22</v>
      </c>
      <c r="C95" s="15">
        <v>1</v>
      </c>
      <c r="D95" s="705">
        <f t="shared" si="6"/>
        <v>27.22</v>
      </c>
      <c r="E95" s="811">
        <v>44559</v>
      </c>
      <c r="F95" s="705">
        <f t="shared" si="7"/>
        <v>27.22</v>
      </c>
      <c r="G95" s="706" t="s">
        <v>644</v>
      </c>
      <c r="H95" s="186">
        <v>70</v>
      </c>
      <c r="I95" s="727">
        <f t="shared" si="9"/>
        <v>5661.7599999999966</v>
      </c>
      <c r="J95" s="728">
        <f t="shared" si="10"/>
        <v>208</v>
      </c>
      <c r="K95" s="729">
        <f t="shared" si="8"/>
        <v>1905.3999999999999</v>
      </c>
    </row>
    <row r="96" spans="1:11" x14ac:dyDescent="0.25">
      <c r="A96" s="332"/>
      <c r="B96" s="2">
        <v>27.22</v>
      </c>
      <c r="C96" s="15">
        <v>2</v>
      </c>
      <c r="D96" s="705">
        <f t="shared" si="6"/>
        <v>54.44</v>
      </c>
      <c r="E96" s="811">
        <v>44559</v>
      </c>
      <c r="F96" s="705">
        <f t="shared" si="7"/>
        <v>54.44</v>
      </c>
      <c r="G96" s="706" t="s">
        <v>654</v>
      </c>
      <c r="H96" s="186">
        <v>70</v>
      </c>
      <c r="I96" s="727">
        <f t="shared" si="9"/>
        <v>5607.319999999997</v>
      </c>
      <c r="J96" s="728">
        <f t="shared" si="10"/>
        <v>206</v>
      </c>
      <c r="K96" s="729">
        <f t="shared" si="8"/>
        <v>3810.7999999999997</v>
      </c>
    </row>
    <row r="97" spans="1:11" x14ac:dyDescent="0.25">
      <c r="A97" s="332"/>
      <c r="B97" s="2">
        <v>27.22</v>
      </c>
      <c r="C97" s="15">
        <v>24</v>
      </c>
      <c r="D97" s="705">
        <f t="shared" si="6"/>
        <v>653.28</v>
      </c>
      <c r="E97" s="811">
        <v>44559</v>
      </c>
      <c r="F97" s="705">
        <f t="shared" si="7"/>
        <v>653.28</v>
      </c>
      <c r="G97" s="706" t="s">
        <v>656</v>
      </c>
      <c r="H97" s="186">
        <v>70</v>
      </c>
      <c r="I97" s="727">
        <f t="shared" si="9"/>
        <v>4954.0399999999972</v>
      </c>
      <c r="J97" s="728">
        <f t="shared" si="10"/>
        <v>182</v>
      </c>
      <c r="K97" s="729">
        <f t="shared" si="8"/>
        <v>45729.599999999999</v>
      </c>
    </row>
    <row r="98" spans="1:11" x14ac:dyDescent="0.25">
      <c r="A98" s="332"/>
      <c r="B98" s="2">
        <v>27.22</v>
      </c>
      <c r="C98" s="15">
        <v>28</v>
      </c>
      <c r="D98" s="705">
        <f t="shared" si="6"/>
        <v>762.16</v>
      </c>
      <c r="E98" s="811">
        <v>44560</v>
      </c>
      <c r="F98" s="705">
        <f t="shared" si="7"/>
        <v>762.16</v>
      </c>
      <c r="G98" s="706" t="s">
        <v>645</v>
      </c>
      <c r="H98" s="186">
        <v>70</v>
      </c>
      <c r="I98" s="727">
        <f t="shared" si="9"/>
        <v>4191.8799999999974</v>
      </c>
      <c r="J98" s="728">
        <f t="shared" si="10"/>
        <v>154</v>
      </c>
      <c r="K98" s="729">
        <f t="shared" si="8"/>
        <v>53351.199999999997</v>
      </c>
    </row>
    <row r="99" spans="1:11" x14ac:dyDescent="0.25">
      <c r="A99" s="332"/>
      <c r="B99" s="2">
        <v>27.22</v>
      </c>
      <c r="C99" s="15">
        <v>24</v>
      </c>
      <c r="D99" s="705">
        <f t="shared" si="6"/>
        <v>653.28</v>
      </c>
      <c r="E99" s="811">
        <v>44560</v>
      </c>
      <c r="F99" s="705">
        <f t="shared" si="7"/>
        <v>653.28</v>
      </c>
      <c r="G99" s="706" t="s">
        <v>645</v>
      </c>
      <c r="H99" s="186">
        <v>70</v>
      </c>
      <c r="I99" s="727">
        <f t="shared" si="9"/>
        <v>3538.5999999999976</v>
      </c>
      <c r="J99" s="728">
        <f t="shared" si="10"/>
        <v>130</v>
      </c>
      <c r="K99" s="729">
        <f t="shared" si="8"/>
        <v>45729.599999999999</v>
      </c>
    </row>
    <row r="100" spans="1:11" x14ac:dyDescent="0.25">
      <c r="A100" s="332"/>
      <c r="B100" s="2">
        <v>27.22</v>
      </c>
      <c r="C100" s="15">
        <v>4</v>
      </c>
      <c r="D100" s="705">
        <f t="shared" si="6"/>
        <v>108.88</v>
      </c>
      <c r="E100" s="811">
        <v>44560</v>
      </c>
      <c r="F100" s="705">
        <f t="shared" si="7"/>
        <v>108.88</v>
      </c>
      <c r="G100" s="706" t="s">
        <v>662</v>
      </c>
      <c r="H100" s="186">
        <v>70</v>
      </c>
      <c r="I100" s="727">
        <f t="shared" si="9"/>
        <v>3429.7199999999975</v>
      </c>
      <c r="J100" s="728">
        <f t="shared" si="10"/>
        <v>126</v>
      </c>
      <c r="K100" s="729">
        <f t="shared" si="8"/>
        <v>7621.5999999999995</v>
      </c>
    </row>
    <row r="101" spans="1:11" x14ac:dyDescent="0.25">
      <c r="A101" s="332"/>
      <c r="B101" s="2">
        <v>27.22</v>
      </c>
      <c r="C101" s="15">
        <v>1</v>
      </c>
      <c r="D101" s="705">
        <f t="shared" si="6"/>
        <v>27.22</v>
      </c>
      <c r="E101" s="811">
        <v>44561</v>
      </c>
      <c r="F101" s="705">
        <f t="shared" si="7"/>
        <v>27.22</v>
      </c>
      <c r="G101" s="706" t="s">
        <v>673</v>
      </c>
      <c r="H101" s="186">
        <v>70</v>
      </c>
      <c r="I101" s="727">
        <f t="shared" si="9"/>
        <v>3402.4999999999977</v>
      </c>
      <c r="J101" s="728">
        <f t="shared" si="10"/>
        <v>125</v>
      </c>
      <c r="K101" s="729">
        <f t="shared" si="8"/>
        <v>1905.3999999999999</v>
      </c>
    </row>
    <row r="102" spans="1:11" x14ac:dyDescent="0.25">
      <c r="A102" s="332"/>
      <c r="B102" s="2">
        <v>27.22</v>
      </c>
      <c r="C102" s="15">
        <v>1</v>
      </c>
      <c r="D102" s="705">
        <f t="shared" si="6"/>
        <v>27.22</v>
      </c>
      <c r="E102" s="811">
        <v>44561</v>
      </c>
      <c r="F102" s="705">
        <f t="shared" si="7"/>
        <v>27.22</v>
      </c>
      <c r="G102" s="706" t="s">
        <v>674</v>
      </c>
      <c r="H102" s="186">
        <v>70</v>
      </c>
      <c r="I102" s="727">
        <f t="shared" si="9"/>
        <v>3375.2799999999979</v>
      </c>
      <c r="J102" s="728">
        <f t="shared" si="10"/>
        <v>124</v>
      </c>
      <c r="K102" s="729">
        <f t="shared" si="8"/>
        <v>1905.3999999999999</v>
      </c>
    </row>
    <row r="103" spans="1:11" x14ac:dyDescent="0.25">
      <c r="A103" s="332"/>
      <c r="B103" s="2">
        <v>27.22</v>
      </c>
      <c r="C103" s="15">
        <v>2</v>
      </c>
      <c r="D103" s="705">
        <f t="shared" si="6"/>
        <v>54.44</v>
      </c>
      <c r="E103" s="811">
        <v>44563</v>
      </c>
      <c r="F103" s="705">
        <f t="shared" si="7"/>
        <v>54.44</v>
      </c>
      <c r="G103" s="706" t="s">
        <v>680</v>
      </c>
      <c r="H103" s="186">
        <v>70</v>
      </c>
      <c r="I103" s="727">
        <f t="shared" si="9"/>
        <v>3320.8399999999979</v>
      </c>
      <c r="J103" s="728">
        <f t="shared" si="10"/>
        <v>122</v>
      </c>
      <c r="K103" s="729">
        <f t="shared" si="8"/>
        <v>3810.7999999999997</v>
      </c>
    </row>
    <row r="104" spans="1:11" x14ac:dyDescent="0.25">
      <c r="A104" s="332"/>
      <c r="B104" s="2">
        <v>27.22</v>
      </c>
      <c r="C104" s="15">
        <v>24</v>
      </c>
      <c r="D104" s="705">
        <f t="shared" si="6"/>
        <v>653.28</v>
      </c>
      <c r="E104" s="811">
        <v>44563</v>
      </c>
      <c r="F104" s="705">
        <f t="shared" si="7"/>
        <v>653.28</v>
      </c>
      <c r="G104" s="706" t="s">
        <v>683</v>
      </c>
      <c r="H104" s="186">
        <v>70</v>
      </c>
      <c r="I104" s="727">
        <f t="shared" si="9"/>
        <v>2667.5599999999977</v>
      </c>
      <c r="J104" s="728">
        <f t="shared" si="10"/>
        <v>98</v>
      </c>
      <c r="K104" s="729">
        <f t="shared" si="8"/>
        <v>45729.599999999999</v>
      </c>
    </row>
    <row r="105" spans="1:11" x14ac:dyDescent="0.25">
      <c r="A105" s="332"/>
      <c r="B105" s="2">
        <v>27.22</v>
      </c>
      <c r="C105" s="15"/>
      <c r="D105" s="705">
        <f t="shared" si="6"/>
        <v>0</v>
      </c>
      <c r="E105" s="811"/>
      <c r="F105" s="705">
        <f t="shared" si="7"/>
        <v>0</v>
      </c>
      <c r="G105" s="706"/>
      <c r="H105" s="186"/>
      <c r="I105" s="727">
        <f t="shared" si="9"/>
        <v>2667.5599999999977</v>
      </c>
      <c r="J105" s="728">
        <f t="shared" si="10"/>
        <v>98</v>
      </c>
      <c r="K105" s="729">
        <f t="shared" si="8"/>
        <v>0</v>
      </c>
    </row>
    <row r="106" spans="1:11" x14ac:dyDescent="0.25">
      <c r="A106" s="332"/>
      <c r="B106" s="2">
        <v>27.22</v>
      </c>
      <c r="C106" s="15"/>
      <c r="D106" s="705">
        <f t="shared" si="6"/>
        <v>0</v>
      </c>
      <c r="E106" s="811"/>
      <c r="F106" s="705">
        <f t="shared" si="7"/>
        <v>0</v>
      </c>
      <c r="G106" s="706"/>
      <c r="H106" s="186"/>
      <c r="I106" s="727">
        <f t="shared" si="9"/>
        <v>2667.5599999999977</v>
      </c>
      <c r="J106" s="728">
        <f t="shared" si="10"/>
        <v>98</v>
      </c>
      <c r="K106" s="729">
        <f t="shared" si="8"/>
        <v>0</v>
      </c>
    </row>
    <row r="107" spans="1:11" x14ac:dyDescent="0.25">
      <c r="A107" s="332"/>
      <c r="B107" s="2">
        <v>27.22</v>
      </c>
      <c r="C107" s="15"/>
      <c r="D107" s="705">
        <f t="shared" si="6"/>
        <v>0</v>
      </c>
      <c r="E107" s="811"/>
      <c r="F107" s="705">
        <f t="shared" si="7"/>
        <v>0</v>
      </c>
      <c r="G107" s="706"/>
      <c r="H107" s="186"/>
      <c r="I107" s="727">
        <f t="shared" si="9"/>
        <v>2667.5599999999977</v>
      </c>
      <c r="J107" s="728">
        <f t="shared" si="10"/>
        <v>98</v>
      </c>
      <c r="K107" s="729">
        <f t="shared" si="8"/>
        <v>0</v>
      </c>
    </row>
    <row r="108" spans="1:11" x14ac:dyDescent="0.25">
      <c r="A108" s="332"/>
      <c r="B108" s="2">
        <v>27.22</v>
      </c>
      <c r="C108" s="15"/>
      <c r="D108" s="705">
        <f t="shared" si="6"/>
        <v>0</v>
      </c>
      <c r="E108" s="811"/>
      <c r="F108" s="705">
        <f t="shared" si="7"/>
        <v>0</v>
      </c>
      <c r="G108" s="706"/>
      <c r="H108" s="186"/>
      <c r="I108" s="727">
        <f t="shared" si="9"/>
        <v>2667.5599999999977</v>
      </c>
      <c r="J108" s="728">
        <f t="shared" si="10"/>
        <v>98</v>
      </c>
      <c r="K108" s="729">
        <f t="shared" si="8"/>
        <v>0</v>
      </c>
    </row>
    <row r="109" spans="1:11" x14ac:dyDescent="0.25">
      <c r="A109" s="332"/>
      <c r="B109" s="2">
        <v>27.22</v>
      </c>
      <c r="C109" s="15"/>
      <c r="D109" s="705">
        <f t="shared" si="6"/>
        <v>0</v>
      </c>
      <c r="E109" s="811"/>
      <c r="F109" s="705">
        <f t="shared" si="7"/>
        <v>0</v>
      </c>
      <c r="G109" s="706"/>
      <c r="H109" s="186"/>
      <c r="I109" s="727">
        <f t="shared" si="9"/>
        <v>2667.5599999999977</v>
      </c>
      <c r="J109" s="728">
        <f t="shared" si="10"/>
        <v>98</v>
      </c>
      <c r="K109" s="729">
        <f t="shared" si="8"/>
        <v>0</v>
      </c>
    </row>
    <row r="110" spans="1:11" x14ac:dyDescent="0.25">
      <c r="A110" s="332"/>
      <c r="B110" s="2">
        <v>27.22</v>
      </c>
      <c r="C110" s="15"/>
      <c r="D110" s="705">
        <f t="shared" si="6"/>
        <v>0</v>
      </c>
      <c r="E110" s="811"/>
      <c r="F110" s="705">
        <f t="shared" si="7"/>
        <v>0</v>
      </c>
      <c r="G110" s="706"/>
      <c r="H110" s="186"/>
      <c r="I110" s="727">
        <f t="shared" si="9"/>
        <v>2667.5599999999977</v>
      </c>
      <c r="J110" s="728">
        <f t="shared" si="10"/>
        <v>98</v>
      </c>
      <c r="K110" s="729">
        <f t="shared" si="8"/>
        <v>0</v>
      </c>
    </row>
    <row r="111" spans="1:11" x14ac:dyDescent="0.25">
      <c r="A111" s="332"/>
      <c r="B111" s="2">
        <v>27.22</v>
      </c>
      <c r="C111" s="15"/>
      <c r="D111" s="705">
        <f t="shared" si="6"/>
        <v>0</v>
      </c>
      <c r="E111" s="811"/>
      <c r="F111" s="705">
        <f t="shared" si="7"/>
        <v>0</v>
      </c>
      <c r="G111" s="706"/>
      <c r="H111" s="186"/>
      <c r="I111" s="727">
        <f t="shared" si="9"/>
        <v>2667.5599999999977</v>
      </c>
      <c r="J111" s="728">
        <f t="shared" si="10"/>
        <v>98</v>
      </c>
      <c r="K111" s="729">
        <f t="shared" si="8"/>
        <v>0</v>
      </c>
    </row>
    <row r="112" spans="1:11" x14ac:dyDescent="0.25">
      <c r="A112" s="332"/>
      <c r="B112" s="2">
        <v>27.22</v>
      </c>
      <c r="C112" s="15"/>
      <c r="D112" s="705">
        <f t="shared" si="6"/>
        <v>0</v>
      </c>
      <c r="E112" s="811"/>
      <c r="F112" s="705">
        <f t="shared" si="7"/>
        <v>0</v>
      </c>
      <c r="G112" s="706"/>
      <c r="H112" s="186"/>
      <c r="I112" s="727">
        <f t="shared" si="9"/>
        <v>2667.5599999999977</v>
      </c>
      <c r="J112" s="728">
        <f t="shared" si="10"/>
        <v>98</v>
      </c>
      <c r="K112" s="729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705">
        <f t="shared" si="6"/>
        <v>0</v>
      </c>
      <c r="E113" s="811"/>
      <c r="F113" s="705">
        <f t="shared" si="7"/>
        <v>0</v>
      </c>
      <c r="G113" s="706"/>
      <c r="H113" s="186"/>
      <c r="I113" s="727">
        <f t="shared" si="9"/>
        <v>2667.5599999999977</v>
      </c>
      <c r="J113" s="728">
        <f t="shared" si="10"/>
        <v>98</v>
      </c>
      <c r="K113" s="731">
        <f t="shared" si="8"/>
        <v>0</v>
      </c>
    </row>
    <row r="114" spans="1:11" ht="16.5" thickTop="1" thickBot="1" x14ac:dyDescent="0.3">
      <c r="B114" s="2">
        <v>27.22</v>
      </c>
      <c r="C114" s="36"/>
      <c r="D114" s="70">
        <f t="shared" si="6"/>
        <v>0</v>
      </c>
      <c r="E114" s="168"/>
      <c r="F114" s="161">
        <f t="shared" si="7"/>
        <v>0</v>
      </c>
      <c r="G114" s="145"/>
      <c r="H114" s="72"/>
      <c r="K114" s="72">
        <f t="shared" si="8"/>
        <v>0</v>
      </c>
    </row>
    <row r="115" spans="1:11" x14ac:dyDescent="0.25">
      <c r="C115" s="53">
        <f>SUM(C9:C114)</f>
        <v>1273</v>
      </c>
      <c r="D115" s="6">
        <f>SUM(D9:D114)</f>
        <v>34651.060000000005</v>
      </c>
      <c r="F115" s="6">
        <f>SUM(F9:F114)</f>
        <v>34651.060000000005</v>
      </c>
    </row>
    <row r="117" spans="1:11" ht="15.75" thickBot="1" x14ac:dyDescent="0.3"/>
    <row r="118" spans="1:11" ht="15.75" thickBot="1" x14ac:dyDescent="0.3">
      <c r="D118" s="45" t="s">
        <v>4</v>
      </c>
      <c r="E118" s="57">
        <f>F5-C115+F4+F6</f>
        <v>102</v>
      </c>
    </row>
    <row r="119" spans="1:11" ht="15.75" thickBot="1" x14ac:dyDescent="0.3"/>
    <row r="120" spans="1:11" ht="15.75" thickBot="1" x14ac:dyDescent="0.3">
      <c r="C120" s="1170" t="s">
        <v>11</v>
      </c>
      <c r="D120" s="1171"/>
      <c r="E120" s="58">
        <f>E4+E5+E6-F115</f>
        <v>2776.4399999999951</v>
      </c>
      <c r="G120" s="47"/>
      <c r="H120" s="92"/>
    </row>
  </sheetData>
  <mergeCells count="3"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18" activePane="bottomLeft" state="frozen"/>
      <selection activeCell="B1" sqref="B1"/>
      <selection pane="bottomLeft" activeCell="C31" sqref="C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2" t="s">
        <v>255</v>
      </c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1"/>
      <c r="C4" s="338"/>
      <c r="D4" s="261"/>
      <c r="E4" s="323"/>
      <c r="F4" s="256"/>
      <c r="G4" s="74"/>
    </row>
    <row r="5" spans="1:9" ht="15.75" customHeight="1" x14ac:dyDescent="0.25">
      <c r="A5" s="1167" t="s">
        <v>68</v>
      </c>
      <c r="B5" s="506" t="s">
        <v>118</v>
      </c>
      <c r="C5" s="262">
        <v>135</v>
      </c>
      <c r="D5" s="261">
        <v>44522</v>
      </c>
      <c r="E5" s="323">
        <v>520.86</v>
      </c>
      <c r="F5" s="256">
        <v>29</v>
      </c>
      <c r="G5" s="275">
        <f>F55</f>
        <v>1189.26</v>
      </c>
      <c r="H5" s="7">
        <f>E5-G5+E4+E6+E7</f>
        <v>0</v>
      </c>
    </row>
    <row r="6" spans="1:9" ht="15" customHeight="1" x14ac:dyDescent="0.25">
      <c r="A6" s="1167"/>
      <c r="B6" s="507" t="s">
        <v>119</v>
      </c>
      <c r="C6" s="262">
        <v>135</v>
      </c>
      <c r="D6" s="287">
        <v>44526</v>
      </c>
      <c r="E6" s="272">
        <v>668.4</v>
      </c>
      <c r="F6" s="266">
        <v>35</v>
      </c>
      <c r="G6" s="253"/>
    </row>
    <row r="7" spans="1:9" ht="15.75" thickBot="1" x14ac:dyDescent="0.3">
      <c r="A7" s="253"/>
      <c r="B7" s="256"/>
      <c r="C7" s="262"/>
      <c r="D7" s="287"/>
      <c r="E7" s="288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56</v>
      </c>
      <c r="C9" s="53">
        <v>8</v>
      </c>
      <c r="D9" s="277">
        <v>139.72</v>
      </c>
      <c r="E9" s="861">
        <v>44522</v>
      </c>
      <c r="F9" s="277">
        <f t="shared" ref="F9:F54" si="0">D9</f>
        <v>139.72</v>
      </c>
      <c r="G9" s="278" t="s">
        <v>208</v>
      </c>
      <c r="H9" s="279">
        <v>140</v>
      </c>
      <c r="I9" s="272">
        <f>E6+E5+E4-F9+E7</f>
        <v>1049.54</v>
      </c>
    </row>
    <row r="10" spans="1:9" x14ac:dyDescent="0.25">
      <c r="A10" s="78"/>
      <c r="B10" s="205">
        <f t="shared" ref="B10:B53" si="1">B9-C10</f>
        <v>55</v>
      </c>
      <c r="C10" s="53">
        <v>1</v>
      </c>
      <c r="D10" s="277">
        <v>15.34</v>
      </c>
      <c r="E10" s="861">
        <v>44524</v>
      </c>
      <c r="F10" s="277">
        <f t="shared" si="0"/>
        <v>15.34</v>
      </c>
      <c r="G10" s="278" t="s">
        <v>211</v>
      </c>
      <c r="H10" s="279">
        <v>140</v>
      </c>
      <c r="I10" s="272">
        <f t="shared" ref="I10:I54" si="2">I9-F10</f>
        <v>1034.2</v>
      </c>
    </row>
    <row r="11" spans="1:9" x14ac:dyDescent="0.25">
      <c r="A11" s="12"/>
      <c r="B11" s="205">
        <f t="shared" si="1"/>
        <v>54</v>
      </c>
      <c r="C11" s="53">
        <v>1</v>
      </c>
      <c r="D11" s="277">
        <v>23.04</v>
      </c>
      <c r="E11" s="861">
        <v>44526</v>
      </c>
      <c r="F11" s="277">
        <f t="shared" si="0"/>
        <v>23.04</v>
      </c>
      <c r="G11" s="278" t="s">
        <v>219</v>
      </c>
      <c r="H11" s="279">
        <v>140</v>
      </c>
      <c r="I11" s="272">
        <f t="shared" si="2"/>
        <v>1011.1600000000001</v>
      </c>
    </row>
    <row r="12" spans="1:9" x14ac:dyDescent="0.25">
      <c r="A12" s="56" t="s">
        <v>33</v>
      </c>
      <c r="B12" s="205">
        <f t="shared" si="1"/>
        <v>48</v>
      </c>
      <c r="C12" s="53">
        <v>6</v>
      </c>
      <c r="D12" s="277">
        <v>113.48</v>
      </c>
      <c r="E12" s="861">
        <v>44526</v>
      </c>
      <c r="F12" s="277">
        <f t="shared" si="0"/>
        <v>113.48</v>
      </c>
      <c r="G12" s="278" t="s">
        <v>223</v>
      </c>
      <c r="H12" s="279">
        <v>140</v>
      </c>
      <c r="I12" s="272">
        <f t="shared" si="2"/>
        <v>897.68000000000006</v>
      </c>
    </row>
    <row r="13" spans="1:9" x14ac:dyDescent="0.25">
      <c r="A13" s="78"/>
      <c r="B13" s="205">
        <f t="shared" si="1"/>
        <v>46</v>
      </c>
      <c r="C13" s="53">
        <v>2</v>
      </c>
      <c r="D13" s="277">
        <v>34.380000000000003</v>
      </c>
      <c r="E13" s="861">
        <v>44527</v>
      </c>
      <c r="F13" s="277">
        <f t="shared" si="0"/>
        <v>34.380000000000003</v>
      </c>
      <c r="G13" s="278" t="s">
        <v>227</v>
      </c>
      <c r="H13" s="279">
        <v>140</v>
      </c>
      <c r="I13" s="272">
        <f t="shared" si="2"/>
        <v>863.30000000000007</v>
      </c>
    </row>
    <row r="14" spans="1:9" x14ac:dyDescent="0.25">
      <c r="A14" s="12"/>
      <c r="B14" s="205">
        <f t="shared" si="1"/>
        <v>43</v>
      </c>
      <c r="C14" s="53">
        <v>3</v>
      </c>
      <c r="D14" s="983">
        <v>59.8</v>
      </c>
      <c r="E14" s="994">
        <v>44537</v>
      </c>
      <c r="F14" s="983">
        <f t="shared" si="0"/>
        <v>59.8</v>
      </c>
      <c r="G14" s="687" t="s">
        <v>452</v>
      </c>
      <c r="H14" s="985">
        <v>140</v>
      </c>
      <c r="I14" s="272">
        <f t="shared" si="2"/>
        <v>803.50000000000011</v>
      </c>
    </row>
    <row r="15" spans="1:9" x14ac:dyDescent="0.25">
      <c r="B15" s="205">
        <f t="shared" si="1"/>
        <v>35</v>
      </c>
      <c r="C15" s="53">
        <v>8</v>
      </c>
      <c r="D15" s="983">
        <v>152.46</v>
      </c>
      <c r="E15" s="994">
        <v>44537</v>
      </c>
      <c r="F15" s="983">
        <f t="shared" si="0"/>
        <v>152.46</v>
      </c>
      <c r="G15" s="687" t="s">
        <v>453</v>
      </c>
      <c r="H15" s="985">
        <v>140</v>
      </c>
      <c r="I15" s="272">
        <f t="shared" si="2"/>
        <v>651.04000000000008</v>
      </c>
    </row>
    <row r="16" spans="1:9" x14ac:dyDescent="0.25">
      <c r="B16" s="205">
        <f t="shared" si="1"/>
        <v>29</v>
      </c>
      <c r="C16" s="53">
        <v>6</v>
      </c>
      <c r="D16" s="983">
        <v>110.92</v>
      </c>
      <c r="E16" s="994">
        <v>44544</v>
      </c>
      <c r="F16" s="983">
        <f t="shared" si="0"/>
        <v>110.92</v>
      </c>
      <c r="G16" s="687" t="s">
        <v>518</v>
      </c>
      <c r="H16" s="985">
        <v>140</v>
      </c>
      <c r="I16" s="272">
        <f t="shared" si="2"/>
        <v>540.12000000000012</v>
      </c>
    </row>
    <row r="17" spans="2:9" x14ac:dyDescent="0.25">
      <c r="B17" s="205">
        <f t="shared" si="1"/>
        <v>23</v>
      </c>
      <c r="C17" s="53">
        <v>6</v>
      </c>
      <c r="D17" s="983">
        <v>113.72</v>
      </c>
      <c r="E17" s="994">
        <v>44548</v>
      </c>
      <c r="F17" s="983">
        <f t="shared" si="0"/>
        <v>113.72</v>
      </c>
      <c r="G17" s="687" t="s">
        <v>548</v>
      </c>
      <c r="H17" s="985">
        <v>140</v>
      </c>
      <c r="I17" s="272">
        <f t="shared" si="2"/>
        <v>426.40000000000009</v>
      </c>
    </row>
    <row r="18" spans="2:9" x14ac:dyDescent="0.25">
      <c r="B18" s="205">
        <f t="shared" si="1"/>
        <v>19</v>
      </c>
      <c r="C18" s="53">
        <v>4</v>
      </c>
      <c r="D18" s="983">
        <v>75.72</v>
      </c>
      <c r="E18" s="994">
        <v>44550</v>
      </c>
      <c r="F18" s="983">
        <f t="shared" si="0"/>
        <v>75.72</v>
      </c>
      <c r="G18" s="687" t="s">
        <v>551</v>
      </c>
      <c r="H18" s="985">
        <v>140</v>
      </c>
      <c r="I18" s="272">
        <f t="shared" si="2"/>
        <v>350.68000000000006</v>
      </c>
    </row>
    <row r="19" spans="2:9" x14ac:dyDescent="0.25">
      <c r="B19" s="205">
        <f t="shared" si="1"/>
        <v>18</v>
      </c>
      <c r="C19" s="53">
        <v>1</v>
      </c>
      <c r="D19" s="983">
        <v>15.36</v>
      </c>
      <c r="E19" s="994">
        <v>44552</v>
      </c>
      <c r="F19" s="983">
        <f t="shared" si="0"/>
        <v>15.36</v>
      </c>
      <c r="G19" s="687" t="s">
        <v>586</v>
      </c>
      <c r="H19" s="985">
        <v>140</v>
      </c>
      <c r="I19" s="272">
        <f t="shared" si="2"/>
        <v>335.32000000000005</v>
      </c>
    </row>
    <row r="20" spans="2:9" x14ac:dyDescent="0.25">
      <c r="B20" s="205">
        <f t="shared" si="1"/>
        <v>16</v>
      </c>
      <c r="C20" s="53">
        <v>2</v>
      </c>
      <c r="D20" s="983">
        <v>36.340000000000003</v>
      </c>
      <c r="E20" s="994">
        <v>44553</v>
      </c>
      <c r="F20" s="983">
        <f t="shared" si="0"/>
        <v>36.340000000000003</v>
      </c>
      <c r="G20" s="687" t="s">
        <v>594</v>
      </c>
      <c r="H20" s="985">
        <v>140</v>
      </c>
      <c r="I20" s="272">
        <f t="shared" si="2"/>
        <v>298.98</v>
      </c>
    </row>
    <row r="21" spans="2:9" x14ac:dyDescent="0.25">
      <c r="B21" s="205">
        <f t="shared" si="1"/>
        <v>15</v>
      </c>
      <c r="C21" s="53">
        <v>1</v>
      </c>
      <c r="D21" s="983">
        <v>20.76</v>
      </c>
      <c r="E21" s="994">
        <v>44553</v>
      </c>
      <c r="F21" s="983">
        <f t="shared" si="0"/>
        <v>20.76</v>
      </c>
      <c r="G21" s="687" t="s">
        <v>600</v>
      </c>
      <c r="H21" s="985">
        <v>140</v>
      </c>
      <c r="I21" s="272">
        <f t="shared" si="2"/>
        <v>278.22000000000003</v>
      </c>
    </row>
    <row r="22" spans="2:9" x14ac:dyDescent="0.25">
      <c r="B22" s="205">
        <f t="shared" si="1"/>
        <v>14</v>
      </c>
      <c r="C22" s="53">
        <v>1</v>
      </c>
      <c r="D22" s="983">
        <v>20.6</v>
      </c>
      <c r="E22" s="994">
        <v>44554</v>
      </c>
      <c r="F22" s="983">
        <f t="shared" si="0"/>
        <v>20.6</v>
      </c>
      <c r="G22" s="687" t="s">
        <v>607</v>
      </c>
      <c r="H22" s="985">
        <v>140</v>
      </c>
      <c r="I22" s="272">
        <f t="shared" si="2"/>
        <v>257.62</v>
      </c>
    </row>
    <row r="23" spans="2:9" x14ac:dyDescent="0.25">
      <c r="B23" s="205">
        <f t="shared" si="1"/>
        <v>4</v>
      </c>
      <c r="C23" s="53">
        <v>10</v>
      </c>
      <c r="D23" s="983">
        <v>190.06</v>
      </c>
      <c r="E23" s="994">
        <v>44554</v>
      </c>
      <c r="F23" s="983">
        <f t="shared" si="0"/>
        <v>190.06</v>
      </c>
      <c r="G23" s="687" t="s">
        <v>609</v>
      </c>
      <c r="H23" s="985">
        <v>140</v>
      </c>
      <c r="I23" s="272">
        <f t="shared" si="2"/>
        <v>67.56</v>
      </c>
    </row>
    <row r="24" spans="2:9" x14ac:dyDescent="0.25">
      <c r="B24" s="205">
        <f t="shared" si="1"/>
        <v>3</v>
      </c>
      <c r="C24" s="53">
        <v>1</v>
      </c>
      <c r="D24" s="983">
        <v>16.18</v>
      </c>
      <c r="E24" s="994">
        <v>44558</v>
      </c>
      <c r="F24" s="983">
        <f t="shared" si="0"/>
        <v>16.18</v>
      </c>
      <c r="G24" s="687" t="s">
        <v>632</v>
      </c>
      <c r="H24" s="985">
        <v>140</v>
      </c>
      <c r="I24" s="272">
        <f t="shared" si="2"/>
        <v>51.38</v>
      </c>
    </row>
    <row r="25" spans="2:9" x14ac:dyDescent="0.25">
      <c r="B25" s="205">
        <f t="shared" si="1"/>
        <v>1</v>
      </c>
      <c r="C25" s="53">
        <v>2</v>
      </c>
      <c r="D25" s="983">
        <v>33.020000000000003</v>
      </c>
      <c r="E25" s="994">
        <v>44558</v>
      </c>
      <c r="F25" s="983">
        <f t="shared" ref="F25:F32" si="3">D25</f>
        <v>33.020000000000003</v>
      </c>
      <c r="G25" s="687" t="s">
        <v>639</v>
      </c>
      <c r="H25" s="985">
        <v>140</v>
      </c>
      <c r="I25" s="272">
        <f t="shared" si="2"/>
        <v>18.36</v>
      </c>
    </row>
    <row r="26" spans="2:9" x14ac:dyDescent="0.25">
      <c r="B26" s="205">
        <f t="shared" si="1"/>
        <v>0</v>
      </c>
      <c r="C26" s="53">
        <v>1</v>
      </c>
      <c r="D26" s="983">
        <v>18.36</v>
      </c>
      <c r="E26" s="994">
        <v>44558</v>
      </c>
      <c r="F26" s="983">
        <f t="shared" si="3"/>
        <v>18.36</v>
      </c>
      <c r="G26" s="687" t="s">
        <v>640</v>
      </c>
      <c r="H26" s="985">
        <v>140</v>
      </c>
      <c r="I26" s="272">
        <f t="shared" si="2"/>
        <v>0</v>
      </c>
    </row>
    <row r="27" spans="2:9" x14ac:dyDescent="0.25">
      <c r="B27" s="205">
        <f t="shared" si="1"/>
        <v>0</v>
      </c>
      <c r="C27" s="53"/>
      <c r="D27" s="983"/>
      <c r="E27" s="994"/>
      <c r="F27" s="1111">
        <f t="shared" si="3"/>
        <v>0</v>
      </c>
      <c r="G27" s="1087"/>
      <c r="H27" s="1088"/>
      <c r="I27" s="856">
        <f t="shared" si="2"/>
        <v>0</v>
      </c>
    </row>
    <row r="28" spans="2:9" x14ac:dyDescent="0.25">
      <c r="B28" s="205">
        <f t="shared" si="1"/>
        <v>0</v>
      </c>
      <c r="C28" s="53"/>
      <c r="D28" s="983"/>
      <c r="E28" s="994"/>
      <c r="F28" s="1111">
        <f t="shared" si="3"/>
        <v>0</v>
      </c>
      <c r="G28" s="1087"/>
      <c r="H28" s="1088"/>
      <c r="I28" s="856">
        <f t="shared" si="2"/>
        <v>0</v>
      </c>
    </row>
    <row r="29" spans="2:9" x14ac:dyDescent="0.25">
      <c r="B29" s="205">
        <f t="shared" si="1"/>
        <v>0</v>
      </c>
      <c r="C29" s="53"/>
      <c r="D29" s="983"/>
      <c r="E29" s="994"/>
      <c r="F29" s="1111">
        <f t="shared" si="3"/>
        <v>0</v>
      </c>
      <c r="G29" s="1087"/>
      <c r="H29" s="1088"/>
      <c r="I29" s="856">
        <f t="shared" si="2"/>
        <v>0</v>
      </c>
    </row>
    <row r="30" spans="2:9" x14ac:dyDescent="0.25">
      <c r="B30" s="205">
        <f t="shared" si="1"/>
        <v>0</v>
      </c>
      <c r="C30" s="53"/>
      <c r="D30" s="983"/>
      <c r="E30" s="994"/>
      <c r="F30" s="983">
        <f t="shared" si="3"/>
        <v>0</v>
      </c>
      <c r="G30" s="687"/>
      <c r="H30" s="985"/>
      <c r="I30" s="272">
        <f t="shared" si="2"/>
        <v>0</v>
      </c>
    </row>
    <row r="31" spans="2:9" x14ac:dyDescent="0.25">
      <c r="B31" s="205">
        <f t="shared" si="1"/>
        <v>0</v>
      </c>
      <c r="C31" s="15"/>
      <c r="D31" s="277"/>
      <c r="E31" s="861"/>
      <c r="F31" s="277">
        <f t="shared" si="3"/>
        <v>0</v>
      </c>
      <c r="G31" s="278"/>
      <c r="H31" s="279"/>
      <c r="I31" s="272">
        <f t="shared" si="2"/>
        <v>0</v>
      </c>
    </row>
    <row r="32" spans="2:9" x14ac:dyDescent="0.25">
      <c r="B32" s="205">
        <f t="shared" si="1"/>
        <v>0</v>
      </c>
      <c r="C32" s="15"/>
      <c r="D32" s="277"/>
      <c r="E32" s="861"/>
      <c r="F32" s="277">
        <f t="shared" si="3"/>
        <v>0</v>
      </c>
      <c r="G32" s="278"/>
      <c r="H32" s="279"/>
      <c r="I32" s="272">
        <f t="shared" si="2"/>
        <v>0</v>
      </c>
    </row>
    <row r="33" spans="2:9" x14ac:dyDescent="0.25">
      <c r="B33" s="205">
        <f t="shared" si="1"/>
        <v>0</v>
      </c>
      <c r="C33" s="15"/>
      <c r="D33" s="277"/>
      <c r="E33" s="861"/>
      <c r="F33" s="277">
        <f t="shared" si="0"/>
        <v>0</v>
      </c>
      <c r="G33" s="278"/>
      <c r="H33" s="279"/>
      <c r="I33" s="272">
        <f t="shared" si="2"/>
        <v>0</v>
      </c>
    </row>
    <row r="34" spans="2:9" x14ac:dyDescent="0.25">
      <c r="B34" s="205">
        <f t="shared" si="1"/>
        <v>0</v>
      </c>
      <c r="C34" s="15"/>
      <c r="D34" s="277"/>
      <c r="E34" s="861"/>
      <c r="F34" s="277">
        <f t="shared" si="0"/>
        <v>0</v>
      </c>
      <c r="G34" s="278"/>
      <c r="H34" s="279"/>
      <c r="I34" s="272">
        <f t="shared" si="2"/>
        <v>0</v>
      </c>
    </row>
    <row r="35" spans="2:9" x14ac:dyDescent="0.25">
      <c r="B35" s="205">
        <f t="shared" si="1"/>
        <v>0</v>
      </c>
      <c r="C35" s="15"/>
      <c r="D35" s="277"/>
      <c r="E35" s="861"/>
      <c r="F35" s="277">
        <f t="shared" si="0"/>
        <v>0</v>
      </c>
      <c r="G35" s="278"/>
      <c r="H35" s="279"/>
      <c r="I35" s="272">
        <f t="shared" si="2"/>
        <v>0</v>
      </c>
    </row>
    <row r="36" spans="2:9" x14ac:dyDescent="0.25">
      <c r="B36" s="205">
        <f t="shared" si="1"/>
        <v>0</v>
      </c>
      <c r="C36" s="15"/>
      <c r="D36" s="277"/>
      <c r="E36" s="861"/>
      <c r="F36" s="277">
        <f t="shared" si="0"/>
        <v>0</v>
      </c>
      <c r="G36" s="278"/>
      <c r="H36" s="279"/>
      <c r="I36" s="272">
        <f t="shared" si="2"/>
        <v>0</v>
      </c>
    </row>
    <row r="37" spans="2:9" x14ac:dyDescent="0.25">
      <c r="B37" s="205">
        <f t="shared" si="1"/>
        <v>0</v>
      </c>
      <c r="C37" s="15"/>
      <c r="D37" s="277"/>
      <c r="E37" s="861"/>
      <c r="F37" s="277">
        <f t="shared" si="0"/>
        <v>0</v>
      </c>
      <c r="G37" s="278"/>
      <c r="H37" s="279"/>
      <c r="I37" s="272">
        <f t="shared" si="2"/>
        <v>0</v>
      </c>
    </row>
    <row r="38" spans="2:9" x14ac:dyDescent="0.25">
      <c r="B38" s="205">
        <f t="shared" si="1"/>
        <v>0</v>
      </c>
      <c r="C38" s="15"/>
      <c r="D38" s="277"/>
      <c r="E38" s="861"/>
      <c r="F38" s="277">
        <f t="shared" si="0"/>
        <v>0</v>
      </c>
      <c r="G38" s="278"/>
      <c r="H38" s="279"/>
      <c r="I38" s="272">
        <f t="shared" si="2"/>
        <v>0</v>
      </c>
    </row>
    <row r="39" spans="2:9" x14ac:dyDescent="0.25">
      <c r="B39" s="205">
        <f t="shared" si="1"/>
        <v>0</v>
      </c>
      <c r="C39" s="15"/>
      <c r="D39" s="277"/>
      <c r="E39" s="861"/>
      <c r="F39" s="277">
        <f t="shared" si="0"/>
        <v>0</v>
      </c>
      <c r="G39" s="278"/>
      <c r="H39" s="279"/>
      <c r="I39" s="272">
        <f t="shared" si="2"/>
        <v>0</v>
      </c>
    </row>
    <row r="40" spans="2:9" x14ac:dyDescent="0.25">
      <c r="B40" s="205">
        <f t="shared" si="1"/>
        <v>0</v>
      </c>
      <c r="C40" s="15"/>
      <c r="D40" s="277"/>
      <c r="E40" s="861"/>
      <c r="F40" s="277">
        <f t="shared" si="0"/>
        <v>0</v>
      </c>
      <c r="G40" s="278"/>
      <c r="H40" s="279"/>
      <c r="I40" s="272">
        <f t="shared" si="2"/>
        <v>0</v>
      </c>
    </row>
    <row r="41" spans="2:9" x14ac:dyDescent="0.25">
      <c r="B41" s="205">
        <f t="shared" si="1"/>
        <v>0</v>
      </c>
      <c r="C41" s="15"/>
      <c r="D41" s="277"/>
      <c r="E41" s="861"/>
      <c r="F41" s="277">
        <f t="shared" si="0"/>
        <v>0</v>
      </c>
      <c r="G41" s="278"/>
      <c r="H41" s="279"/>
      <c r="I41" s="272">
        <f t="shared" si="2"/>
        <v>0</v>
      </c>
    </row>
    <row r="42" spans="2:9" x14ac:dyDescent="0.25">
      <c r="B42" s="205">
        <f t="shared" si="1"/>
        <v>0</v>
      </c>
      <c r="C42" s="15"/>
      <c r="D42" s="277"/>
      <c r="E42" s="861"/>
      <c r="F42" s="277">
        <f t="shared" si="0"/>
        <v>0</v>
      </c>
      <c r="G42" s="278"/>
      <c r="H42" s="279"/>
      <c r="I42" s="272">
        <f t="shared" si="2"/>
        <v>0</v>
      </c>
    </row>
    <row r="43" spans="2:9" x14ac:dyDescent="0.25">
      <c r="B43" s="205">
        <f t="shared" si="1"/>
        <v>0</v>
      </c>
      <c r="C43" s="15"/>
      <c r="D43" s="277"/>
      <c r="E43" s="861"/>
      <c r="F43" s="277">
        <f t="shared" si="0"/>
        <v>0</v>
      </c>
      <c r="G43" s="278"/>
      <c r="H43" s="279"/>
      <c r="I43" s="272">
        <f t="shared" si="2"/>
        <v>0</v>
      </c>
    </row>
    <row r="44" spans="2:9" x14ac:dyDescent="0.25">
      <c r="B44" s="205">
        <f t="shared" si="1"/>
        <v>0</v>
      </c>
      <c r="C44" s="15"/>
      <c r="D44" s="70"/>
      <c r="E44" s="342"/>
      <c r="F44" s="70">
        <f t="shared" si="0"/>
        <v>0</v>
      </c>
      <c r="G44" s="71"/>
      <c r="H44" s="72"/>
      <c r="I44" s="272">
        <f t="shared" si="2"/>
        <v>0</v>
      </c>
    </row>
    <row r="45" spans="2:9" x14ac:dyDescent="0.25">
      <c r="B45" s="205">
        <f t="shared" si="1"/>
        <v>0</v>
      </c>
      <c r="C45" s="15"/>
      <c r="D45" s="70"/>
      <c r="E45" s="342"/>
      <c r="F45" s="70">
        <f t="shared" si="0"/>
        <v>0</v>
      </c>
      <c r="G45" s="71"/>
      <c r="H45" s="72"/>
      <c r="I45" s="272">
        <f t="shared" si="2"/>
        <v>0</v>
      </c>
    </row>
    <row r="46" spans="2:9" x14ac:dyDescent="0.25">
      <c r="B46" s="205">
        <f t="shared" si="1"/>
        <v>0</v>
      </c>
      <c r="C46" s="15"/>
      <c r="D46" s="70"/>
      <c r="E46" s="342"/>
      <c r="F46" s="70">
        <f t="shared" si="0"/>
        <v>0</v>
      </c>
      <c r="G46" s="71"/>
      <c r="H46" s="72"/>
      <c r="I46" s="272">
        <f t="shared" si="2"/>
        <v>0</v>
      </c>
    </row>
    <row r="47" spans="2:9" x14ac:dyDescent="0.25">
      <c r="B47" s="205">
        <f t="shared" si="1"/>
        <v>0</v>
      </c>
      <c r="C47" s="15"/>
      <c r="D47" s="70"/>
      <c r="E47" s="342"/>
      <c r="F47" s="70">
        <f t="shared" si="0"/>
        <v>0</v>
      </c>
      <c r="G47" s="71"/>
      <c r="H47" s="72"/>
      <c r="I47" s="272">
        <f t="shared" si="2"/>
        <v>0</v>
      </c>
    </row>
    <row r="48" spans="2:9" x14ac:dyDescent="0.25">
      <c r="B48" s="205">
        <f t="shared" si="1"/>
        <v>0</v>
      </c>
      <c r="C48" s="15"/>
      <c r="D48" s="70"/>
      <c r="E48" s="342"/>
      <c r="F48" s="70">
        <f t="shared" si="0"/>
        <v>0</v>
      </c>
      <c r="G48" s="71"/>
      <c r="H48" s="72"/>
      <c r="I48" s="272">
        <f t="shared" si="2"/>
        <v>0</v>
      </c>
    </row>
    <row r="49" spans="2:9" x14ac:dyDescent="0.25">
      <c r="B49" s="205">
        <f t="shared" si="1"/>
        <v>0</v>
      </c>
      <c r="C49" s="15"/>
      <c r="D49" s="70"/>
      <c r="E49" s="342"/>
      <c r="F49" s="70">
        <f t="shared" si="0"/>
        <v>0</v>
      </c>
      <c r="G49" s="71"/>
      <c r="H49" s="72"/>
      <c r="I49" s="272">
        <f t="shared" si="2"/>
        <v>0</v>
      </c>
    </row>
    <row r="50" spans="2:9" x14ac:dyDescent="0.25">
      <c r="B50" s="205">
        <f t="shared" si="1"/>
        <v>0</v>
      </c>
      <c r="C50" s="15"/>
      <c r="D50" s="70"/>
      <c r="E50" s="342"/>
      <c r="F50" s="70">
        <f t="shared" si="0"/>
        <v>0</v>
      </c>
      <c r="G50" s="71"/>
      <c r="H50" s="72"/>
      <c r="I50" s="272">
        <f t="shared" si="2"/>
        <v>0</v>
      </c>
    </row>
    <row r="51" spans="2:9" x14ac:dyDescent="0.25">
      <c r="B51" s="205">
        <f t="shared" si="1"/>
        <v>0</v>
      </c>
      <c r="C51" s="15"/>
      <c r="D51" s="70"/>
      <c r="E51" s="342"/>
      <c r="F51" s="70">
        <f t="shared" si="0"/>
        <v>0</v>
      </c>
      <c r="G51" s="71"/>
      <c r="H51" s="72"/>
      <c r="I51" s="272">
        <f t="shared" si="2"/>
        <v>0</v>
      </c>
    </row>
    <row r="52" spans="2:9" x14ac:dyDescent="0.25">
      <c r="B52" s="205">
        <f t="shared" si="1"/>
        <v>0</v>
      </c>
      <c r="C52" s="15"/>
      <c r="D52" s="70"/>
      <c r="E52" s="342"/>
      <c r="F52" s="70">
        <f t="shared" si="0"/>
        <v>0</v>
      </c>
      <c r="G52" s="71"/>
      <c r="H52" s="72"/>
      <c r="I52" s="272">
        <f t="shared" si="2"/>
        <v>0</v>
      </c>
    </row>
    <row r="53" spans="2:9" x14ac:dyDescent="0.25">
      <c r="B53" s="205">
        <f t="shared" si="1"/>
        <v>0</v>
      </c>
      <c r="C53" s="15"/>
      <c r="D53" s="70"/>
      <c r="E53" s="342"/>
      <c r="F53" s="70">
        <f t="shared" si="0"/>
        <v>0</v>
      </c>
      <c r="G53" s="71"/>
      <c r="H53" s="72"/>
      <c r="I53" s="272">
        <f t="shared" si="2"/>
        <v>0</v>
      </c>
    </row>
    <row r="54" spans="2:9" ht="15.75" thickBot="1" x14ac:dyDescent="0.3">
      <c r="B54" s="3"/>
      <c r="C54" s="36"/>
      <c r="D54" s="161"/>
      <c r="E54" s="356"/>
      <c r="F54" s="161">
        <f t="shared" si="0"/>
        <v>0</v>
      </c>
      <c r="G54" s="233"/>
      <c r="H54" s="76"/>
      <c r="I54" s="272">
        <f t="shared" si="2"/>
        <v>0</v>
      </c>
    </row>
    <row r="55" spans="2:9" x14ac:dyDescent="0.25">
      <c r="C55" s="53">
        <f>SUM(C9:C54)</f>
        <v>64</v>
      </c>
      <c r="D55" s="128">
        <f>SUM(D9:D54)</f>
        <v>1189.26</v>
      </c>
      <c r="E55" s="179"/>
      <c r="F55" s="128">
        <f>SUM(F9:F54)</f>
        <v>1189.26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70" t="s">
        <v>11</v>
      </c>
      <c r="D60" s="1171"/>
      <c r="E60" s="58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H8" sqref="H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6" t="s">
        <v>246</v>
      </c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67" t="s">
        <v>67</v>
      </c>
      <c r="B4" s="506" t="s">
        <v>104</v>
      </c>
      <c r="C4" s="262">
        <v>51</v>
      </c>
      <c r="D4" s="261">
        <v>44559</v>
      </c>
      <c r="E4" s="323">
        <v>1996.98</v>
      </c>
      <c r="F4" s="256">
        <v>95</v>
      </c>
      <c r="G4" s="275">
        <f>F53</f>
        <v>217.17</v>
      </c>
      <c r="H4" s="7">
        <f>E4-G4</f>
        <v>1779.81</v>
      </c>
    </row>
    <row r="5" spans="1:9" ht="16.5" thickBot="1" x14ac:dyDescent="0.3">
      <c r="A5" s="1167"/>
      <c r="B5" s="507" t="s">
        <v>412</v>
      </c>
      <c r="C5" s="262"/>
      <c r="D5" s="287"/>
      <c r="E5" s="272"/>
      <c r="F5" s="266"/>
      <c r="G5" s="253"/>
    </row>
    <row r="6" spans="1:9" ht="16.5" thickTop="1" thickBot="1" x14ac:dyDescent="0.3">
      <c r="B6" s="65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6" t="s">
        <v>32</v>
      </c>
      <c r="B7" s="205">
        <f>F4+F5-C7</f>
        <v>85</v>
      </c>
      <c r="C7" s="15">
        <v>10</v>
      </c>
      <c r="D7" s="70">
        <v>217.17</v>
      </c>
      <c r="E7" s="342">
        <v>44559</v>
      </c>
      <c r="F7" s="70">
        <f t="shared" ref="F7:F52" si="0">D7</f>
        <v>217.17</v>
      </c>
      <c r="G7" s="71" t="s">
        <v>656</v>
      </c>
      <c r="H7" s="72">
        <v>53</v>
      </c>
      <c r="I7" s="272">
        <f>E5+E4-F7</f>
        <v>1779.81</v>
      </c>
    </row>
    <row r="8" spans="1:9" x14ac:dyDescent="0.25">
      <c r="A8" s="78"/>
      <c r="B8" s="205">
        <f t="shared" ref="B8:B51" si="1">B7-C8</f>
        <v>85</v>
      </c>
      <c r="C8" s="53"/>
      <c r="D8" s="70"/>
      <c r="E8" s="861"/>
      <c r="F8" s="277">
        <f t="shared" ref="F8:F13" si="2">D8</f>
        <v>0</v>
      </c>
      <c r="G8" s="278"/>
      <c r="H8" s="279"/>
      <c r="I8" s="272">
        <f>I7-F8</f>
        <v>1779.81</v>
      </c>
    </row>
    <row r="9" spans="1:9" x14ac:dyDescent="0.25">
      <c r="A9" s="12"/>
      <c r="B9" s="205">
        <f t="shared" si="1"/>
        <v>85</v>
      </c>
      <c r="C9" s="15"/>
      <c r="D9" s="70"/>
      <c r="E9" s="342"/>
      <c r="F9" s="70">
        <f t="shared" si="2"/>
        <v>0</v>
      </c>
      <c r="G9" s="71"/>
      <c r="H9" s="72"/>
      <c r="I9" s="272">
        <f t="shared" ref="I9:I52" si="3">I8-F9</f>
        <v>1779.81</v>
      </c>
    </row>
    <row r="10" spans="1:9" x14ac:dyDescent="0.25">
      <c r="A10" s="56" t="s">
        <v>33</v>
      </c>
      <c r="B10" s="205">
        <f t="shared" si="1"/>
        <v>85</v>
      </c>
      <c r="C10" s="15"/>
      <c r="D10" s="70"/>
      <c r="E10" s="342"/>
      <c r="F10" s="70">
        <f t="shared" si="2"/>
        <v>0</v>
      </c>
      <c r="G10" s="71"/>
      <c r="H10" s="72"/>
      <c r="I10" s="272">
        <f t="shared" si="3"/>
        <v>1779.81</v>
      </c>
    </row>
    <row r="11" spans="1:9" x14ac:dyDescent="0.25">
      <c r="A11" s="78"/>
      <c r="B11" s="205">
        <f t="shared" si="1"/>
        <v>85</v>
      </c>
      <c r="C11" s="15"/>
      <c r="D11" s="70"/>
      <c r="E11" s="861"/>
      <c r="F11" s="277">
        <f t="shared" si="2"/>
        <v>0</v>
      </c>
      <c r="G11" s="278"/>
      <c r="H11" s="279"/>
      <c r="I11" s="272">
        <f t="shared" si="3"/>
        <v>1779.81</v>
      </c>
    </row>
    <row r="12" spans="1:9" x14ac:dyDescent="0.25">
      <c r="A12" s="12"/>
      <c r="B12" s="205">
        <f t="shared" si="1"/>
        <v>85</v>
      </c>
      <c r="C12" s="15"/>
      <c r="D12" s="70"/>
      <c r="E12" s="342"/>
      <c r="F12" s="70">
        <f t="shared" si="2"/>
        <v>0</v>
      </c>
      <c r="G12" s="71"/>
      <c r="H12" s="72"/>
      <c r="I12" s="272">
        <f t="shared" si="3"/>
        <v>1779.81</v>
      </c>
    </row>
    <row r="13" spans="1:9" x14ac:dyDescent="0.25">
      <c r="B13" s="205">
        <f t="shared" si="1"/>
        <v>85</v>
      </c>
      <c r="C13" s="15"/>
      <c r="D13" s="70"/>
      <c r="E13" s="342"/>
      <c r="F13" s="277">
        <f t="shared" si="2"/>
        <v>0</v>
      </c>
      <c r="G13" s="278"/>
      <c r="H13" s="279"/>
      <c r="I13" s="272">
        <f t="shared" si="3"/>
        <v>1779.81</v>
      </c>
    </row>
    <row r="14" spans="1:9" x14ac:dyDescent="0.25">
      <c r="B14" s="205">
        <f t="shared" si="1"/>
        <v>85</v>
      </c>
      <c r="C14" s="15"/>
      <c r="D14" s="70"/>
      <c r="E14" s="861"/>
      <c r="F14" s="277">
        <f t="shared" si="0"/>
        <v>0</v>
      </c>
      <c r="G14" s="278"/>
      <c r="H14" s="279"/>
      <c r="I14" s="272">
        <f t="shared" si="3"/>
        <v>1779.81</v>
      </c>
    </row>
    <row r="15" spans="1:9" x14ac:dyDescent="0.25">
      <c r="B15" s="205">
        <f t="shared" si="1"/>
        <v>85</v>
      </c>
      <c r="C15" s="15"/>
      <c r="D15" s="70"/>
      <c r="E15" s="342"/>
      <c r="F15" s="277">
        <f t="shared" si="0"/>
        <v>0</v>
      </c>
      <c r="G15" s="278"/>
      <c r="H15" s="279"/>
      <c r="I15" s="272">
        <f t="shared" si="3"/>
        <v>1779.81</v>
      </c>
    </row>
    <row r="16" spans="1:9" x14ac:dyDescent="0.25">
      <c r="B16" s="205">
        <f t="shared" si="1"/>
        <v>85</v>
      </c>
      <c r="C16" s="53"/>
      <c r="D16" s="70"/>
      <c r="E16" s="342"/>
      <c r="F16" s="277">
        <f t="shared" si="0"/>
        <v>0</v>
      </c>
      <c r="G16" s="278"/>
      <c r="H16" s="279"/>
      <c r="I16" s="272">
        <f t="shared" si="3"/>
        <v>1779.81</v>
      </c>
    </row>
    <row r="17" spans="2:9" x14ac:dyDescent="0.25">
      <c r="B17" s="205">
        <f t="shared" si="1"/>
        <v>85</v>
      </c>
      <c r="C17" s="15"/>
      <c r="D17" s="70"/>
      <c r="E17" s="342"/>
      <c r="F17" s="277">
        <f t="shared" si="0"/>
        <v>0</v>
      </c>
      <c r="G17" s="278"/>
      <c r="H17" s="279"/>
      <c r="I17" s="272">
        <f t="shared" si="3"/>
        <v>1779.81</v>
      </c>
    </row>
    <row r="18" spans="2:9" x14ac:dyDescent="0.25">
      <c r="B18" s="205">
        <f t="shared" si="1"/>
        <v>85</v>
      </c>
      <c r="C18" s="15"/>
      <c r="D18" s="70"/>
      <c r="E18" s="342"/>
      <c r="F18" s="277">
        <f t="shared" si="0"/>
        <v>0</v>
      </c>
      <c r="G18" s="278"/>
      <c r="H18" s="279"/>
      <c r="I18" s="272">
        <f t="shared" si="3"/>
        <v>1779.81</v>
      </c>
    </row>
    <row r="19" spans="2:9" x14ac:dyDescent="0.25">
      <c r="B19" s="205">
        <f t="shared" si="1"/>
        <v>85</v>
      </c>
      <c r="C19" s="15"/>
      <c r="D19" s="70"/>
      <c r="E19" s="342"/>
      <c r="F19" s="277">
        <f t="shared" si="0"/>
        <v>0</v>
      </c>
      <c r="G19" s="278"/>
      <c r="H19" s="279"/>
      <c r="I19" s="272">
        <f t="shared" si="3"/>
        <v>1779.81</v>
      </c>
    </row>
    <row r="20" spans="2:9" x14ac:dyDescent="0.25">
      <c r="B20" s="205">
        <f t="shared" si="1"/>
        <v>85</v>
      </c>
      <c r="C20" s="15"/>
      <c r="D20" s="70"/>
      <c r="E20" s="342"/>
      <c r="F20" s="70">
        <f t="shared" si="0"/>
        <v>0</v>
      </c>
      <c r="G20" s="71"/>
      <c r="H20" s="72"/>
      <c r="I20" s="272">
        <f t="shared" si="3"/>
        <v>1779.81</v>
      </c>
    </row>
    <row r="21" spans="2:9" x14ac:dyDescent="0.25">
      <c r="B21" s="205">
        <f t="shared" si="1"/>
        <v>85</v>
      </c>
      <c r="C21" s="15"/>
      <c r="D21" s="70"/>
      <c r="E21" s="342"/>
      <c r="F21" s="70">
        <f t="shared" si="0"/>
        <v>0</v>
      </c>
      <c r="G21" s="71"/>
      <c r="H21" s="72"/>
      <c r="I21" s="272">
        <f t="shared" si="3"/>
        <v>1779.81</v>
      </c>
    </row>
    <row r="22" spans="2:9" x14ac:dyDescent="0.25">
      <c r="B22" s="205">
        <f t="shared" si="1"/>
        <v>85</v>
      </c>
      <c r="C22" s="15"/>
      <c r="D22" s="70"/>
      <c r="E22" s="342"/>
      <c r="F22" s="70">
        <f t="shared" si="0"/>
        <v>0</v>
      </c>
      <c r="G22" s="71"/>
      <c r="H22" s="72"/>
      <c r="I22" s="272">
        <f t="shared" si="3"/>
        <v>1779.81</v>
      </c>
    </row>
    <row r="23" spans="2:9" x14ac:dyDescent="0.25">
      <c r="B23" s="205">
        <f t="shared" si="1"/>
        <v>85</v>
      </c>
      <c r="C23" s="15"/>
      <c r="D23" s="70"/>
      <c r="E23" s="342"/>
      <c r="F23" s="70">
        <f t="shared" si="0"/>
        <v>0</v>
      </c>
      <c r="G23" s="71"/>
      <c r="H23" s="72"/>
      <c r="I23" s="272">
        <f t="shared" si="3"/>
        <v>1779.81</v>
      </c>
    </row>
    <row r="24" spans="2:9" x14ac:dyDescent="0.25">
      <c r="B24" s="205">
        <f t="shared" si="1"/>
        <v>85</v>
      </c>
      <c r="C24" s="15"/>
      <c r="D24" s="70"/>
      <c r="E24" s="342"/>
      <c r="F24" s="70">
        <f t="shared" si="0"/>
        <v>0</v>
      </c>
      <c r="G24" s="71"/>
      <c r="H24" s="72"/>
      <c r="I24" s="272">
        <f t="shared" si="3"/>
        <v>1779.81</v>
      </c>
    </row>
    <row r="25" spans="2:9" x14ac:dyDescent="0.25">
      <c r="B25" s="205">
        <f t="shared" si="1"/>
        <v>85</v>
      </c>
      <c r="C25" s="15"/>
      <c r="D25" s="70"/>
      <c r="E25" s="342"/>
      <c r="F25" s="70">
        <f t="shared" si="0"/>
        <v>0</v>
      </c>
      <c r="G25" s="71"/>
      <c r="H25" s="72"/>
      <c r="I25" s="272">
        <f t="shared" si="3"/>
        <v>1779.81</v>
      </c>
    </row>
    <row r="26" spans="2:9" x14ac:dyDescent="0.25">
      <c r="B26" s="205">
        <f t="shared" si="1"/>
        <v>85</v>
      </c>
      <c r="C26" s="15"/>
      <c r="D26" s="70"/>
      <c r="E26" s="342"/>
      <c r="F26" s="70">
        <f t="shared" si="0"/>
        <v>0</v>
      </c>
      <c r="G26" s="71"/>
      <c r="H26" s="72"/>
      <c r="I26" s="272">
        <f t="shared" si="3"/>
        <v>1779.81</v>
      </c>
    </row>
    <row r="27" spans="2:9" x14ac:dyDescent="0.25">
      <c r="B27" s="205">
        <f t="shared" si="1"/>
        <v>85</v>
      </c>
      <c r="C27" s="15"/>
      <c r="D27" s="70"/>
      <c r="E27" s="342"/>
      <c r="F27" s="70">
        <f t="shared" si="0"/>
        <v>0</v>
      </c>
      <c r="G27" s="71"/>
      <c r="H27" s="72"/>
      <c r="I27" s="272">
        <f t="shared" si="3"/>
        <v>1779.81</v>
      </c>
    </row>
    <row r="28" spans="2:9" x14ac:dyDescent="0.25">
      <c r="B28" s="205">
        <f t="shared" si="1"/>
        <v>85</v>
      </c>
      <c r="C28" s="15"/>
      <c r="D28" s="70"/>
      <c r="E28" s="342"/>
      <c r="F28" s="70">
        <f t="shared" si="0"/>
        <v>0</v>
      </c>
      <c r="G28" s="71"/>
      <c r="H28" s="72"/>
      <c r="I28" s="272">
        <f t="shared" si="3"/>
        <v>1779.81</v>
      </c>
    </row>
    <row r="29" spans="2:9" x14ac:dyDescent="0.25">
      <c r="B29" s="205">
        <f t="shared" si="1"/>
        <v>85</v>
      </c>
      <c r="C29" s="15"/>
      <c r="D29" s="70"/>
      <c r="E29" s="342"/>
      <c r="F29" s="70">
        <f t="shared" si="0"/>
        <v>0</v>
      </c>
      <c r="G29" s="71"/>
      <c r="H29" s="72"/>
      <c r="I29" s="272">
        <f t="shared" si="3"/>
        <v>1779.81</v>
      </c>
    </row>
    <row r="30" spans="2:9" x14ac:dyDescent="0.25">
      <c r="B30" s="205">
        <f t="shared" si="1"/>
        <v>85</v>
      </c>
      <c r="C30" s="15"/>
      <c r="D30" s="70"/>
      <c r="E30" s="342"/>
      <c r="F30" s="70">
        <f t="shared" si="0"/>
        <v>0</v>
      </c>
      <c r="G30" s="71"/>
      <c r="H30" s="72"/>
      <c r="I30" s="272">
        <f t="shared" si="3"/>
        <v>1779.81</v>
      </c>
    </row>
    <row r="31" spans="2:9" x14ac:dyDescent="0.25">
      <c r="B31" s="205">
        <f t="shared" si="1"/>
        <v>85</v>
      </c>
      <c r="C31" s="15"/>
      <c r="D31" s="70"/>
      <c r="E31" s="342"/>
      <c r="F31" s="70">
        <f t="shared" si="0"/>
        <v>0</v>
      </c>
      <c r="G31" s="71"/>
      <c r="H31" s="72"/>
      <c r="I31" s="272">
        <f t="shared" si="3"/>
        <v>1779.81</v>
      </c>
    </row>
    <row r="32" spans="2:9" x14ac:dyDescent="0.25">
      <c r="B32" s="205">
        <f t="shared" si="1"/>
        <v>85</v>
      </c>
      <c r="C32" s="15"/>
      <c r="D32" s="70"/>
      <c r="E32" s="342"/>
      <c r="F32" s="70">
        <f t="shared" si="0"/>
        <v>0</v>
      </c>
      <c r="G32" s="71"/>
      <c r="H32" s="72"/>
      <c r="I32" s="272">
        <f t="shared" si="3"/>
        <v>1779.81</v>
      </c>
    </row>
    <row r="33" spans="2:9" x14ac:dyDescent="0.25">
      <c r="B33" s="205">
        <f t="shared" si="1"/>
        <v>85</v>
      </c>
      <c r="C33" s="15"/>
      <c r="D33" s="70"/>
      <c r="E33" s="342"/>
      <c r="F33" s="70">
        <f t="shared" si="0"/>
        <v>0</v>
      </c>
      <c r="G33" s="71"/>
      <c r="H33" s="72"/>
      <c r="I33" s="272">
        <f t="shared" si="3"/>
        <v>1779.81</v>
      </c>
    </row>
    <row r="34" spans="2:9" x14ac:dyDescent="0.25">
      <c r="B34" s="205">
        <f t="shared" si="1"/>
        <v>85</v>
      </c>
      <c r="C34" s="15"/>
      <c r="D34" s="70"/>
      <c r="E34" s="342"/>
      <c r="F34" s="70">
        <f t="shared" si="0"/>
        <v>0</v>
      </c>
      <c r="G34" s="71"/>
      <c r="H34" s="72"/>
      <c r="I34" s="272">
        <f t="shared" si="3"/>
        <v>1779.81</v>
      </c>
    </row>
    <row r="35" spans="2:9" x14ac:dyDescent="0.25">
      <c r="B35" s="205">
        <f t="shared" si="1"/>
        <v>85</v>
      </c>
      <c r="C35" s="15"/>
      <c r="D35" s="70"/>
      <c r="E35" s="342"/>
      <c r="F35" s="70">
        <f t="shared" si="0"/>
        <v>0</v>
      </c>
      <c r="G35" s="71"/>
      <c r="H35" s="72"/>
      <c r="I35" s="272">
        <f t="shared" si="3"/>
        <v>1779.81</v>
      </c>
    </row>
    <row r="36" spans="2:9" x14ac:dyDescent="0.25">
      <c r="B36" s="205">
        <f t="shared" si="1"/>
        <v>85</v>
      </c>
      <c r="C36" s="15"/>
      <c r="D36" s="70"/>
      <c r="E36" s="342"/>
      <c r="F36" s="70">
        <f t="shared" si="0"/>
        <v>0</v>
      </c>
      <c r="G36" s="71"/>
      <c r="H36" s="72"/>
      <c r="I36" s="272">
        <f t="shared" si="3"/>
        <v>1779.81</v>
      </c>
    </row>
    <row r="37" spans="2:9" x14ac:dyDescent="0.25">
      <c r="B37" s="205">
        <f t="shared" si="1"/>
        <v>85</v>
      </c>
      <c r="C37" s="15"/>
      <c r="D37" s="70"/>
      <c r="E37" s="342"/>
      <c r="F37" s="70">
        <f t="shared" si="0"/>
        <v>0</v>
      </c>
      <c r="G37" s="71"/>
      <c r="H37" s="72"/>
      <c r="I37" s="272">
        <f t="shared" si="3"/>
        <v>1779.81</v>
      </c>
    </row>
    <row r="38" spans="2:9" x14ac:dyDescent="0.25">
      <c r="B38" s="205">
        <f t="shared" si="1"/>
        <v>85</v>
      </c>
      <c r="C38" s="15"/>
      <c r="D38" s="70"/>
      <c r="E38" s="342"/>
      <c r="F38" s="70">
        <f t="shared" si="0"/>
        <v>0</v>
      </c>
      <c r="G38" s="71"/>
      <c r="H38" s="72"/>
      <c r="I38" s="272">
        <f t="shared" si="3"/>
        <v>1779.81</v>
      </c>
    </row>
    <row r="39" spans="2:9" x14ac:dyDescent="0.25">
      <c r="B39" s="205">
        <f t="shared" si="1"/>
        <v>85</v>
      </c>
      <c r="C39" s="15"/>
      <c r="D39" s="70"/>
      <c r="E39" s="342"/>
      <c r="F39" s="70">
        <f t="shared" si="0"/>
        <v>0</v>
      </c>
      <c r="G39" s="71"/>
      <c r="H39" s="72"/>
      <c r="I39" s="272">
        <f t="shared" si="3"/>
        <v>1779.81</v>
      </c>
    </row>
    <row r="40" spans="2:9" x14ac:dyDescent="0.25">
      <c r="B40" s="205">
        <f t="shared" si="1"/>
        <v>85</v>
      </c>
      <c r="C40" s="15"/>
      <c r="D40" s="70"/>
      <c r="E40" s="342"/>
      <c r="F40" s="70">
        <f t="shared" si="0"/>
        <v>0</v>
      </c>
      <c r="G40" s="71"/>
      <c r="H40" s="72"/>
      <c r="I40" s="272">
        <f t="shared" si="3"/>
        <v>1779.81</v>
      </c>
    </row>
    <row r="41" spans="2:9" x14ac:dyDescent="0.25">
      <c r="B41" s="205">
        <f t="shared" si="1"/>
        <v>85</v>
      </c>
      <c r="C41" s="15"/>
      <c r="D41" s="70"/>
      <c r="E41" s="342"/>
      <c r="F41" s="70">
        <f t="shared" si="0"/>
        <v>0</v>
      </c>
      <c r="G41" s="71"/>
      <c r="H41" s="72"/>
      <c r="I41" s="272">
        <f t="shared" si="3"/>
        <v>1779.81</v>
      </c>
    </row>
    <row r="42" spans="2:9" x14ac:dyDescent="0.25">
      <c r="B42" s="205">
        <f t="shared" si="1"/>
        <v>85</v>
      </c>
      <c r="C42" s="15"/>
      <c r="D42" s="70"/>
      <c r="E42" s="342"/>
      <c r="F42" s="70">
        <f t="shared" si="0"/>
        <v>0</v>
      </c>
      <c r="G42" s="71"/>
      <c r="H42" s="72"/>
      <c r="I42" s="272">
        <f t="shared" si="3"/>
        <v>1779.81</v>
      </c>
    </row>
    <row r="43" spans="2:9" x14ac:dyDescent="0.25">
      <c r="B43" s="205">
        <f t="shared" si="1"/>
        <v>85</v>
      </c>
      <c r="C43" s="15"/>
      <c r="D43" s="70"/>
      <c r="E43" s="342"/>
      <c r="F43" s="70">
        <f t="shared" si="0"/>
        <v>0</v>
      </c>
      <c r="G43" s="71"/>
      <c r="H43" s="72"/>
      <c r="I43" s="272">
        <f t="shared" si="3"/>
        <v>1779.81</v>
      </c>
    </row>
    <row r="44" spans="2:9" x14ac:dyDescent="0.25">
      <c r="B44" s="205">
        <f t="shared" si="1"/>
        <v>85</v>
      </c>
      <c r="C44" s="15"/>
      <c r="D44" s="70"/>
      <c r="E44" s="342"/>
      <c r="F44" s="70">
        <f t="shared" si="0"/>
        <v>0</v>
      </c>
      <c r="G44" s="71"/>
      <c r="H44" s="72"/>
      <c r="I44" s="272">
        <f t="shared" si="3"/>
        <v>1779.81</v>
      </c>
    </row>
    <row r="45" spans="2:9" x14ac:dyDescent="0.25">
      <c r="B45" s="205">
        <f t="shared" si="1"/>
        <v>85</v>
      </c>
      <c r="C45" s="15"/>
      <c r="D45" s="70"/>
      <c r="E45" s="342"/>
      <c r="F45" s="70">
        <f t="shared" si="0"/>
        <v>0</v>
      </c>
      <c r="G45" s="71"/>
      <c r="H45" s="72"/>
      <c r="I45" s="272">
        <f t="shared" si="3"/>
        <v>1779.81</v>
      </c>
    </row>
    <row r="46" spans="2:9" x14ac:dyDescent="0.25">
      <c r="B46" s="205">
        <f t="shared" si="1"/>
        <v>85</v>
      </c>
      <c r="C46" s="15"/>
      <c r="D46" s="70"/>
      <c r="E46" s="342"/>
      <c r="F46" s="70">
        <f t="shared" si="0"/>
        <v>0</v>
      </c>
      <c r="G46" s="71"/>
      <c r="H46" s="72"/>
      <c r="I46" s="272">
        <f t="shared" si="3"/>
        <v>1779.81</v>
      </c>
    </row>
    <row r="47" spans="2:9" x14ac:dyDescent="0.25">
      <c r="B47" s="205">
        <f t="shared" si="1"/>
        <v>85</v>
      </c>
      <c r="C47" s="15"/>
      <c r="D47" s="70"/>
      <c r="E47" s="342"/>
      <c r="F47" s="70">
        <f t="shared" si="0"/>
        <v>0</v>
      </c>
      <c r="G47" s="71"/>
      <c r="H47" s="72"/>
      <c r="I47" s="272">
        <f t="shared" si="3"/>
        <v>1779.81</v>
      </c>
    </row>
    <row r="48" spans="2:9" x14ac:dyDescent="0.25">
      <c r="B48" s="205">
        <f t="shared" si="1"/>
        <v>85</v>
      </c>
      <c r="C48" s="15"/>
      <c r="D48" s="70"/>
      <c r="E48" s="342"/>
      <c r="F48" s="70">
        <f t="shared" si="0"/>
        <v>0</v>
      </c>
      <c r="G48" s="71"/>
      <c r="H48" s="72"/>
      <c r="I48" s="272">
        <f t="shared" si="3"/>
        <v>1779.81</v>
      </c>
    </row>
    <row r="49" spans="2:9" x14ac:dyDescent="0.25">
      <c r="B49" s="205">
        <f t="shared" si="1"/>
        <v>85</v>
      </c>
      <c r="C49" s="15"/>
      <c r="D49" s="70"/>
      <c r="E49" s="342"/>
      <c r="F49" s="70">
        <f t="shared" si="0"/>
        <v>0</v>
      </c>
      <c r="G49" s="71"/>
      <c r="H49" s="72"/>
      <c r="I49" s="272">
        <f t="shared" si="3"/>
        <v>1779.81</v>
      </c>
    </row>
    <row r="50" spans="2:9" x14ac:dyDescent="0.25">
      <c r="B50" s="205">
        <f t="shared" si="1"/>
        <v>85</v>
      </c>
      <c r="C50" s="15"/>
      <c r="D50" s="70"/>
      <c r="E50" s="342"/>
      <c r="F50" s="70">
        <f t="shared" si="0"/>
        <v>0</v>
      </c>
      <c r="G50" s="71"/>
      <c r="H50" s="72"/>
      <c r="I50" s="272">
        <f t="shared" si="3"/>
        <v>1779.81</v>
      </c>
    </row>
    <row r="51" spans="2:9" x14ac:dyDescent="0.25">
      <c r="B51" s="205">
        <f t="shared" si="1"/>
        <v>85</v>
      </c>
      <c r="C51" s="15"/>
      <c r="D51" s="70"/>
      <c r="E51" s="342"/>
      <c r="F51" s="70">
        <f t="shared" si="0"/>
        <v>0</v>
      </c>
      <c r="G51" s="71"/>
      <c r="H51" s="72"/>
      <c r="I51" s="272">
        <f t="shared" si="3"/>
        <v>1779.81</v>
      </c>
    </row>
    <row r="52" spans="2:9" ht="15.75" thickBot="1" x14ac:dyDescent="0.3">
      <c r="B52" s="3"/>
      <c r="C52" s="36"/>
      <c r="D52" s="161"/>
      <c r="E52" s="356"/>
      <c r="F52" s="161">
        <f t="shared" si="0"/>
        <v>0</v>
      </c>
      <c r="G52" s="233"/>
      <c r="H52" s="76"/>
      <c r="I52" s="272">
        <f t="shared" si="3"/>
        <v>1779.81</v>
      </c>
    </row>
    <row r="53" spans="2:9" x14ac:dyDescent="0.25">
      <c r="C53" s="53">
        <f>SUM(C7:C52)</f>
        <v>10</v>
      </c>
      <c r="D53" s="128">
        <f>SUM(D7:D52)</f>
        <v>217.17</v>
      </c>
      <c r="E53" s="179"/>
      <c r="F53" s="128">
        <f>SUM(F7:F52)</f>
        <v>217.17</v>
      </c>
      <c r="G53" s="171"/>
      <c r="H53" s="171"/>
    </row>
    <row r="54" spans="2:9" x14ac:dyDescent="0.25">
      <c r="C54" s="112"/>
    </row>
    <row r="55" spans="2:9" ht="15.75" thickBot="1" x14ac:dyDescent="0.3">
      <c r="B55" s="47"/>
    </row>
    <row r="56" spans="2:9" ht="15.75" thickBot="1" x14ac:dyDescent="0.3">
      <c r="B56" s="92"/>
      <c r="D56" s="45" t="s">
        <v>4</v>
      </c>
      <c r="E56" s="57" t="e">
        <f>F4-C53+#REF!+F5+#REF!</f>
        <v>#REF!</v>
      </c>
    </row>
    <row r="57" spans="2:9" ht="15.75" thickBot="1" x14ac:dyDescent="0.3">
      <c r="B57" s="129"/>
    </row>
    <row r="58" spans="2:9" ht="15.75" thickBot="1" x14ac:dyDescent="0.3">
      <c r="B58" s="92"/>
      <c r="C58" s="1170" t="s">
        <v>11</v>
      </c>
      <c r="D58" s="1171"/>
      <c r="E58" s="58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C4" workbookViewId="0">
      <selection activeCell="G25" sqref="G24:G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76" t="s">
        <v>246</v>
      </c>
      <c r="B1" s="1176"/>
      <c r="C1" s="1176"/>
      <c r="D1" s="1176"/>
      <c r="E1" s="1176"/>
      <c r="F1" s="1176"/>
      <c r="G1" s="117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5"/>
      <c r="E4" s="358"/>
      <c r="F4" s="328"/>
    </row>
    <row r="5" spans="1:11" ht="15" customHeight="1" x14ac:dyDescent="0.25">
      <c r="A5" s="1190" t="s">
        <v>263</v>
      </c>
      <c r="B5" s="1192" t="s">
        <v>262</v>
      </c>
      <c r="C5" s="470">
        <v>102</v>
      </c>
      <c r="D5" s="326">
        <v>44536</v>
      </c>
      <c r="E5" s="327">
        <v>2740.24</v>
      </c>
      <c r="F5" s="328">
        <v>222</v>
      </c>
      <c r="G5" s="154">
        <f>F53</f>
        <v>2740.5349999999999</v>
      </c>
      <c r="H5" s="59">
        <f>E4+E5+E6-G5</f>
        <v>-0.29500000000007276</v>
      </c>
    </row>
    <row r="6" spans="1:11" ht="16.5" thickBot="1" x14ac:dyDescent="0.3">
      <c r="A6" s="1191"/>
      <c r="B6" s="1193"/>
      <c r="C6" s="477"/>
      <c r="D6" s="476"/>
      <c r="E6" s="359"/>
      <c r="F6" s="330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1" ht="15.75" thickTop="1" x14ac:dyDescent="0.25">
      <c r="A8" s="81" t="s">
        <v>32</v>
      </c>
      <c r="B8" s="84"/>
      <c r="C8" s="276">
        <v>20</v>
      </c>
      <c r="D8" s="314">
        <v>251.08</v>
      </c>
      <c r="E8" s="94">
        <v>44537</v>
      </c>
      <c r="F8" s="277">
        <f t="shared" ref="F8:F51" si="0">D8</f>
        <v>251.08</v>
      </c>
      <c r="G8" s="278" t="s">
        <v>447</v>
      </c>
      <c r="H8" s="279">
        <v>103</v>
      </c>
      <c r="I8" s="248">
        <f>E5+E4-F8+E6</f>
        <v>2489.16</v>
      </c>
      <c r="J8" s="249">
        <f>F4+F5+F6-C8</f>
        <v>202</v>
      </c>
      <c r="K8" s="61">
        <f>H8*F8</f>
        <v>25861.24</v>
      </c>
    </row>
    <row r="9" spans="1:11" x14ac:dyDescent="0.25">
      <c r="A9" s="217"/>
      <c r="B9" s="84"/>
      <c r="C9" s="276">
        <v>160</v>
      </c>
      <c r="D9" s="314">
        <v>1973.04</v>
      </c>
      <c r="E9" s="94">
        <v>44537</v>
      </c>
      <c r="F9" s="70">
        <f t="shared" si="0"/>
        <v>1973.04</v>
      </c>
      <c r="G9" s="278" t="s">
        <v>449</v>
      </c>
      <c r="H9" s="279">
        <v>103</v>
      </c>
      <c r="I9" s="248">
        <f>I8-F9</f>
        <v>516.11999999999989</v>
      </c>
      <c r="J9" s="249">
        <f>J8-C9</f>
        <v>42</v>
      </c>
      <c r="K9" s="61">
        <f t="shared" ref="K9:K54" si="1">H9*F9</f>
        <v>203223.12</v>
      </c>
    </row>
    <row r="10" spans="1:11" x14ac:dyDescent="0.25">
      <c r="A10" s="205"/>
      <c r="B10" s="84"/>
      <c r="C10" s="276">
        <v>42</v>
      </c>
      <c r="D10" s="314">
        <v>516.41499999999996</v>
      </c>
      <c r="E10" s="80">
        <v>44537</v>
      </c>
      <c r="F10" s="70">
        <f t="shared" si="0"/>
        <v>516.41499999999996</v>
      </c>
      <c r="G10" s="278" t="s">
        <v>450</v>
      </c>
      <c r="H10" s="279">
        <v>103</v>
      </c>
      <c r="I10" s="248">
        <f t="shared" ref="I10:I19" si="2">I9-F10</f>
        <v>-0.29500000000007276</v>
      </c>
      <c r="J10" s="249">
        <f t="shared" ref="J10:J51" si="3">J9-C10</f>
        <v>0</v>
      </c>
      <c r="K10" s="61">
        <f t="shared" si="1"/>
        <v>53190.744999999995</v>
      </c>
    </row>
    <row r="11" spans="1:11" x14ac:dyDescent="0.25">
      <c r="A11" s="83" t="s">
        <v>33</v>
      </c>
      <c r="B11" s="84"/>
      <c r="C11" s="276"/>
      <c r="D11" s="314">
        <f t="shared" ref="D11:D13" si="4">C11*B11</f>
        <v>0</v>
      </c>
      <c r="E11" s="80"/>
      <c r="F11" s="70">
        <f t="shared" si="0"/>
        <v>0</v>
      </c>
      <c r="G11" s="278"/>
      <c r="H11" s="1094"/>
      <c r="I11" s="1117">
        <f t="shared" si="2"/>
        <v>-0.29500000000007276</v>
      </c>
      <c r="J11" s="1118">
        <f t="shared" si="3"/>
        <v>0</v>
      </c>
      <c r="K11" s="1119">
        <f t="shared" si="1"/>
        <v>0</v>
      </c>
    </row>
    <row r="12" spans="1:11" x14ac:dyDescent="0.25">
      <c r="A12" s="74"/>
      <c r="B12" s="84"/>
      <c r="C12" s="276"/>
      <c r="D12" s="314">
        <f t="shared" si="4"/>
        <v>0</v>
      </c>
      <c r="E12" s="80"/>
      <c r="F12" s="70">
        <f t="shared" si="0"/>
        <v>0</v>
      </c>
      <c r="G12" s="278"/>
      <c r="H12" s="1094"/>
      <c r="I12" s="1117">
        <f t="shared" si="2"/>
        <v>-0.29500000000007276</v>
      </c>
      <c r="J12" s="1118">
        <f t="shared" si="3"/>
        <v>0</v>
      </c>
      <c r="K12" s="1119">
        <f t="shared" si="1"/>
        <v>0</v>
      </c>
    </row>
    <row r="13" spans="1:11" x14ac:dyDescent="0.25">
      <c r="A13" s="74"/>
      <c r="B13" s="84"/>
      <c r="C13" s="276"/>
      <c r="D13" s="314">
        <f t="shared" si="4"/>
        <v>0</v>
      </c>
      <c r="E13" s="80"/>
      <c r="F13" s="70">
        <f t="shared" si="0"/>
        <v>0</v>
      </c>
      <c r="G13" s="278"/>
      <c r="H13" s="1094"/>
      <c r="I13" s="1117">
        <f t="shared" si="2"/>
        <v>-0.29500000000007276</v>
      </c>
      <c r="J13" s="1118">
        <f t="shared" si="3"/>
        <v>0</v>
      </c>
      <c r="K13" s="1119">
        <f t="shared" si="1"/>
        <v>0</v>
      </c>
    </row>
    <row r="14" spans="1:11" x14ac:dyDescent="0.25">
      <c r="B14" s="84"/>
      <c r="C14" s="276"/>
      <c r="D14" s="314">
        <f>C14*B14</f>
        <v>0</v>
      </c>
      <c r="E14" s="315"/>
      <c r="F14" s="277">
        <f t="shared" si="0"/>
        <v>0</v>
      </c>
      <c r="G14" s="278"/>
      <c r="H14" s="1094"/>
      <c r="I14" s="1117">
        <f t="shared" si="2"/>
        <v>-0.29500000000007276</v>
      </c>
      <c r="J14" s="1118">
        <f t="shared" si="3"/>
        <v>0</v>
      </c>
      <c r="K14" s="1119">
        <f t="shared" si="1"/>
        <v>0</v>
      </c>
    </row>
    <row r="15" spans="1:11" x14ac:dyDescent="0.25">
      <c r="B15" s="84"/>
      <c r="C15" s="276"/>
      <c r="D15" s="314">
        <f t="shared" ref="D15:D51" si="5">C15*B15</f>
        <v>0</v>
      </c>
      <c r="E15" s="85"/>
      <c r="F15" s="70">
        <f t="shared" si="0"/>
        <v>0</v>
      </c>
      <c r="G15" s="278"/>
      <c r="H15" s="279"/>
      <c r="I15" s="312">
        <f t="shared" si="2"/>
        <v>-0.29500000000007276</v>
      </c>
      <c r="J15" s="313">
        <f t="shared" si="3"/>
        <v>0</v>
      </c>
      <c r="K15" s="316">
        <f t="shared" si="1"/>
        <v>0</v>
      </c>
    </row>
    <row r="16" spans="1:11" x14ac:dyDescent="0.25">
      <c r="A16" s="82"/>
      <c r="B16" s="84"/>
      <c r="C16" s="276"/>
      <c r="D16" s="314">
        <f t="shared" si="5"/>
        <v>0</v>
      </c>
      <c r="E16" s="85"/>
      <c r="F16" s="70">
        <f t="shared" si="0"/>
        <v>0</v>
      </c>
      <c r="G16" s="278"/>
      <c r="H16" s="279"/>
      <c r="I16" s="312">
        <f t="shared" si="2"/>
        <v>-0.29500000000007276</v>
      </c>
      <c r="J16" s="313">
        <f t="shared" si="3"/>
        <v>0</v>
      </c>
      <c r="K16" s="316">
        <f t="shared" si="1"/>
        <v>0</v>
      </c>
    </row>
    <row r="17" spans="1:11" x14ac:dyDescent="0.25">
      <c r="A17" s="84"/>
      <c r="B17" s="84"/>
      <c r="C17" s="276"/>
      <c r="D17" s="314">
        <f t="shared" si="5"/>
        <v>0</v>
      </c>
      <c r="E17" s="85"/>
      <c r="F17" s="70">
        <f t="shared" si="0"/>
        <v>0</v>
      </c>
      <c r="G17" s="278"/>
      <c r="H17" s="279"/>
      <c r="I17" s="312">
        <f t="shared" si="2"/>
        <v>-0.29500000000007276</v>
      </c>
      <c r="J17" s="313">
        <f t="shared" si="3"/>
        <v>0</v>
      </c>
      <c r="K17" s="316">
        <f t="shared" si="1"/>
        <v>0</v>
      </c>
    </row>
    <row r="18" spans="1:11" x14ac:dyDescent="0.25">
      <c r="A18" s="2"/>
      <c r="B18" s="84"/>
      <c r="C18" s="276"/>
      <c r="D18" s="314">
        <f t="shared" si="5"/>
        <v>0</v>
      </c>
      <c r="E18" s="85"/>
      <c r="F18" s="70">
        <f t="shared" si="0"/>
        <v>0</v>
      </c>
      <c r="G18" s="278"/>
      <c r="H18" s="279"/>
      <c r="I18" s="312">
        <f t="shared" si="2"/>
        <v>-0.29500000000007276</v>
      </c>
      <c r="J18" s="313">
        <f t="shared" si="3"/>
        <v>0</v>
      </c>
      <c r="K18" s="316">
        <f t="shared" si="1"/>
        <v>0</v>
      </c>
    </row>
    <row r="19" spans="1:11" x14ac:dyDescent="0.25">
      <c r="A19" s="2"/>
      <c r="B19" s="84"/>
      <c r="C19" s="276"/>
      <c r="D19" s="314">
        <f t="shared" si="5"/>
        <v>0</v>
      </c>
      <c r="E19" s="85"/>
      <c r="F19" s="70">
        <f t="shared" si="0"/>
        <v>0</v>
      </c>
      <c r="G19" s="278"/>
      <c r="H19" s="279"/>
      <c r="I19" s="312">
        <f t="shared" si="2"/>
        <v>-0.29500000000007276</v>
      </c>
      <c r="J19" s="313">
        <f t="shared" si="3"/>
        <v>0</v>
      </c>
      <c r="K19" s="61">
        <f t="shared" si="1"/>
        <v>0</v>
      </c>
    </row>
    <row r="20" spans="1:11" x14ac:dyDescent="0.25">
      <c r="A20" s="2"/>
      <c r="B20" s="84"/>
      <c r="C20" s="276"/>
      <c r="D20" s="314">
        <f t="shared" si="5"/>
        <v>0</v>
      </c>
      <c r="E20" s="80"/>
      <c r="F20" s="70">
        <f t="shared" si="0"/>
        <v>0</v>
      </c>
      <c r="G20" s="278"/>
      <c r="H20" s="279"/>
      <c r="I20" s="312">
        <f>I19-F20</f>
        <v>-0.29500000000007276</v>
      </c>
      <c r="J20" s="313">
        <f t="shared" si="3"/>
        <v>0</v>
      </c>
      <c r="K20" s="61">
        <f t="shared" si="1"/>
        <v>0</v>
      </c>
    </row>
    <row r="21" spans="1:11" x14ac:dyDescent="0.25">
      <c r="A21" s="2"/>
      <c r="B21" s="84"/>
      <c r="C21" s="276"/>
      <c r="D21" s="314">
        <f t="shared" si="5"/>
        <v>0</v>
      </c>
      <c r="E21" s="80"/>
      <c r="F21" s="70">
        <f t="shared" si="0"/>
        <v>0</v>
      </c>
      <c r="G21" s="278"/>
      <c r="H21" s="279"/>
      <c r="I21" s="312">
        <f t="shared" ref="I21:I51" si="6">I20-F21</f>
        <v>-0.29500000000007276</v>
      </c>
      <c r="J21" s="313">
        <f t="shared" si="3"/>
        <v>0</v>
      </c>
      <c r="K21" s="61">
        <f t="shared" si="1"/>
        <v>0</v>
      </c>
    </row>
    <row r="22" spans="1:11" x14ac:dyDescent="0.25">
      <c r="A22" s="2"/>
      <c r="B22" s="84"/>
      <c r="C22" s="276"/>
      <c r="D22" s="314">
        <f t="shared" si="5"/>
        <v>0</v>
      </c>
      <c r="E22" s="80"/>
      <c r="F22" s="70">
        <f t="shared" si="0"/>
        <v>0</v>
      </c>
      <c r="G22" s="278"/>
      <c r="H22" s="279"/>
      <c r="I22" s="312">
        <f t="shared" si="6"/>
        <v>-0.29500000000007276</v>
      </c>
      <c r="J22" s="313">
        <f t="shared" si="3"/>
        <v>0</v>
      </c>
      <c r="K22" s="61">
        <f t="shared" si="1"/>
        <v>0</v>
      </c>
    </row>
    <row r="23" spans="1:11" x14ac:dyDescent="0.25">
      <c r="A23" s="2"/>
      <c r="B23" s="84"/>
      <c r="C23" s="276"/>
      <c r="D23" s="314">
        <f t="shared" si="5"/>
        <v>0</v>
      </c>
      <c r="E23" s="80"/>
      <c r="F23" s="70">
        <f t="shared" si="0"/>
        <v>0</v>
      </c>
      <c r="G23" s="278"/>
      <c r="H23" s="279"/>
      <c r="I23" s="312">
        <f t="shared" si="6"/>
        <v>-0.29500000000007276</v>
      </c>
      <c r="J23" s="313">
        <f t="shared" si="3"/>
        <v>0</v>
      </c>
      <c r="K23" s="61">
        <f t="shared" si="1"/>
        <v>0</v>
      </c>
    </row>
    <row r="24" spans="1:11" x14ac:dyDescent="0.25">
      <c r="A24" s="2"/>
      <c r="B24" s="84"/>
      <c r="C24" s="276"/>
      <c r="D24" s="314">
        <f t="shared" si="5"/>
        <v>0</v>
      </c>
      <c r="E24" s="94"/>
      <c r="F24" s="70">
        <f t="shared" si="0"/>
        <v>0</v>
      </c>
      <c r="G24" s="278"/>
      <c r="H24" s="279"/>
      <c r="I24" s="312">
        <f t="shared" si="6"/>
        <v>-0.29500000000007276</v>
      </c>
      <c r="J24" s="313">
        <f t="shared" si="3"/>
        <v>0</v>
      </c>
      <c r="K24" s="61">
        <f t="shared" si="1"/>
        <v>0</v>
      </c>
    </row>
    <row r="25" spans="1:11" x14ac:dyDescent="0.25">
      <c r="A25" s="2"/>
      <c r="B25" s="84"/>
      <c r="C25" s="276"/>
      <c r="D25" s="314">
        <f t="shared" si="5"/>
        <v>0</v>
      </c>
      <c r="E25" s="357"/>
      <c r="F25" s="70">
        <f t="shared" si="0"/>
        <v>0</v>
      </c>
      <c r="G25" s="278"/>
      <c r="H25" s="279"/>
      <c r="I25" s="312">
        <f t="shared" si="6"/>
        <v>-0.29500000000007276</v>
      </c>
      <c r="J25" s="313">
        <f t="shared" si="3"/>
        <v>0</v>
      </c>
      <c r="K25" s="61">
        <f t="shared" si="1"/>
        <v>0</v>
      </c>
    </row>
    <row r="26" spans="1:11" x14ac:dyDescent="0.25">
      <c r="A26" s="2"/>
      <c r="B26" s="84"/>
      <c r="C26" s="276"/>
      <c r="D26" s="314">
        <f t="shared" si="5"/>
        <v>0</v>
      </c>
      <c r="E26" s="357"/>
      <c r="F26" s="70">
        <f t="shared" si="0"/>
        <v>0</v>
      </c>
      <c r="G26" s="278"/>
      <c r="H26" s="279"/>
      <c r="I26" s="312">
        <f t="shared" si="6"/>
        <v>-0.29500000000007276</v>
      </c>
      <c r="J26" s="313">
        <f t="shared" si="3"/>
        <v>0</v>
      </c>
      <c r="K26" s="61">
        <f t="shared" si="1"/>
        <v>0</v>
      </c>
    </row>
    <row r="27" spans="1:11" x14ac:dyDescent="0.25">
      <c r="A27" s="197"/>
      <c r="B27" s="84"/>
      <c r="C27" s="276"/>
      <c r="D27" s="314">
        <f t="shared" si="5"/>
        <v>0</v>
      </c>
      <c r="E27" s="357"/>
      <c r="F27" s="70">
        <f t="shared" si="0"/>
        <v>0</v>
      </c>
      <c r="G27" s="278"/>
      <c r="H27" s="279"/>
      <c r="I27" s="312">
        <f t="shared" si="6"/>
        <v>-0.29500000000007276</v>
      </c>
      <c r="J27" s="313">
        <f t="shared" si="3"/>
        <v>0</v>
      </c>
      <c r="K27" s="61">
        <f t="shared" si="1"/>
        <v>0</v>
      </c>
    </row>
    <row r="28" spans="1:11" x14ac:dyDescent="0.25">
      <c r="A28" s="197"/>
      <c r="B28" s="84"/>
      <c r="C28" s="276"/>
      <c r="D28" s="314">
        <f t="shared" si="5"/>
        <v>0</v>
      </c>
      <c r="E28" s="341"/>
      <c r="F28" s="70">
        <f t="shared" si="0"/>
        <v>0</v>
      </c>
      <c r="G28" s="278"/>
      <c r="H28" s="279"/>
      <c r="I28" s="312">
        <f t="shared" si="6"/>
        <v>-0.29500000000007276</v>
      </c>
      <c r="J28" s="313">
        <f t="shared" si="3"/>
        <v>0</v>
      </c>
      <c r="K28" s="61">
        <f t="shared" si="1"/>
        <v>0</v>
      </c>
    </row>
    <row r="29" spans="1:11" x14ac:dyDescent="0.25">
      <c r="A29" s="197"/>
      <c r="B29" s="84"/>
      <c r="C29" s="276"/>
      <c r="D29" s="314">
        <f t="shared" si="5"/>
        <v>0</v>
      </c>
      <c r="E29" s="341"/>
      <c r="F29" s="70">
        <f t="shared" si="0"/>
        <v>0</v>
      </c>
      <c r="G29" s="278"/>
      <c r="H29" s="279"/>
      <c r="I29" s="312">
        <f t="shared" si="6"/>
        <v>-0.29500000000007276</v>
      </c>
      <c r="J29" s="313">
        <f t="shared" si="3"/>
        <v>0</v>
      </c>
      <c r="K29" s="61">
        <f t="shared" si="1"/>
        <v>0</v>
      </c>
    </row>
    <row r="30" spans="1:11" x14ac:dyDescent="0.25">
      <c r="A30" s="197"/>
      <c r="B30" s="84"/>
      <c r="C30" s="276"/>
      <c r="D30" s="314">
        <f t="shared" si="5"/>
        <v>0</v>
      </c>
      <c r="E30" s="341"/>
      <c r="F30" s="70">
        <f t="shared" si="0"/>
        <v>0</v>
      </c>
      <c r="G30" s="278"/>
      <c r="H30" s="279"/>
      <c r="I30" s="312">
        <f t="shared" si="6"/>
        <v>-0.29500000000007276</v>
      </c>
      <c r="J30" s="313">
        <f t="shared" si="3"/>
        <v>0</v>
      </c>
      <c r="K30" s="61">
        <f t="shared" si="1"/>
        <v>0</v>
      </c>
    </row>
    <row r="31" spans="1:11" x14ac:dyDescent="0.25">
      <c r="A31" s="197"/>
      <c r="B31" s="84"/>
      <c r="C31" s="276"/>
      <c r="D31" s="314">
        <f t="shared" si="5"/>
        <v>0</v>
      </c>
      <c r="E31" s="341"/>
      <c r="F31" s="70">
        <f t="shared" si="0"/>
        <v>0</v>
      </c>
      <c r="G31" s="278"/>
      <c r="H31" s="279"/>
      <c r="I31" s="312">
        <f t="shared" si="6"/>
        <v>-0.29500000000007276</v>
      </c>
      <c r="J31" s="313">
        <f t="shared" si="3"/>
        <v>0</v>
      </c>
      <c r="K31" s="61">
        <f t="shared" si="1"/>
        <v>0</v>
      </c>
    </row>
    <row r="32" spans="1:11" x14ac:dyDescent="0.25">
      <c r="A32" s="2"/>
      <c r="B32" s="84"/>
      <c r="C32" s="276"/>
      <c r="D32" s="314">
        <f t="shared" si="5"/>
        <v>0</v>
      </c>
      <c r="E32" s="346"/>
      <c r="F32" s="277">
        <f t="shared" si="0"/>
        <v>0</v>
      </c>
      <c r="G32" s="278"/>
      <c r="H32" s="279"/>
      <c r="I32" s="312">
        <f t="shared" si="6"/>
        <v>-0.29500000000007276</v>
      </c>
      <c r="J32" s="313">
        <f t="shared" si="3"/>
        <v>0</v>
      </c>
      <c r="K32" s="61">
        <f t="shared" si="1"/>
        <v>0</v>
      </c>
    </row>
    <row r="33" spans="1:11" x14ac:dyDescent="0.25">
      <c r="A33" s="2"/>
      <c r="B33" s="84"/>
      <c r="C33" s="276"/>
      <c r="D33" s="314">
        <f t="shared" si="5"/>
        <v>0</v>
      </c>
      <c r="E33" s="342"/>
      <c r="F33" s="70">
        <f t="shared" si="0"/>
        <v>0</v>
      </c>
      <c r="G33" s="278"/>
      <c r="H33" s="279"/>
      <c r="I33" s="248">
        <f t="shared" si="6"/>
        <v>-0.29500000000007276</v>
      </c>
      <c r="J33" s="249">
        <f t="shared" si="3"/>
        <v>0</v>
      </c>
      <c r="K33" s="61">
        <f t="shared" si="1"/>
        <v>0</v>
      </c>
    </row>
    <row r="34" spans="1:11" x14ac:dyDescent="0.25">
      <c r="A34" s="2"/>
      <c r="B34" s="84"/>
      <c r="C34" s="276"/>
      <c r="D34" s="314">
        <f t="shared" si="5"/>
        <v>0</v>
      </c>
      <c r="E34" s="342"/>
      <c r="F34" s="70">
        <f t="shared" si="0"/>
        <v>0</v>
      </c>
      <c r="G34" s="278"/>
      <c r="H34" s="279"/>
      <c r="I34" s="248">
        <f t="shared" si="6"/>
        <v>-0.29500000000007276</v>
      </c>
      <c r="J34" s="249">
        <f t="shared" si="3"/>
        <v>0</v>
      </c>
      <c r="K34" s="61">
        <f t="shared" si="1"/>
        <v>0</v>
      </c>
    </row>
    <row r="35" spans="1:11" x14ac:dyDescent="0.25">
      <c r="A35" s="2"/>
      <c r="B35" s="84"/>
      <c r="C35" s="276"/>
      <c r="D35" s="314">
        <f t="shared" si="5"/>
        <v>0</v>
      </c>
      <c r="E35" s="342"/>
      <c r="F35" s="70">
        <f t="shared" si="0"/>
        <v>0</v>
      </c>
      <c r="G35" s="278"/>
      <c r="H35" s="279"/>
      <c r="I35" s="312">
        <f t="shared" si="6"/>
        <v>-0.29500000000007276</v>
      </c>
      <c r="J35" s="313">
        <f t="shared" si="3"/>
        <v>0</v>
      </c>
      <c r="K35" s="61">
        <f t="shared" si="1"/>
        <v>0</v>
      </c>
    </row>
    <row r="36" spans="1:11" x14ac:dyDescent="0.25">
      <c r="A36" s="2"/>
      <c r="B36" s="84"/>
      <c r="C36" s="276"/>
      <c r="D36" s="196">
        <f t="shared" si="5"/>
        <v>0</v>
      </c>
      <c r="E36" s="342"/>
      <c r="F36" s="70">
        <f t="shared" si="0"/>
        <v>0</v>
      </c>
      <c r="G36" s="278"/>
      <c r="H36" s="279"/>
      <c r="I36" s="312">
        <f t="shared" si="6"/>
        <v>-0.29500000000007276</v>
      </c>
      <c r="J36" s="313">
        <f t="shared" si="3"/>
        <v>0</v>
      </c>
      <c r="K36" s="61">
        <f t="shared" si="1"/>
        <v>0</v>
      </c>
    </row>
    <row r="37" spans="1:11" x14ac:dyDescent="0.25">
      <c r="A37" s="2"/>
      <c r="B37" s="84"/>
      <c r="C37" s="276"/>
      <c r="D37" s="196">
        <f t="shared" si="5"/>
        <v>0</v>
      </c>
      <c r="E37" s="342"/>
      <c r="F37" s="70">
        <f t="shared" si="0"/>
        <v>0</v>
      </c>
      <c r="G37" s="278"/>
      <c r="H37" s="279"/>
      <c r="I37" s="312">
        <f t="shared" si="6"/>
        <v>-0.29500000000007276</v>
      </c>
      <c r="J37" s="313">
        <f t="shared" si="3"/>
        <v>0</v>
      </c>
      <c r="K37" s="61">
        <f t="shared" si="1"/>
        <v>0</v>
      </c>
    </row>
    <row r="38" spans="1:11" x14ac:dyDescent="0.25">
      <c r="A38" s="2"/>
      <c r="B38" s="84"/>
      <c r="C38" s="276"/>
      <c r="D38" s="196">
        <f t="shared" si="5"/>
        <v>0</v>
      </c>
      <c r="E38" s="341"/>
      <c r="F38" s="70">
        <f t="shared" si="0"/>
        <v>0</v>
      </c>
      <c r="G38" s="278"/>
      <c r="H38" s="279"/>
      <c r="I38" s="312">
        <f t="shared" si="6"/>
        <v>-0.29500000000007276</v>
      </c>
      <c r="J38" s="313">
        <f t="shared" si="3"/>
        <v>0</v>
      </c>
      <c r="K38" s="61">
        <f t="shared" si="1"/>
        <v>0</v>
      </c>
    </row>
    <row r="39" spans="1:11" x14ac:dyDescent="0.25">
      <c r="A39" s="2"/>
      <c r="B39" s="84"/>
      <c r="C39" s="276"/>
      <c r="D39" s="196">
        <f t="shared" si="5"/>
        <v>0</v>
      </c>
      <c r="E39" s="342"/>
      <c r="F39" s="70">
        <f t="shared" si="0"/>
        <v>0</v>
      </c>
      <c r="G39" s="278"/>
      <c r="H39" s="279"/>
      <c r="I39" s="312">
        <f t="shared" si="6"/>
        <v>-0.29500000000007276</v>
      </c>
      <c r="J39" s="313">
        <f t="shared" si="3"/>
        <v>0</v>
      </c>
      <c r="K39" s="61">
        <f t="shared" si="1"/>
        <v>0</v>
      </c>
    </row>
    <row r="40" spans="1:11" x14ac:dyDescent="0.25">
      <c r="A40" s="2"/>
      <c r="B40" s="84"/>
      <c r="C40" s="276"/>
      <c r="D40" s="196">
        <f t="shared" si="5"/>
        <v>0</v>
      </c>
      <c r="E40" s="342"/>
      <c r="F40" s="70">
        <f t="shared" si="0"/>
        <v>0</v>
      </c>
      <c r="G40" s="278"/>
      <c r="H40" s="279"/>
      <c r="I40" s="312">
        <f t="shared" si="6"/>
        <v>-0.29500000000007276</v>
      </c>
      <c r="J40" s="313">
        <f t="shared" si="3"/>
        <v>0</v>
      </c>
      <c r="K40" s="61">
        <f t="shared" si="1"/>
        <v>0</v>
      </c>
    </row>
    <row r="41" spans="1:11" x14ac:dyDescent="0.25">
      <c r="A41" s="2"/>
      <c r="B41" s="84"/>
      <c r="C41" s="276"/>
      <c r="D41" s="196">
        <f t="shared" si="5"/>
        <v>0</v>
      </c>
      <c r="E41" s="342"/>
      <c r="F41" s="70">
        <f t="shared" si="0"/>
        <v>0</v>
      </c>
      <c r="G41" s="278"/>
      <c r="H41" s="279"/>
      <c r="I41" s="248">
        <f t="shared" si="6"/>
        <v>-0.29500000000007276</v>
      </c>
      <c r="J41" s="249">
        <f t="shared" si="3"/>
        <v>0</v>
      </c>
      <c r="K41" s="61">
        <f t="shared" si="1"/>
        <v>0</v>
      </c>
    </row>
    <row r="42" spans="1:11" x14ac:dyDescent="0.25">
      <c r="A42" s="2"/>
      <c r="B42" s="84"/>
      <c r="C42" s="276"/>
      <c r="D42" s="196">
        <f t="shared" si="5"/>
        <v>0</v>
      </c>
      <c r="E42" s="342"/>
      <c r="F42" s="70">
        <f t="shared" si="0"/>
        <v>0</v>
      </c>
      <c r="G42" s="278"/>
      <c r="H42" s="279"/>
      <c r="I42" s="248">
        <f t="shared" si="6"/>
        <v>-0.29500000000007276</v>
      </c>
      <c r="J42" s="249">
        <f t="shared" si="3"/>
        <v>0</v>
      </c>
      <c r="K42" s="61">
        <f t="shared" si="1"/>
        <v>0</v>
      </c>
    </row>
    <row r="43" spans="1:11" x14ac:dyDescent="0.25">
      <c r="A43" s="2"/>
      <c r="B43" s="84"/>
      <c r="C43" s="276"/>
      <c r="D43" s="196">
        <f t="shared" si="5"/>
        <v>0</v>
      </c>
      <c r="E43" s="342"/>
      <c r="F43" s="70">
        <f t="shared" si="0"/>
        <v>0</v>
      </c>
      <c r="G43" s="278"/>
      <c r="H43" s="279"/>
      <c r="I43" s="248">
        <f t="shared" si="6"/>
        <v>-0.29500000000007276</v>
      </c>
      <c r="J43" s="249">
        <f t="shared" si="3"/>
        <v>0</v>
      </c>
      <c r="K43" s="61">
        <f t="shared" si="1"/>
        <v>0</v>
      </c>
    </row>
    <row r="44" spans="1:11" x14ac:dyDescent="0.25">
      <c r="A44" s="2"/>
      <c r="B44" s="84"/>
      <c r="C44" s="276"/>
      <c r="D44" s="196">
        <f t="shared" si="5"/>
        <v>0</v>
      </c>
      <c r="E44" s="342"/>
      <c r="F44" s="70">
        <f t="shared" si="0"/>
        <v>0</v>
      </c>
      <c r="G44" s="278"/>
      <c r="H44" s="279"/>
      <c r="I44" s="248">
        <f t="shared" si="6"/>
        <v>-0.29500000000007276</v>
      </c>
      <c r="J44" s="249">
        <f t="shared" si="3"/>
        <v>0</v>
      </c>
      <c r="K44" s="61">
        <f t="shared" si="1"/>
        <v>0</v>
      </c>
    </row>
    <row r="45" spans="1:11" x14ac:dyDescent="0.25">
      <c r="A45" s="2"/>
      <c r="B45" s="84"/>
      <c r="C45" s="276"/>
      <c r="D45" s="196">
        <f t="shared" si="5"/>
        <v>0</v>
      </c>
      <c r="E45" s="342"/>
      <c r="F45" s="70">
        <f t="shared" si="0"/>
        <v>0</v>
      </c>
      <c r="G45" s="278"/>
      <c r="H45" s="279"/>
      <c r="I45" s="248">
        <f t="shared" si="6"/>
        <v>-0.29500000000007276</v>
      </c>
      <c r="J45" s="249">
        <f t="shared" si="3"/>
        <v>0</v>
      </c>
      <c r="K45" s="61">
        <f t="shared" si="1"/>
        <v>0</v>
      </c>
    </row>
    <row r="46" spans="1:11" x14ac:dyDescent="0.25">
      <c r="A46" s="2"/>
      <c r="B46" s="84"/>
      <c r="C46" s="276"/>
      <c r="D46" s="196">
        <f t="shared" si="5"/>
        <v>0</v>
      </c>
      <c r="E46" s="342"/>
      <c r="F46" s="70">
        <f t="shared" si="0"/>
        <v>0</v>
      </c>
      <c r="G46" s="278"/>
      <c r="H46" s="279"/>
      <c r="I46" s="248">
        <f t="shared" si="6"/>
        <v>-0.29500000000007276</v>
      </c>
      <c r="J46" s="249">
        <f t="shared" si="3"/>
        <v>0</v>
      </c>
      <c r="K46" s="61">
        <f t="shared" si="1"/>
        <v>0</v>
      </c>
    </row>
    <row r="47" spans="1:11" x14ac:dyDescent="0.25">
      <c r="A47" s="2"/>
      <c r="B47" s="84"/>
      <c r="C47" s="276"/>
      <c r="D47" s="196">
        <f t="shared" si="5"/>
        <v>0</v>
      </c>
      <c r="E47" s="342"/>
      <c r="F47" s="70">
        <f t="shared" si="0"/>
        <v>0</v>
      </c>
      <c r="G47" s="278"/>
      <c r="H47" s="279"/>
      <c r="I47" s="248">
        <f t="shared" si="6"/>
        <v>-0.29500000000007276</v>
      </c>
      <c r="J47" s="249">
        <f t="shared" si="3"/>
        <v>0</v>
      </c>
      <c r="K47" s="61">
        <f t="shared" si="1"/>
        <v>0</v>
      </c>
    </row>
    <row r="48" spans="1:11" x14ac:dyDescent="0.25">
      <c r="A48" s="2"/>
      <c r="B48" s="84"/>
      <c r="C48" s="276"/>
      <c r="D48" s="196">
        <f t="shared" si="5"/>
        <v>0</v>
      </c>
      <c r="E48" s="342"/>
      <c r="F48" s="70">
        <f t="shared" si="0"/>
        <v>0</v>
      </c>
      <c r="G48" s="278"/>
      <c r="H48" s="279"/>
      <c r="I48" s="248">
        <f t="shared" si="6"/>
        <v>-0.29500000000007276</v>
      </c>
      <c r="J48" s="249">
        <f t="shared" si="3"/>
        <v>0</v>
      </c>
      <c r="K48" s="61">
        <f t="shared" si="1"/>
        <v>0</v>
      </c>
    </row>
    <row r="49" spans="1:11" x14ac:dyDescent="0.25">
      <c r="A49" s="2"/>
      <c r="B49" s="84"/>
      <c r="C49" s="276"/>
      <c r="D49" s="196">
        <f t="shared" si="5"/>
        <v>0</v>
      </c>
      <c r="E49" s="342"/>
      <c r="F49" s="70">
        <f t="shared" si="0"/>
        <v>0</v>
      </c>
      <c r="G49" s="278"/>
      <c r="H49" s="279"/>
      <c r="I49" s="248">
        <f t="shared" si="6"/>
        <v>-0.29500000000007276</v>
      </c>
      <c r="J49" s="249">
        <f t="shared" si="3"/>
        <v>0</v>
      </c>
      <c r="K49" s="61">
        <f t="shared" si="1"/>
        <v>0</v>
      </c>
    </row>
    <row r="50" spans="1:11" x14ac:dyDescent="0.25">
      <c r="A50" s="2"/>
      <c r="B50" s="84"/>
      <c r="C50" s="276"/>
      <c r="D50" s="196">
        <f t="shared" si="5"/>
        <v>0</v>
      </c>
      <c r="E50" s="342"/>
      <c r="F50" s="70">
        <f t="shared" si="0"/>
        <v>0</v>
      </c>
      <c r="G50" s="278"/>
      <c r="H50" s="279"/>
      <c r="I50" s="248">
        <f t="shared" si="6"/>
        <v>-0.29500000000007276</v>
      </c>
      <c r="J50" s="249">
        <f t="shared" si="3"/>
        <v>0</v>
      </c>
      <c r="K50" s="61">
        <f t="shared" si="1"/>
        <v>0</v>
      </c>
    </row>
    <row r="51" spans="1:11" x14ac:dyDescent="0.25">
      <c r="A51" s="2"/>
      <c r="B51" s="84"/>
      <c r="C51" s="276"/>
      <c r="D51" s="196">
        <f t="shared" si="5"/>
        <v>0</v>
      </c>
      <c r="E51" s="342"/>
      <c r="F51" s="70">
        <f t="shared" si="0"/>
        <v>0</v>
      </c>
      <c r="G51" s="278"/>
      <c r="H51" s="279"/>
      <c r="I51" s="248">
        <f t="shared" si="6"/>
        <v>-0.29500000000007276</v>
      </c>
      <c r="J51" s="249">
        <f t="shared" si="3"/>
        <v>0</v>
      </c>
      <c r="K51" s="61">
        <f t="shared" si="1"/>
        <v>0</v>
      </c>
    </row>
    <row r="52" spans="1:11" ht="15.75" thickBot="1" x14ac:dyDescent="0.3">
      <c r="A52" s="4"/>
      <c r="B52" s="84">
        <v>15</v>
      </c>
      <c r="C52" s="37"/>
      <c r="D52" s="208">
        <f>C52*B33</f>
        <v>0</v>
      </c>
      <c r="E52" s="356"/>
      <c r="F52" s="161">
        <f t="shared" ref="F52" si="7">D52</f>
        <v>0</v>
      </c>
      <c r="G52" s="145"/>
      <c r="H52" s="72"/>
      <c r="K52" s="61">
        <f t="shared" si="1"/>
        <v>0</v>
      </c>
    </row>
    <row r="53" spans="1:11" ht="16.5" thickTop="1" thickBot="1" x14ac:dyDescent="0.3">
      <c r="C53" s="91">
        <f>SUM(C8:C52)</f>
        <v>222</v>
      </c>
      <c r="D53" s="48">
        <f>SUM(D10:D52)</f>
        <v>516.41499999999996</v>
      </c>
      <c r="E53" s="38"/>
      <c r="F53" s="5">
        <f>SUM(F8:F52)</f>
        <v>2740.5349999999999</v>
      </c>
      <c r="K53" s="61">
        <f t="shared" si="1"/>
        <v>0</v>
      </c>
    </row>
    <row r="54" spans="1:11" ht="15.75" thickBot="1" x14ac:dyDescent="0.3">
      <c r="A54" s="51"/>
      <c r="D54" s="115" t="s">
        <v>4</v>
      </c>
      <c r="E54" s="69">
        <f>F4+F5+F6-+C53</f>
        <v>0</v>
      </c>
      <c r="K54" s="61">
        <f t="shared" si="1"/>
        <v>0</v>
      </c>
    </row>
    <row r="55" spans="1:11" ht="15.75" thickBot="1" x14ac:dyDescent="0.3">
      <c r="A55" s="123"/>
    </row>
    <row r="56" spans="1:11" ht="16.5" thickTop="1" thickBot="1" x14ac:dyDescent="0.3">
      <c r="A56" s="47"/>
      <c r="C56" s="1194" t="s">
        <v>11</v>
      </c>
      <c r="D56" s="1195"/>
      <c r="E56" s="152">
        <f>E5+E4+E6+-F53</f>
        <v>-0.29500000000007276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Q1" zoomScaleNormal="100" workbookViewId="0">
      <selection activeCell="NF1" sqref="NF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27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27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27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27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27" bestFit="1" customWidth="1"/>
    <col min="80" max="80" width="13.85546875" style="627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27" customWidth="1"/>
    <col min="90" max="90" width="11.42578125" style="627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27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27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27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27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27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27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27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27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27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4" width="11.42578125" style="76"/>
    <col min="185" max="185" width="14.140625" style="76" bestFit="1" customWidth="1"/>
    <col min="186" max="186" width="11.42578125" style="76"/>
    <col min="187" max="187" width="12.85546875" style="76" bestFit="1" customWidth="1"/>
    <col min="188" max="188" width="11.42578125" style="76"/>
    <col min="189" max="189" width="16" style="627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27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27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27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27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27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27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27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27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27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27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27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27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27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27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13.85546875" style="76" customWidth="1"/>
    <col min="341" max="341" width="27.85546875" style="76" bestFit="1" customWidth="1"/>
    <col min="342" max="342" width="18.5703125" style="76" customWidth="1"/>
    <col min="343" max="343" width="13.28515625" style="76" bestFit="1" customWidth="1"/>
    <col min="344" max="344" width="11" style="76" bestFit="1" customWidth="1"/>
    <col min="345" max="345" width="11.42578125" style="76" customWidth="1"/>
    <col min="346" max="346" width="10.5703125" style="76" bestFit="1" customWidth="1"/>
    <col min="347" max="347" width="12.85546875" style="76" bestFit="1" customWidth="1"/>
    <col min="348" max="348" width="9.5703125" style="76" bestFit="1" customWidth="1"/>
    <col min="349" max="349" width="15.5703125" style="76" customWidth="1"/>
    <col min="350" max="350" width="11" style="76" customWidth="1"/>
    <col min="351" max="351" width="28.5703125" style="76" bestFit="1" customWidth="1"/>
    <col min="352" max="352" width="18.28515625" style="76" customWidth="1"/>
    <col min="353" max="353" width="13.28515625" style="76" bestFit="1" customWidth="1"/>
    <col min="354" max="358" width="11.42578125" style="76"/>
    <col min="359" max="359" width="17.140625" style="76" customWidth="1"/>
    <col min="360" max="360" width="11.42578125" style="76"/>
    <col min="361" max="361" width="31.28515625" style="76" bestFit="1" customWidth="1"/>
    <col min="362" max="362" width="17.7109375" style="76" bestFit="1" customWidth="1"/>
    <col min="363" max="363" width="13.28515625" style="76" bestFit="1" customWidth="1"/>
    <col min="364" max="368" width="11.42578125" style="76"/>
    <col min="369" max="369" width="15.7109375" style="76" customWidth="1"/>
    <col min="370" max="370" width="11.42578125" style="76"/>
    <col min="371" max="371" width="28.5703125" style="76" bestFit="1" customWidth="1"/>
    <col min="372" max="372" width="17.7109375" style="76" bestFit="1" customWidth="1"/>
    <col min="373" max="373" width="12.28515625" style="76" bestFit="1" customWidth="1"/>
    <col min="374" max="376" width="11.42578125" style="76"/>
    <col min="377" max="377" width="11.85546875" style="76" bestFit="1" customWidth="1"/>
    <col min="378" max="378" width="11.42578125" style="76"/>
    <col min="379" max="379" width="16" style="76" customWidth="1"/>
    <col min="380" max="380" width="11.42578125" style="76"/>
    <col min="381" max="381" width="28.5703125" style="76" bestFit="1" customWidth="1"/>
    <col min="382" max="382" width="17.7109375" style="76" bestFit="1" customWidth="1"/>
    <col min="383" max="383" width="13" style="76" customWidth="1"/>
    <col min="384" max="388" width="11.42578125" style="76"/>
    <col min="389" max="389" width="13.85546875" style="76" customWidth="1"/>
    <col min="390" max="390" width="11.42578125" style="76"/>
    <col min="391" max="391" width="28.5703125" style="76" bestFit="1" customWidth="1"/>
    <col min="392" max="392" width="16.28515625" style="76" bestFit="1" customWidth="1"/>
    <col min="393" max="393" width="13.28515625" style="76" bestFit="1" customWidth="1"/>
    <col min="394" max="396" width="11.42578125" style="76"/>
    <col min="397" max="397" width="11.85546875" style="76" bestFit="1" customWidth="1"/>
    <col min="398" max="398" width="11.42578125" style="76"/>
    <col min="399" max="399" width="16.5703125" style="76" customWidth="1"/>
    <col min="400" max="400" width="11.42578125" style="76"/>
    <col min="401" max="401" width="28.5703125" style="76" bestFit="1" customWidth="1"/>
    <col min="402" max="402" width="16.28515625" style="76" bestFit="1" customWidth="1"/>
    <col min="403" max="403" width="11.42578125" style="76"/>
    <col min="404" max="404" width="11.28515625" style="76" customWidth="1"/>
    <col min="405" max="408" width="11.42578125" style="76"/>
    <col min="409" max="409" width="16.85546875" style="76" customWidth="1"/>
    <col min="410" max="410" width="11.42578125" style="76"/>
    <col min="411" max="411" width="28.5703125" style="76" bestFit="1" customWidth="1"/>
    <col min="412" max="412" width="17" style="76" customWidth="1"/>
    <col min="413" max="413" width="14.7109375" style="76" customWidth="1"/>
    <col min="414" max="414" width="11.28515625" style="76" customWidth="1"/>
    <col min="415" max="416" width="11.42578125" style="76"/>
    <col min="417" max="417" width="13.5703125" style="76" bestFit="1" customWidth="1"/>
    <col min="418" max="418" width="11.42578125" style="76"/>
    <col min="419" max="419" width="15.85546875" style="76" customWidth="1"/>
    <col min="420" max="420" width="11.42578125" style="76"/>
    <col min="421" max="421" width="28.5703125" style="76" bestFit="1" customWidth="1"/>
    <col min="422" max="422" width="17.7109375" style="76" bestFit="1" customWidth="1"/>
    <col min="423" max="423" width="12.28515625" style="76" bestFit="1" customWidth="1"/>
    <col min="424" max="424" width="11.28515625" style="76" customWidth="1"/>
    <col min="425" max="430" width="11.42578125" style="76"/>
    <col min="431" max="431" width="25.28515625" style="76" bestFit="1" customWidth="1"/>
    <col min="432" max="432" width="16.28515625" style="76" bestFit="1" customWidth="1"/>
    <col min="433" max="433" width="11.42578125" style="76"/>
    <col min="434" max="434" width="11.28515625" style="76" customWidth="1"/>
    <col min="435" max="436" width="11.42578125" style="76"/>
    <col min="437" max="437" width="11.85546875" style="76" bestFit="1" customWidth="1"/>
    <col min="438" max="439" width="11.42578125" style="76"/>
    <col min="440" max="440" width="28.5703125" style="76" bestFit="1" customWidth="1"/>
    <col min="441" max="441" width="16.28515625" style="76" bestFit="1" customWidth="1"/>
    <col min="442" max="442" width="11.42578125" style="76"/>
    <col min="443" max="443" width="11.28515625" style="76" customWidth="1"/>
    <col min="444" max="448" width="11.42578125" style="76"/>
    <col min="449" max="449" width="25.28515625" style="76" bestFit="1" customWidth="1"/>
    <col min="450" max="450" width="16.28515625" style="76" bestFit="1" customWidth="1"/>
    <col min="451" max="451" width="11.42578125" style="76"/>
    <col min="452" max="452" width="11.28515625" style="76" customWidth="1"/>
    <col min="453" max="457" width="11.42578125" style="76"/>
    <col min="458" max="458" width="25.28515625" style="76" bestFit="1" customWidth="1"/>
    <col min="459" max="459" width="16.28515625" style="76" bestFit="1" customWidth="1"/>
    <col min="460" max="460" width="14.42578125" style="76" customWidth="1"/>
    <col min="461" max="461" width="11.28515625" style="76" customWidth="1"/>
    <col min="462" max="466" width="11.42578125" style="76"/>
    <col min="467" max="467" width="25.28515625" style="76" bestFit="1" customWidth="1"/>
    <col min="468" max="468" width="17.7109375" style="76" bestFit="1" customWidth="1"/>
    <col min="469" max="469" width="11.42578125" style="76"/>
    <col min="470" max="470" width="11.28515625" style="76" customWidth="1"/>
    <col min="471" max="475" width="11.42578125" style="76"/>
    <col min="476" max="476" width="25.28515625" style="76" bestFit="1" customWidth="1"/>
    <col min="477" max="477" width="16.28515625" style="76" bestFit="1" customWidth="1"/>
    <col min="478" max="478" width="11.42578125" style="76"/>
    <col min="479" max="479" width="11.28515625" style="76" customWidth="1"/>
    <col min="480" max="484" width="11.42578125" style="76"/>
    <col min="485" max="485" width="25.28515625" style="76" bestFit="1" customWidth="1"/>
    <col min="486" max="486" width="16.28515625" style="76" bestFit="1" customWidth="1"/>
    <col min="487" max="487" width="11.42578125" style="76"/>
    <col min="488" max="488" width="11.28515625" style="76" customWidth="1"/>
    <col min="489" max="493" width="11.42578125" style="76"/>
    <col min="494" max="494" width="25.28515625" style="76" bestFit="1" customWidth="1"/>
    <col min="495" max="495" width="17.7109375" style="76" bestFit="1" customWidth="1"/>
    <col min="496" max="496" width="11.42578125" style="76"/>
    <col min="497" max="497" width="11.28515625" style="76" customWidth="1"/>
    <col min="498" max="499" width="11.42578125" style="76"/>
    <col min="500" max="500" width="11.85546875" style="76" bestFit="1" customWidth="1"/>
    <col min="501" max="502" width="11.42578125" style="76"/>
    <col min="503" max="503" width="26.7109375" style="76" customWidth="1"/>
    <col min="504" max="504" width="16.28515625" style="76" bestFit="1" customWidth="1"/>
    <col min="505" max="505" width="11.42578125" style="76"/>
    <col min="506" max="506" width="11.28515625" style="76" customWidth="1"/>
    <col min="507" max="511" width="11.42578125" style="76"/>
    <col min="512" max="512" width="25.28515625" style="76" bestFit="1" customWidth="1"/>
    <col min="513" max="513" width="16.28515625" style="76" bestFit="1" customWidth="1"/>
    <col min="514" max="514" width="11.42578125" style="76"/>
    <col min="515" max="515" width="11.28515625" style="76" customWidth="1"/>
    <col min="516" max="520" width="11.42578125" style="76"/>
    <col min="521" max="521" width="25.28515625" style="76" bestFit="1" customWidth="1"/>
    <col min="522" max="522" width="16.28515625" style="76" bestFit="1" customWidth="1"/>
    <col min="523" max="523" width="11.42578125" style="76"/>
    <col min="524" max="524" width="11.28515625" style="76" customWidth="1"/>
    <col min="525" max="529" width="11.42578125" style="76"/>
    <col min="530" max="530" width="28.5703125" style="76" bestFit="1" customWidth="1"/>
    <col min="531" max="531" width="16.28515625" style="76" bestFit="1" customWidth="1"/>
    <col min="532" max="532" width="11.42578125" style="76"/>
    <col min="533" max="533" width="11.28515625" style="76" customWidth="1"/>
    <col min="534" max="538" width="11.42578125" style="76"/>
    <col min="539" max="539" width="25.28515625" style="76" bestFit="1" customWidth="1"/>
    <col min="540" max="540" width="16.28515625" style="76" bestFit="1" customWidth="1"/>
    <col min="541" max="541" width="11.42578125" style="76"/>
    <col min="542" max="542" width="11.28515625" style="76" customWidth="1"/>
    <col min="543" max="547" width="11.42578125" style="76"/>
    <col min="548" max="548" width="25.28515625" style="76" bestFit="1" customWidth="1"/>
    <col min="549" max="549" width="16.28515625" style="76" bestFit="1" customWidth="1"/>
    <col min="550" max="550" width="11.42578125" style="76"/>
    <col min="551" max="551" width="11.28515625" style="76" customWidth="1"/>
    <col min="552" max="556" width="11.42578125" style="76"/>
    <col min="557" max="557" width="28.5703125" style="76" bestFit="1" customWidth="1"/>
    <col min="558" max="558" width="16.28515625" style="76" bestFit="1" customWidth="1"/>
    <col min="559" max="559" width="11.42578125" style="76"/>
    <col min="560" max="560" width="11.28515625" style="76" customWidth="1"/>
    <col min="561" max="565" width="11.42578125" style="76"/>
    <col min="566" max="566" width="25.28515625" style="76" bestFit="1" customWidth="1"/>
    <col min="567" max="567" width="16.28515625" style="76" bestFit="1" customWidth="1"/>
    <col min="568" max="568" width="11.42578125" style="76"/>
    <col min="569" max="569" width="11.28515625" style="76" customWidth="1"/>
    <col min="570" max="574" width="11.42578125" style="76"/>
    <col min="575" max="575" width="28.42578125" style="76" customWidth="1"/>
    <col min="576" max="576" width="16.28515625" style="76" bestFit="1" customWidth="1"/>
    <col min="577" max="577" width="11.42578125" style="76"/>
    <col min="578" max="578" width="11.28515625" style="76" customWidth="1"/>
    <col min="579" max="583" width="11.42578125" style="76"/>
    <col min="584" max="584" width="25.28515625" style="76" bestFit="1" customWidth="1"/>
    <col min="585" max="585" width="16.28515625" style="76" bestFit="1" customWidth="1"/>
    <col min="586" max="586" width="11.42578125" style="76"/>
    <col min="587" max="587" width="11.28515625" style="76" customWidth="1"/>
    <col min="588" max="592" width="11.42578125" style="76"/>
    <col min="593" max="593" width="25.28515625" style="76" bestFit="1" customWidth="1"/>
    <col min="594" max="594" width="16.28515625" style="76" bestFit="1" customWidth="1"/>
    <col min="595" max="595" width="11.42578125" style="76"/>
    <col min="596" max="596" width="11.28515625" style="76" customWidth="1"/>
    <col min="597" max="601" width="11.42578125" style="76"/>
    <col min="602" max="602" width="25.28515625" style="76" bestFit="1" customWidth="1"/>
    <col min="603" max="603" width="16.28515625" style="76" bestFit="1" customWidth="1"/>
    <col min="604" max="604" width="11.42578125" style="76"/>
    <col min="605" max="605" width="11.28515625" style="76" customWidth="1"/>
    <col min="606" max="610" width="11.42578125" style="76"/>
    <col min="611" max="611" width="25.28515625" style="76" bestFit="1" customWidth="1"/>
    <col min="612" max="612" width="16.28515625" style="76" bestFit="1" customWidth="1"/>
    <col min="613" max="613" width="11.42578125" style="76"/>
    <col min="614" max="614" width="11.28515625" style="76" customWidth="1"/>
    <col min="615" max="619" width="11.42578125" style="76"/>
    <col min="620" max="620" width="25.28515625" style="76" bestFit="1" customWidth="1"/>
    <col min="621" max="621" width="16.28515625" style="76" bestFit="1" customWidth="1"/>
    <col min="622" max="622" width="11.42578125" style="76"/>
    <col min="623" max="623" width="11.28515625" style="76" customWidth="1"/>
    <col min="624" max="628" width="11.42578125" style="76"/>
    <col min="629" max="629" width="25.28515625" style="76" bestFit="1" customWidth="1"/>
    <col min="630" max="630" width="16.28515625" style="76" bestFit="1" customWidth="1"/>
    <col min="631" max="631" width="11.42578125" style="76"/>
    <col min="632" max="632" width="11.28515625" style="76" customWidth="1"/>
    <col min="633" max="637" width="11.42578125" style="76"/>
    <col min="638" max="638" width="25.28515625" style="76" bestFit="1" customWidth="1"/>
    <col min="639" max="639" width="16.28515625" style="76" bestFit="1" customWidth="1"/>
    <col min="640" max="640" width="11.42578125" style="76"/>
    <col min="641" max="641" width="11.28515625" style="76" customWidth="1"/>
    <col min="642" max="646" width="11.42578125" style="76"/>
    <col min="647" max="647" width="25.28515625" style="76" bestFit="1" customWidth="1"/>
    <col min="648" max="648" width="16.28515625" style="76" bestFit="1" customWidth="1"/>
    <col min="649" max="649" width="11.42578125" style="76"/>
    <col min="650" max="650" width="11.28515625" style="76" customWidth="1"/>
    <col min="651" max="655" width="11.42578125" style="76"/>
    <col min="656" max="656" width="29.42578125" style="76" customWidth="1"/>
    <col min="657" max="657" width="16.28515625" style="76" bestFit="1" customWidth="1"/>
    <col min="658" max="658" width="11.42578125" style="76"/>
    <col min="659" max="659" width="11.28515625" style="76" customWidth="1"/>
    <col min="660" max="664" width="11.42578125" style="76"/>
    <col min="665" max="665" width="25.28515625" style="76" bestFit="1" customWidth="1"/>
    <col min="666" max="666" width="16.28515625" style="76" bestFit="1" customWidth="1"/>
    <col min="667" max="667" width="11.42578125" style="76"/>
    <col min="668" max="668" width="11.28515625" style="76" customWidth="1"/>
    <col min="669" max="673" width="11.42578125" style="76"/>
    <col min="674" max="674" width="25.28515625" style="76" bestFit="1" customWidth="1"/>
    <col min="675" max="675" width="16.28515625" style="76" bestFit="1" customWidth="1"/>
    <col min="676" max="676" width="11.42578125" style="76"/>
    <col min="677" max="677" width="11.28515625" style="76" customWidth="1"/>
    <col min="678" max="682" width="11.42578125" style="76"/>
    <col min="683" max="683" width="25.28515625" style="76" bestFit="1" customWidth="1"/>
    <col min="684" max="684" width="16.28515625" style="76" bestFit="1" customWidth="1"/>
    <col min="685" max="685" width="11.42578125" style="76"/>
    <col min="686" max="686" width="11.28515625" style="76" customWidth="1"/>
    <col min="687" max="691" width="11.42578125" style="76"/>
    <col min="692" max="692" width="25.28515625" style="76" bestFit="1" customWidth="1"/>
    <col min="693" max="693" width="16.28515625" style="76" bestFit="1" customWidth="1"/>
    <col min="694" max="694" width="11.42578125" style="76"/>
    <col min="695" max="695" width="11.28515625" style="76" customWidth="1"/>
    <col min="696" max="700" width="11.42578125" style="76"/>
    <col min="701" max="701" width="25.28515625" style="76" bestFit="1" customWidth="1"/>
    <col min="702" max="702" width="16.28515625" style="76" bestFit="1" customWidth="1"/>
    <col min="703" max="703" width="11.42578125" style="76"/>
    <col min="704" max="704" width="11.28515625" style="76" customWidth="1"/>
    <col min="705" max="709" width="11.42578125" style="76"/>
    <col min="710" max="710" width="25.28515625" style="76" bestFit="1" customWidth="1"/>
    <col min="711" max="711" width="16.28515625" style="76" bestFit="1" customWidth="1"/>
    <col min="712" max="712" width="11.42578125" style="76"/>
    <col min="713" max="713" width="11.28515625" style="76" customWidth="1"/>
    <col min="714" max="718" width="11.42578125" style="76"/>
    <col min="719" max="719" width="25.28515625" style="76" bestFit="1" customWidth="1"/>
    <col min="720" max="720" width="16.28515625" style="76" bestFit="1" customWidth="1"/>
    <col min="721" max="721" width="11.42578125" style="76"/>
    <col min="722" max="722" width="11.28515625" style="76" customWidth="1"/>
    <col min="723" max="727" width="11.42578125" style="76"/>
    <col min="728" max="728" width="25.28515625" style="76" bestFit="1" customWidth="1"/>
    <col min="729" max="729" width="16.28515625" style="76" bestFit="1" customWidth="1"/>
    <col min="730" max="730" width="11.42578125" style="76"/>
    <col min="731" max="731" width="11.28515625" style="76" customWidth="1"/>
    <col min="732" max="736" width="11.42578125" style="76"/>
    <col min="737" max="737" width="25.28515625" style="76" bestFit="1" customWidth="1"/>
    <col min="738" max="738" width="16.28515625" style="76" bestFit="1" customWidth="1"/>
    <col min="739" max="739" width="11.42578125" style="76"/>
    <col min="740" max="740" width="11.28515625" style="76" customWidth="1"/>
    <col min="741" max="745" width="11.42578125" style="76"/>
    <col min="746" max="746" width="25.28515625" style="76" bestFit="1" customWidth="1"/>
    <col min="747" max="747" width="16.28515625" style="76" bestFit="1" customWidth="1"/>
    <col min="748" max="748" width="11.42578125" style="76"/>
    <col min="749" max="749" width="11.28515625" style="76" customWidth="1"/>
    <col min="750" max="754" width="11.42578125" style="76"/>
    <col min="755" max="755" width="25.28515625" style="76" bestFit="1" customWidth="1"/>
    <col min="756" max="756" width="16.28515625" style="76" bestFit="1" customWidth="1"/>
    <col min="757" max="757" width="11.42578125" style="76"/>
    <col min="758" max="758" width="11.28515625" style="76" customWidth="1"/>
    <col min="759" max="763" width="11.42578125" style="76"/>
    <col min="764" max="764" width="25.28515625" style="76" bestFit="1" customWidth="1"/>
    <col min="765" max="765" width="16.28515625" style="76" bestFit="1" customWidth="1"/>
    <col min="766" max="766" width="11.42578125" style="76"/>
    <col min="767" max="767" width="11.28515625" style="76" customWidth="1"/>
    <col min="768" max="772" width="11.42578125" style="76"/>
    <col min="773" max="773" width="25.28515625" style="76" bestFit="1" customWidth="1"/>
    <col min="774" max="774" width="16.28515625" style="76" bestFit="1" customWidth="1"/>
    <col min="775" max="775" width="11.42578125" style="76"/>
    <col min="776" max="776" width="11.28515625" style="76" customWidth="1"/>
    <col min="777" max="781" width="11.42578125" style="76"/>
    <col min="782" max="782" width="25.28515625" style="76" bestFit="1" customWidth="1"/>
    <col min="783" max="783" width="16.28515625" style="76" bestFit="1" customWidth="1"/>
    <col min="784" max="784" width="11.42578125" style="76"/>
    <col min="785" max="785" width="11.28515625" style="76" customWidth="1"/>
    <col min="786" max="790" width="11.42578125" style="76"/>
    <col min="791" max="791" width="25.28515625" style="76" bestFit="1" customWidth="1"/>
    <col min="792" max="792" width="16.28515625" style="76" bestFit="1" customWidth="1"/>
    <col min="793" max="793" width="11.42578125" style="76"/>
    <col min="794" max="794" width="11.28515625" style="76" customWidth="1"/>
    <col min="795" max="799" width="11.42578125" style="76"/>
    <col min="800" max="800" width="25.28515625" style="76" bestFit="1" customWidth="1"/>
    <col min="801" max="801" width="16.28515625" style="76" bestFit="1" customWidth="1"/>
    <col min="802" max="802" width="11.42578125" style="76"/>
    <col min="803" max="803" width="11.28515625" style="76" customWidth="1"/>
    <col min="804" max="808" width="11.42578125" style="76"/>
    <col min="809" max="809" width="25.28515625" style="76" bestFit="1" customWidth="1"/>
    <col min="810" max="810" width="16.28515625" style="76" bestFit="1" customWidth="1"/>
    <col min="811" max="811" width="11.42578125" style="76"/>
    <col min="812" max="812" width="11.28515625" style="76" customWidth="1"/>
    <col min="813" max="817" width="11.42578125" style="76"/>
    <col min="818" max="818" width="25.28515625" style="76" bestFit="1" customWidth="1"/>
    <col min="819" max="819" width="16.28515625" style="76" bestFit="1" customWidth="1"/>
    <col min="820" max="820" width="11.42578125" style="76"/>
    <col min="821" max="821" width="11.28515625" style="76" customWidth="1"/>
    <col min="822" max="16384" width="11.42578125" style="76"/>
  </cols>
  <sheetData>
    <row r="1" spans="1:825" ht="36.75" customHeight="1" thickBot="1" x14ac:dyDescent="0.55000000000000004">
      <c r="B1" s="374" t="s">
        <v>35</v>
      </c>
      <c r="C1" s="375"/>
      <c r="D1" s="375"/>
      <c r="E1" s="366"/>
      <c r="F1" s="376"/>
      <c r="G1" s="377"/>
      <c r="H1" s="377"/>
      <c r="I1" s="377"/>
      <c r="K1" s="1168" t="s">
        <v>252</v>
      </c>
      <c r="L1" s="1168"/>
      <c r="M1" s="1168"/>
      <c r="N1" s="1168"/>
      <c r="O1" s="1168"/>
      <c r="P1" s="1168"/>
      <c r="Q1" s="1168"/>
      <c r="R1" s="378">
        <f>I1+1</f>
        <v>1</v>
      </c>
      <c r="S1" s="378"/>
      <c r="U1" s="1162" t="str">
        <f>K1</f>
        <v>ENTRADAS DEL MES DE   DICIEMBRE      2021</v>
      </c>
      <c r="V1" s="1162"/>
      <c r="W1" s="1162"/>
      <c r="X1" s="1162"/>
      <c r="Y1" s="1162"/>
      <c r="Z1" s="1162"/>
      <c r="AA1" s="1162"/>
      <c r="AB1" s="378">
        <f>R1+1</f>
        <v>2</v>
      </c>
      <c r="AC1" s="631"/>
      <c r="AE1" s="1162" t="str">
        <f>U1</f>
        <v>ENTRADAS DEL MES DE   DICIEMBRE      2021</v>
      </c>
      <c r="AF1" s="1162"/>
      <c r="AG1" s="1162"/>
      <c r="AH1" s="1162"/>
      <c r="AI1" s="1162"/>
      <c r="AJ1" s="1162"/>
      <c r="AK1" s="1162"/>
      <c r="AL1" s="378">
        <f>AB1+1</f>
        <v>3</v>
      </c>
      <c r="AM1" s="378"/>
      <c r="AO1" s="1162" t="str">
        <f>AE1</f>
        <v>ENTRADAS DEL MES DE   DICIEMBRE      2021</v>
      </c>
      <c r="AP1" s="1162"/>
      <c r="AQ1" s="1162"/>
      <c r="AR1" s="1162"/>
      <c r="AS1" s="1162"/>
      <c r="AT1" s="1162"/>
      <c r="AU1" s="1162"/>
      <c r="AV1" s="378">
        <f>AL1+1</f>
        <v>4</v>
      </c>
      <c r="AW1" s="631"/>
      <c r="AY1" s="1162" t="str">
        <f>AO1</f>
        <v>ENTRADAS DEL MES DE   DICIEMBRE      2021</v>
      </c>
      <c r="AZ1" s="1162"/>
      <c r="BA1" s="1162"/>
      <c r="BB1" s="1162"/>
      <c r="BC1" s="1162"/>
      <c r="BD1" s="1162"/>
      <c r="BE1" s="1162"/>
      <c r="BF1" s="378">
        <f>AV1+1</f>
        <v>5</v>
      </c>
      <c r="BG1" s="672"/>
      <c r="BI1" s="1162" t="str">
        <f>AY1</f>
        <v>ENTRADAS DEL MES DE   DICIEMBRE      2021</v>
      </c>
      <c r="BJ1" s="1162"/>
      <c r="BK1" s="1162"/>
      <c r="BL1" s="1162"/>
      <c r="BM1" s="1162"/>
      <c r="BN1" s="1162"/>
      <c r="BO1" s="1162"/>
      <c r="BP1" s="378">
        <f>BF1+1</f>
        <v>6</v>
      </c>
      <c r="BQ1" s="631"/>
      <c r="BS1" s="1162" t="str">
        <f>BI1</f>
        <v>ENTRADAS DEL MES DE   DICIEMBRE      2021</v>
      </c>
      <c r="BT1" s="1162"/>
      <c r="BU1" s="1162"/>
      <c r="BV1" s="1162"/>
      <c r="BW1" s="1162"/>
      <c r="BX1" s="1162"/>
      <c r="BY1" s="1162"/>
      <c r="BZ1" s="378">
        <f>BP1+1</f>
        <v>7</v>
      </c>
      <c r="CC1" s="1162" t="str">
        <f>BS1</f>
        <v>ENTRADAS DEL MES DE   DICIEMBRE      2021</v>
      </c>
      <c r="CD1" s="1162"/>
      <c r="CE1" s="1162"/>
      <c r="CF1" s="1162"/>
      <c r="CG1" s="1162"/>
      <c r="CH1" s="1162"/>
      <c r="CI1" s="1162"/>
      <c r="CJ1" s="378">
        <f>BZ1+1</f>
        <v>8</v>
      </c>
      <c r="CM1" s="1162" t="str">
        <f>CC1</f>
        <v>ENTRADAS DEL MES DE   DICIEMBRE      2021</v>
      </c>
      <c r="CN1" s="1162"/>
      <c r="CO1" s="1162"/>
      <c r="CP1" s="1162"/>
      <c r="CQ1" s="1162"/>
      <c r="CR1" s="1162"/>
      <c r="CS1" s="1162"/>
      <c r="CT1" s="378">
        <f>CJ1+1</f>
        <v>9</v>
      </c>
      <c r="CU1" s="631"/>
      <c r="CW1" s="1162" t="str">
        <f>CM1</f>
        <v>ENTRADAS DEL MES DE   DICIEMBRE      2021</v>
      </c>
      <c r="CX1" s="1162"/>
      <c r="CY1" s="1162"/>
      <c r="CZ1" s="1162"/>
      <c r="DA1" s="1162"/>
      <c r="DB1" s="1162"/>
      <c r="DC1" s="1162"/>
      <c r="DD1" s="378">
        <f>CT1+1</f>
        <v>10</v>
      </c>
      <c r="DE1" s="631"/>
      <c r="DG1" s="1162" t="str">
        <f>CW1</f>
        <v>ENTRADAS DEL MES DE   DICIEMBRE      2021</v>
      </c>
      <c r="DH1" s="1162"/>
      <c r="DI1" s="1162"/>
      <c r="DJ1" s="1162"/>
      <c r="DK1" s="1162"/>
      <c r="DL1" s="1162"/>
      <c r="DM1" s="1162"/>
      <c r="DN1" s="378">
        <f>DD1+1</f>
        <v>11</v>
      </c>
      <c r="DO1" s="631"/>
      <c r="DQ1" s="1162" t="str">
        <f>DG1</f>
        <v>ENTRADAS DEL MES DE   DICIEMBRE      2021</v>
      </c>
      <c r="DR1" s="1162"/>
      <c r="DS1" s="1162"/>
      <c r="DT1" s="1162"/>
      <c r="DU1" s="1162"/>
      <c r="DV1" s="1162"/>
      <c r="DW1" s="1162"/>
      <c r="DX1" s="378">
        <f>DN1+1</f>
        <v>12</v>
      </c>
      <c r="EA1" s="1162" t="str">
        <f>DQ1</f>
        <v>ENTRADAS DEL MES DE   DICIEMBRE      2021</v>
      </c>
      <c r="EB1" s="1162"/>
      <c r="EC1" s="1162"/>
      <c r="ED1" s="1162"/>
      <c r="EE1" s="1162"/>
      <c r="EF1" s="1162"/>
      <c r="EG1" s="1162"/>
      <c r="EH1" s="378">
        <f>DX1+1</f>
        <v>13</v>
      </c>
      <c r="EI1" s="631"/>
      <c r="EK1" s="1162" t="str">
        <f>EA1</f>
        <v>ENTRADAS DEL MES DE   DICIEMBRE      2021</v>
      </c>
      <c r="EL1" s="1162"/>
      <c r="EM1" s="1162"/>
      <c r="EN1" s="1162"/>
      <c r="EO1" s="1162"/>
      <c r="EP1" s="1162"/>
      <c r="EQ1" s="1162"/>
      <c r="ER1" s="378">
        <f>EH1+1</f>
        <v>14</v>
      </c>
      <c r="ES1" s="631"/>
      <c r="EU1" s="1162" t="str">
        <f>EK1</f>
        <v>ENTRADAS DEL MES DE   DICIEMBRE      2021</v>
      </c>
      <c r="EV1" s="1162"/>
      <c r="EW1" s="1162"/>
      <c r="EX1" s="1162"/>
      <c r="EY1" s="1162"/>
      <c r="EZ1" s="1162"/>
      <c r="FA1" s="1162"/>
      <c r="FB1" s="378">
        <f>ER1+1</f>
        <v>15</v>
      </c>
      <c r="FC1" s="631"/>
      <c r="FE1" s="1162" t="str">
        <f>EU1</f>
        <v>ENTRADAS DEL MES DE   DICIEMBRE      2021</v>
      </c>
      <c r="FF1" s="1162"/>
      <c r="FG1" s="1162"/>
      <c r="FH1" s="1162"/>
      <c r="FI1" s="1162"/>
      <c r="FJ1" s="1162"/>
      <c r="FK1" s="1162"/>
      <c r="FL1" s="378">
        <f>FB1+1</f>
        <v>16</v>
      </c>
      <c r="FM1" s="631"/>
      <c r="FO1" s="1162" t="str">
        <f>FE1</f>
        <v>ENTRADAS DEL MES DE   DICIEMBRE      2021</v>
      </c>
      <c r="FP1" s="1162"/>
      <c r="FQ1" s="1162"/>
      <c r="FR1" s="1162"/>
      <c r="FS1" s="1162"/>
      <c r="FT1" s="1162"/>
      <c r="FU1" s="1162"/>
      <c r="FV1" s="378">
        <f>FL1+1</f>
        <v>17</v>
      </c>
      <c r="FW1" s="631"/>
      <c r="FY1" s="1162" t="str">
        <f>FO1</f>
        <v>ENTRADAS DEL MES DE   DICIEMBRE      2021</v>
      </c>
      <c r="FZ1" s="1162"/>
      <c r="GA1" s="1162"/>
      <c r="GB1" s="1162"/>
      <c r="GC1" s="1162"/>
      <c r="GD1" s="1162"/>
      <c r="GE1" s="1162"/>
      <c r="GF1" s="378">
        <f>FV1+1</f>
        <v>18</v>
      </c>
      <c r="GG1" s="631"/>
      <c r="GH1" s="76" t="s">
        <v>37</v>
      </c>
      <c r="GI1" s="1162" t="str">
        <f>FY1</f>
        <v>ENTRADAS DEL MES DE   DICIEMBRE      2021</v>
      </c>
      <c r="GJ1" s="1162"/>
      <c r="GK1" s="1162"/>
      <c r="GL1" s="1162"/>
      <c r="GM1" s="1162"/>
      <c r="GN1" s="1162"/>
      <c r="GO1" s="1162"/>
      <c r="GP1" s="378">
        <f>GF1+1</f>
        <v>19</v>
      </c>
      <c r="GQ1" s="631"/>
      <c r="GS1" s="1162" t="str">
        <f>GI1</f>
        <v>ENTRADAS DEL MES DE   DICIEMBRE      2021</v>
      </c>
      <c r="GT1" s="1162"/>
      <c r="GU1" s="1162"/>
      <c r="GV1" s="1162"/>
      <c r="GW1" s="1162"/>
      <c r="GX1" s="1162"/>
      <c r="GY1" s="1162"/>
      <c r="GZ1" s="378">
        <f>GP1+1</f>
        <v>20</v>
      </c>
      <c r="HA1" s="631"/>
      <c r="HC1" s="1162" t="str">
        <f>GS1</f>
        <v>ENTRADAS DEL MES DE   DICIEMBRE      2021</v>
      </c>
      <c r="HD1" s="1162"/>
      <c r="HE1" s="1162"/>
      <c r="HF1" s="1162"/>
      <c r="HG1" s="1162"/>
      <c r="HH1" s="1162"/>
      <c r="HI1" s="1162"/>
      <c r="HJ1" s="378">
        <f>GZ1+1</f>
        <v>21</v>
      </c>
      <c r="HK1" s="631"/>
      <c r="HM1" s="1162" t="str">
        <f>HC1</f>
        <v>ENTRADAS DEL MES DE   DICIEMBRE      2021</v>
      </c>
      <c r="HN1" s="1162"/>
      <c r="HO1" s="1162"/>
      <c r="HP1" s="1162"/>
      <c r="HQ1" s="1162"/>
      <c r="HR1" s="1162"/>
      <c r="HS1" s="1162"/>
      <c r="HT1" s="378">
        <f>HJ1+1</f>
        <v>22</v>
      </c>
      <c r="HU1" s="631"/>
      <c r="HW1" s="1162" t="str">
        <f>HM1</f>
        <v>ENTRADAS DEL MES DE   DICIEMBRE      2021</v>
      </c>
      <c r="HX1" s="1162"/>
      <c r="HY1" s="1162"/>
      <c r="HZ1" s="1162"/>
      <c r="IA1" s="1162"/>
      <c r="IB1" s="1162"/>
      <c r="IC1" s="1162"/>
      <c r="ID1" s="378">
        <f>HT1+1</f>
        <v>23</v>
      </c>
      <c r="IE1" s="631"/>
      <c r="IG1" s="1162" t="str">
        <f>HW1</f>
        <v>ENTRADAS DEL MES DE   DICIEMBRE      2021</v>
      </c>
      <c r="IH1" s="1162"/>
      <c r="II1" s="1162"/>
      <c r="IJ1" s="1162"/>
      <c r="IK1" s="1162"/>
      <c r="IL1" s="1162"/>
      <c r="IM1" s="1162"/>
      <c r="IN1" s="378">
        <f>ID1+1</f>
        <v>24</v>
      </c>
      <c r="IO1" s="631"/>
      <c r="IQ1" s="1162" t="str">
        <f>IG1</f>
        <v>ENTRADAS DEL MES DE   DICIEMBRE      2021</v>
      </c>
      <c r="IR1" s="1162"/>
      <c r="IS1" s="1162"/>
      <c r="IT1" s="1162"/>
      <c r="IU1" s="1162"/>
      <c r="IV1" s="1162"/>
      <c r="IW1" s="1162"/>
      <c r="IX1" s="378">
        <f>IN1+1</f>
        <v>25</v>
      </c>
      <c r="IY1" s="631"/>
      <c r="JA1" s="1162" t="str">
        <f>IQ1</f>
        <v>ENTRADAS DEL MES DE   DICIEMBRE      2021</v>
      </c>
      <c r="JB1" s="1162"/>
      <c r="JC1" s="1162"/>
      <c r="JD1" s="1162"/>
      <c r="JE1" s="1162"/>
      <c r="JF1" s="1162"/>
      <c r="JG1" s="1162"/>
      <c r="JH1" s="378">
        <f>IX1+1</f>
        <v>26</v>
      </c>
      <c r="JI1" s="631"/>
      <c r="JK1" s="1163" t="str">
        <f>JA1</f>
        <v>ENTRADAS DEL MES DE   DICIEMBRE      2021</v>
      </c>
      <c r="JL1" s="1163"/>
      <c r="JM1" s="1163"/>
      <c r="JN1" s="1163"/>
      <c r="JO1" s="1163"/>
      <c r="JP1" s="1163"/>
      <c r="JQ1" s="1163"/>
      <c r="JR1" s="378">
        <f>JH1+1</f>
        <v>27</v>
      </c>
      <c r="JS1" s="631"/>
      <c r="JU1" s="1162" t="str">
        <f>JK1</f>
        <v>ENTRADAS DEL MES DE   DICIEMBRE      2021</v>
      </c>
      <c r="JV1" s="1162"/>
      <c r="JW1" s="1162"/>
      <c r="JX1" s="1162"/>
      <c r="JY1" s="1162"/>
      <c r="JZ1" s="1162"/>
      <c r="KA1" s="1162"/>
      <c r="KB1" s="378">
        <f>JR1+1</f>
        <v>28</v>
      </c>
      <c r="KC1" s="631"/>
      <c r="KE1" s="1162" t="str">
        <f>JU1</f>
        <v>ENTRADAS DEL MES DE   DICIEMBRE      2021</v>
      </c>
      <c r="KF1" s="1162"/>
      <c r="KG1" s="1162"/>
      <c r="KH1" s="1162"/>
      <c r="KI1" s="1162"/>
      <c r="KJ1" s="1162"/>
      <c r="KK1" s="1162"/>
      <c r="KL1" s="378">
        <f>KB1+1</f>
        <v>29</v>
      </c>
      <c r="KM1" s="631"/>
      <c r="KO1" s="1162" t="str">
        <f>KE1</f>
        <v>ENTRADAS DEL MES DE   DICIEMBRE      2021</v>
      </c>
      <c r="KP1" s="1162"/>
      <c r="KQ1" s="1162"/>
      <c r="KR1" s="1162"/>
      <c r="KS1" s="1162"/>
      <c r="KT1" s="1162"/>
      <c r="KU1" s="1162"/>
      <c r="KV1" s="378">
        <f>KL1+1</f>
        <v>30</v>
      </c>
      <c r="KW1" s="631"/>
      <c r="KY1" s="1162" t="str">
        <f>KO1</f>
        <v>ENTRADAS DEL MES DE   DICIEMBRE      2021</v>
      </c>
      <c r="KZ1" s="1162"/>
      <c r="LA1" s="1162"/>
      <c r="LB1" s="1162"/>
      <c r="LC1" s="1162"/>
      <c r="LD1" s="1162"/>
      <c r="LE1" s="1162"/>
      <c r="LF1" s="378">
        <f>KV1+1</f>
        <v>31</v>
      </c>
      <c r="LG1" s="631"/>
      <c r="LI1" s="1162" t="str">
        <f>KY1</f>
        <v>ENTRADAS DEL MES DE   DICIEMBRE      2021</v>
      </c>
      <c r="LJ1" s="1162"/>
      <c r="LK1" s="1162"/>
      <c r="LL1" s="1162"/>
      <c r="LM1" s="1162"/>
      <c r="LN1" s="1162"/>
      <c r="LO1" s="1162"/>
      <c r="LP1" s="378">
        <f>LF1+1</f>
        <v>32</v>
      </c>
      <c r="LQ1" s="631"/>
      <c r="LS1" s="1162" t="str">
        <f>LI1</f>
        <v>ENTRADAS DEL MES DE   DICIEMBRE      2021</v>
      </c>
      <c r="LT1" s="1162"/>
      <c r="LU1" s="1162"/>
      <c r="LV1" s="1162"/>
      <c r="LW1" s="1162"/>
      <c r="LX1" s="1162"/>
      <c r="LY1" s="1162"/>
      <c r="LZ1" s="378">
        <f>LP1+1</f>
        <v>33</v>
      </c>
      <c r="MC1" s="1162" t="str">
        <f>LS1</f>
        <v>ENTRADAS DEL MES DE   DICIEMBRE      2021</v>
      </c>
      <c r="MD1" s="1162"/>
      <c r="ME1" s="1162"/>
      <c r="MF1" s="1162"/>
      <c r="MG1" s="1162"/>
      <c r="MH1" s="1162"/>
      <c r="MI1" s="1162"/>
      <c r="MJ1" s="378">
        <f>LZ1+1</f>
        <v>34</v>
      </c>
      <c r="MK1" s="378"/>
      <c r="MM1" s="1162" t="str">
        <f>MC1</f>
        <v>ENTRADAS DEL MES DE   DICIEMBRE      2021</v>
      </c>
      <c r="MN1" s="1162"/>
      <c r="MO1" s="1162"/>
      <c r="MP1" s="1162"/>
      <c r="MQ1" s="1162"/>
      <c r="MR1" s="1162"/>
      <c r="MS1" s="1162"/>
      <c r="MT1" s="378">
        <f>MJ1+1</f>
        <v>35</v>
      </c>
      <c r="MU1" s="378"/>
      <c r="MW1" s="1162" t="str">
        <f>MM1</f>
        <v>ENTRADAS DEL MES DE   DICIEMBRE      2021</v>
      </c>
      <c r="MX1" s="1162"/>
      <c r="MY1" s="1162"/>
      <c r="MZ1" s="1162"/>
      <c r="NA1" s="1162"/>
      <c r="NB1" s="1162"/>
      <c r="NC1" s="1162"/>
      <c r="ND1" s="378">
        <f>MT1+1</f>
        <v>36</v>
      </c>
      <c r="NE1" s="378"/>
      <c r="NG1" s="1162" t="str">
        <f>MW1</f>
        <v>ENTRADAS DEL MES DE   DICIEMBRE      2021</v>
      </c>
      <c r="NH1" s="1162"/>
      <c r="NI1" s="1162"/>
      <c r="NJ1" s="1162"/>
      <c r="NK1" s="1162"/>
      <c r="NL1" s="1162"/>
      <c r="NM1" s="1162"/>
      <c r="NN1" s="378">
        <f>ND1+1</f>
        <v>37</v>
      </c>
      <c r="NO1" s="378"/>
      <c r="NQ1" s="1162" t="str">
        <f>NG1</f>
        <v>ENTRADAS DEL MES DE   DICIEMBRE      2021</v>
      </c>
      <c r="NR1" s="1162"/>
      <c r="NS1" s="1162"/>
      <c r="NT1" s="1162"/>
      <c r="NU1" s="1162"/>
      <c r="NV1" s="1162"/>
      <c r="NW1" s="1162"/>
      <c r="NX1" s="378">
        <f>NN1+1</f>
        <v>38</v>
      </c>
      <c r="NY1" s="378"/>
      <c r="OA1" s="1162" t="str">
        <f>NQ1</f>
        <v>ENTRADAS DEL MES DE   DICIEMBRE      2021</v>
      </c>
      <c r="OB1" s="1162"/>
      <c r="OC1" s="1162"/>
      <c r="OD1" s="1162"/>
      <c r="OE1" s="1162"/>
      <c r="OF1" s="1162"/>
      <c r="OG1" s="1162"/>
      <c r="OH1" s="378">
        <f>NX1+1</f>
        <v>39</v>
      </c>
      <c r="OI1" s="378"/>
      <c r="OK1" s="1162" t="str">
        <f>OA1</f>
        <v>ENTRADAS DEL MES DE   DICIEMBRE      2021</v>
      </c>
      <c r="OL1" s="1162"/>
      <c r="OM1" s="1162"/>
      <c r="ON1" s="1162"/>
      <c r="OO1" s="1162"/>
      <c r="OP1" s="1162"/>
      <c r="OQ1" s="1162"/>
      <c r="OR1" s="378">
        <f>OH1+1</f>
        <v>40</v>
      </c>
      <c r="OS1" s="378"/>
      <c r="OU1" s="1162" t="str">
        <f>OK1</f>
        <v>ENTRADAS DEL MES DE   DICIEMBRE      2021</v>
      </c>
      <c r="OV1" s="1162"/>
      <c r="OW1" s="1162"/>
      <c r="OX1" s="1162"/>
      <c r="OY1" s="1162"/>
      <c r="OZ1" s="1162"/>
      <c r="PA1" s="1162"/>
      <c r="PB1" s="378">
        <f>OR1+1</f>
        <v>41</v>
      </c>
      <c r="PC1" s="378"/>
      <c r="PE1" s="1162" t="str">
        <f>OU1</f>
        <v>ENTRADAS DEL MES DE   DICIEMBRE      2021</v>
      </c>
      <c r="PF1" s="1162"/>
      <c r="PG1" s="1162"/>
      <c r="PH1" s="1162"/>
      <c r="PI1" s="1162"/>
      <c r="PJ1" s="1162"/>
      <c r="PK1" s="1162"/>
      <c r="PL1" s="378">
        <f>PB1+1</f>
        <v>42</v>
      </c>
      <c r="PM1" s="378"/>
      <c r="PO1" s="1162" t="str">
        <f>PE1</f>
        <v>ENTRADAS DEL MES DE   DICIEMBRE      2021</v>
      </c>
      <c r="PP1" s="1162"/>
      <c r="PQ1" s="1162"/>
      <c r="PR1" s="1162"/>
      <c r="PS1" s="1162"/>
      <c r="PT1" s="1162"/>
      <c r="PU1" s="1162"/>
      <c r="PV1" s="378">
        <f>PL1+1</f>
        <v>43</v>
      </c>
      <c r="PX1" s="1162" t="str">
        <f>PO1</f>
        <v>ENTRADAS DEL MES DE   DICIEMBRE      2021</v>
      </c>
      <c r="PY1" s="1162"/>
      <c r="PZ1" s="1162"/>
      <c r="QA1" s="1162"/>
      <c r="QB1" s="1162"/>
      <c r="QC1" s="1162"/>
      <c r="QD1" s="1162"/>
      <c r="QE1" s="378">
        <f>PV1+1</f>
        <v>44</v>
      </c>
      <c r="QG1" s="1162" t="str">
        <f>PX1</f>
        <v>ENTRADAS DEL MES DE   DICIEMBRE      2021</v>
      </c>
      <c r="QH1" s="1162"/>
      <c r="QI1" s="1162"/>
      <c r="QJ1" s="1162"/>
      <c r="QK1" s="1162"/>
      <c r="QL1" s="1162"/>
      <c r="QM1" s="1162"/>
      <c r="QN1" s="378">
        <f>QE1+1</f>
        <v>45</v>
      </c>
      <c r="QP1" s="1162" t="str">
        <f>QG1</f>
        <v>ENTRADAS DEL MES DE   DICIEMBRE      2021</v>
      </c>
      <c r="QQ1" s="1162"/>
      <c r="QR1" s="1162"/>
      <c r="QS1" s="1162"/>
      <c r="QT1" s="1162"/>
      <c r="QU1" s="1162"/>
      <c r="QV1" s="1162"/>
      <c r="QW1" s="378">
        <f>QN1+1</f>
        <v>46</v>
      </c>
      <c r="QY1" s="1162" t="str">
        <f>QP1</f>
        <v>ENTRADAS DEL MES DE   DICIEMBRE      2021</v>
      </c>
      <c r="QZ1" s="1162"/>
      <c r="RA1" s="1162"/>
      <c r="RB1" s="1162"/>
      <c r="RC1" s="1162"/>
      <c r="RD1" s="1162"/>
      <c r="RE1" s="1162"/>
      <c r="RF1" s="378">
        <f>QW1+1</f>
        <v>47</v>
      </c>
      <c r="RH1" s="1162" t="str">
        <f>QY1</f>
        <v>ENTRADAS DEL MES DE   DICIEMBRE      2021</v>
      </c>
      <c r="RI1" s="1162"/>
      <c r="RJ1" s="1162"/>
      <c r="RK1" s="1162"/>
      <c r="RL1" s="1162"/>
      <c r="RM1" s="1162"/>
      <c r="RN1" s="1162"/>
      <c r="RO1" s="378">
        <f>RF1+1</f>
        <v>48</v>
      </c>
      <c r="RQ1" s="1162" t="str">
        <f>RH1</f>
        <v>ENTRADAS DEL MES DE   DICIEMBRE      2021</v>
      </c>
      <c r="RR1" s="1162"/>
      <c r="RS1" s="1162"/>
      <c r="RT1" s="1162"/>
      <c r="RU1" s="1162"/>
      <c r="RV1" s="1162"/>
      <c r="RW1" s="1162"/>
      <c r="RX1" s="378">
        <f>RO1+1</f>
        <v>49</v>
      </c>
      <c r="RZ1" s="1162" t="str">
        <f>RQ1</f>
        <v>ENTRADAS DEL MES DE   DICIEMBRE      2021</v>
      </c>
      <c r="SA1" s="1162"/>
      <c r="SB1" s="1162"/>
      <c r="SC1" s="1162"/>
      <c r="SD1" s="1162"/>
      <c r="SE1" s="1162"/>
      <c r="SF1" s="1162"/>
      <c r="SG1" s="378">
        <f>RX1+1</f>
        <v>50</v>
      </c>
      <c r="SI1" s="1162" t="str">
        <f>RZ1</f>
        <v>ENTRADAS DEL MES DE   DICIEMBRE      2021</v>
      </c>
      <c r="SJ1" s="1162"/>
      <c r="SK1" s="1162"/>
      <c r="SL1" s="1162"/>
      <c r="SM1" s="1162"/>
      <c r="SN1" s="1162"/>
      <c r="SO1" s="1162"/>
      <c r="SP1" s="378">
        <f>SG1+1</f>
        <v>51</v>
      </c>
      <c r="SR1" s="1162" t="str">
        <f>SI1</f>
        <v>ENTRADAS DEL MES DE   DICIEMBRE      2021</v>
      </c>
      <c r="SS1" s="1162"/>
      <c r="ST1" s="1162"/>
      <c r="SU1" s="1162"/>
      <c r="SV1" s="1162"/>
      <c r="SW1" s="1162"/>
      <c r="SX1" s="1162"/>
      <c r="SY1" s="378">
        <f>SP1+1</f>
        <v>52</v>
      </c>
      <c r="TA1" s="1162" t="str">
        <f>SR1</f>
        <v>ENTRADAS DEL MES DE   DICIEMBRE      2021</v>
      </c>
      <c r="TB1" s="1162"/>
      <c r="TC1" s="1162"/>
      <c r="TD1" s="1162"/>
      <c r="TE1" s="1162"/>
      <c r="TF1" s="1162"/>
      <c r="TG1" s="1162"/>
      <c r="TH1" s="378">
        <f>SY1+1</f>
        <v>53</v>
      </c>
      <c r="TJ1" s="1162" t="str">
        <f>TA1</f>
        <v>ENTRADAS DEL MES DE   DICIEMBRE      2021</v>
      </c>
      <c r="TK1" s="1162"/>
      <c r="TL1" s="1162"/>
      <c r="TM1" s="1162"/>
      <c r="TN1" s="1162"/>
      <c r="TO1" s="1162"/>
      <c r="TP1" s="1162"/>
      <c r="TQ1" s="378">
        <f>TH1+1</f>
        <v>54</v>
      </c>
      <c r="TS1" s="1162" t="str">
        <f>TJ1</f>
        <v>ENTRADAS DEL MES DE   DICIEMBRE      2021</v>
      </c>
      <c r="TT1" s="1162"/>
      <c r="TU1" s="1162"/>
      <c r="TV1" s="1162"/>
      <c r="TW1" s="1162"/>
      <c r="TX1" s="1162"/>
      <c r="TY1" s="1162"/>
      <c r="TZ1" s="378">
        <f>TQ1+1</f>
        <v>55</v>
      </c>
      <c r="UB1" s="1162" t="str">
        <f>TS1</f>
        <v>ENTRADAS DEL MES DE   DICIEMBRE      2021</v>
      </c>
      <c r="UC1" s="1162"/>
      <c r="UD1" s="1162"/>
      <c r="UE1" s="1162"/>
      <c r="UF1" s="1162"/>
      <c r="UG1" s="1162"/>
      <c r="UH1" s="1162"/>
      <c r="UI1" s="378">
        <f>TZ1+1</f>
        <v>56</v>
      </c>
      <c r="UK1" s="1162" t="str">
        <f>UB1</f>
        <v>ENTRADAS DEL MES DE   DICIEMBRE      2021</v>
      </c>
      <c r="UL1" s="1162"/>
      <c r="UM1" s="1162"/>
      <c r="UN1" s="1162"/>
      <c r="UO1" s="1162"/>
      <c r="UP1" s="1162"/>
      <c r="UQ1" s="1162"/>
      <c r="UR1" s="378">
        <f>UI1+1</f>
        <v>57</v>
      </c>
      <c r="UT1" s="1162" t="str">
        <f>UK1</f>
        <v>ENTRADAS DEL MES DE   DICIEMBRE      2021</v>
      </c>
      <c r="UU1" s="1162"/>
      <c r="UV1" s="1162"/>
      <c r="UW1" s="1162"/>
      <c r="UX1" s="1162"/>
      <c r="UY1" s="1162"/>
      <c r="UZ1" s="1162"/>
      <c r="VA1" s="378">
        <f>UR1+1</f>
        <v>58</v>
      </c>
      <c r="VC1" s="1162" t="str">
        <f>UT1</f>
        <v>ENTRADAS DEL MES DE   DICIEMBRE      2021</v>
      </c>
      <c r="VD1" s="1162"/>
      <c r="VE1" s="1162"/>
      <c r="VF1" s="1162"/>
      <c r="VG1" s="1162"/>
      <c r="VH1" s="1162"/>
      <c r="VI1" s="1162"/>
      <c r="VJ1" s="378">
        <f>VA1+1</f>
        <v>59</v>
      </c>
      <c r="VL1" s="1162" t="str">
        <f>VC1</f>
        <v>ENTRADAS DEL MES DE   DICIEMBRE      2021</v>
      </c>
      <c r="VM1" s="1162"/>
      <c r="VN1" s="1162"/>
      <c r="VO1" s="1162"/>
      <c r="VP1" s="1162"/>
      <c r="VQ1" s="1162"/>
      <c r="VR1" s="1162"/>
      <c r="VS1" s="378">
        <f>VJ1+1</f>
        <v>60</v>
      </c>
      <c r="VU1" s="1162" t="str">
        <f>VL1</f>
        <v>ENTRADAS DEL MES DE   DICIEMBRE      2021</v>
      </c>
      <c r="VV1" s="1162"/>
      <c r="VW1" s="1162"/>
      <c r="VX1" s="1162"/>
      <c r="VY1" s="1162"/>
      <c r="VZ1" s="1162"/>
      <c r="WA1" s="1162"/>
      <c r="WB1" s="378">
        <f>VS1+1</f>
        <v>61</v>
      </c>
      <c r="WD1" s="1162" t="str">
        <f>VU1</f>
        <v>ENTRADAS DEL MES DE   DICIEMBRE      2021</v>
      </c>
      <c r="WE1" s="1162"/>
      <c r="WF1" s="1162"/>
      <c r="WG1" s="1162"/>
      <c r="WH1" s="1162"/>
      <c r="WI1" s="1162"/>
      <c r="WJ1" s="1162"/>
      <c r="WK1" s="378">
        <f>WB1+1</f>
        <v>62</v>
      </c>
      <c r="WM1" s="1162" t="str">
        <f>WD1</f>
        <v>ENTRADAS DEL MES DE   DICIEMBRE      2021</v>
      </c>
      <c r="WN1" s="1162"/>
      <c r="WO1" s="1162"/>
      <c r="WP1" s="1162"/>
      <c r="WQ1" s="1162"/>
      <c r="WR1" s="1162"/>
      <c r="WS1" s="1162"/>
      <c r="WT1" s="378">
        <f>WK1+1</f>
        <v>63</v>
      </c>
      <c r="WV1" s="1162" t="str">
        <f>WM1</f>
        <v>ENTRADAS DEL MES DE   DICIEMBRE      2021</v>
      </c>
      <c r="WW1" s="1162"/>
      <c r="WX1" s="1162"/>
      <c r="WY1" s="1162"/>
      <c r="WZ1" s="1162"/>
      <c r="XA1" s="1162"/>
      <c r="XB1" s="1162"/>
      <c r="XC1" s="378">
        <f>WT1+1</f>
        <v>64</v>
      </c>
      <c r="XE1" s="1162" t="str">
        <f>WV1</f>
        <v>ENTRADAS DEL MES DE   DICIEMBRE      2021</v>
      </c>
      <c r="XF1" s="1162"/>
      <c r="XG1" s="1162"/>
      <c r="XH1" s="1162"/>
      <c r="XI1" s="1162"/>
      <c r="XJ1" s="1162"/>
      <c r="XK1" s="1162"/>
      <c r="XL1" s="378">
        <f>XC1+1</f>
        <v>65</v>
      </c>
      <c r="XN1" s="1162" t="str">
        <f>XE1</f>
        <v>ENTRADAS DEL MES DE   DICIEMBRE      2021</v>
      </c>
      <c r="XO1" s="1162"/>
      <c r="XP1" s="1162"/>
      <c r="XQ1" s="1162"/>
      <c r="XR1" s="1162"/>
      <c r="XS1" s="1162"/>
      <c r="XT1" s="1162"/>
      <c r="XU1" s="378">
        <f>XL1+1</f>
        <v>66</v>
      </c>
      <c r="XW1" s="1162" t="str">
        <f>XN1</f>
        <v>ENTRADAS DEL MES DE   DICIEMBRE      2021</v>
      </c>
      <c r="XX1" s="1162"/>
      <c r="XY1" s="1162"/>
      <c r="XZ1" s="1162"/>
      <c r="YA1" s="1162"/>
      <c r="YB1" s="1162"/>
      <c r="YC1" s="1162"/>
      <c r="YD1" s="378">
        <f>XU1+1</f>
        <v>67</v>
      </c>
      <c r="YF1" s="1162" t="str">
        <f>XW1</f>
        <v>ENTRADAS DEL MES DE   DICIEMBRE      2021</v>
      </c>
      <c r="YG1" s="1162"/>
      <c r="YH1" s="1162"/>
      <c r="YI1" s="1162"/>
      <c r="YJ1" s="1162"/>
      <c r="YK1" s="1162"/>
      <c r="YL1" s="1162"/>
      <c r="YM1" s="378">
        <f>YD1+1</f>
        <v>68</v>
      </c>
      <c r="YO1" s="1162" t="str">
        <f>YF1</f>
        <v>ENTRADAS DEL MES DE   DICIEMBRE      2021</v>
      </c>
      <c r="YP1" s="1162"/>
      <c r="YQ1" s="1162"/>
      <c r="YR1" s="1162"/>
      <c r="YS1" s="1162"/>
      <c r="YT1" s="1162"/>
      <c r="YU1" s="1162"/>
      <c r="YV1" s="378">
        <f>YM1+1</f>
        <v>69</v>
      </c>
      <c r="YX1" s="1162" t="str">
        <f>YO1</f>
        <v>ENTRADAS DEL MES DE   DICIEMBRE      2021</v>
      </c>
      <c r="YY1" s="1162"/>
      <c r="YZ1" s="1162"/>
      <c r="ZA1" s="1162"/>
      <c r="ZB1" s="1162"/>
      <c r="ZC1" s="1162"/>
      <c r="ZD1" s="1162"/>
      <c r="ZE1" s="378">
        <f>YV1+1</f>
        <v>70</v>
      </c>
      <c r="ZG1" s="1162" t="str">
        <f>YX1</f>
        <v>ENTRADAS DEL MES DE   DICIEMBRE      2021</v>
      </c>
      <c r="ZH1" s="1162"/>
      <c r="ZI1" s="1162"/>
      <c r="ZJ1" s="1162"/>
      <c r="ZK1" s="1162"/>
      <c r="ZL1" s="1162"/>
      <c r="ZM1" s="1162"/>
      <c r="ZN1" s="378">
        <f>ZE1+1</f>
        <v>71</v>
      </c>
      <c r="ZP1" s="1162" t="str">
        <f>ZG1</f>
        <v>ENTRADAS DEL MES DE   DICIEMBRE      2021</v>
      </c>
      <c r="ZQ1" s="1162"/>
      <c r="ZR1" s="1162"/>
      <c r="ZS1" s="1162"/>
      <c r="ZT1" s="1162"/>
      <c r="ZU1" s="1162"/>
      <c r="ZV1" s="1162"/>
      <c r="ZW1" s="378">
        <f>ZN1+1</f>
        <v>72</v>
      </c>
      <c r="ZY1" s="1162" t="str">
        <f>ZP1</f>
        <v>ENTRADAS DEL MES DE   DICIEMBRE      2021</v>
      </c>
      <c r="ZZ1" s="1162"/>
      <c r="AAA1" s="1162"/>
      <c r="AAB1" s="1162"/>
      <c r="AAC1" s="1162"/>
      <c r="AAD1" s="1162"/>
      <c r="AAE1" s="1162"/>
      <c r="AAF1" s="378">
        <f>ZW1+1</f>
        <v>73</v>
      </c>
      <c r="AAH1" s="1162" t="str">
        <f>ZY1</f>
        <v>ENTRADAS DEL MES DE   DICIEMBRE      2021</v>
      </c>
      <c r="AAI1" s="1162"/>
      <c r="AAJ1" s="1162"/>
      <c r="AAK1" s="1162"/>
      <c r="AAL1" s="1162"/>
      <c r="AAM1" s="1162"/>
      <c r="AAN1" s="1162"/>
      <c r="AAO1" s="378">
        <f>AAF1+1</f>
        <v>74</v>
      </c>
      <c r="AAQ1" s="1162" t="str">
        <f>AAH1</f>
        <v>ENTRADAS DEL MES DE   DICIEMBRE      2021</v>
      </c>
      <c r="AAR1" s="1162"/>
      <c r="AAS1" s="1162"/>
      <c r="AAT1" s="1162"/>
      <c r="AAU1" s="1162"/>
      <c r="AAV1" s="1162"/>
      <c r="AAW1" s="1162"/>
      <c r="AAX1" s="378">
        <f>AAO1+1</f>
        <v>75</v>
      </c>
      <c r="AAZ1" s="1162" t="str">
        <f>AAQ1</f>
        <v>ENTRADAS DEL MES DE   DICIEMBRE      2021</v>
      </c>
      <c r="ABA1" s="1162"/>
      <c r="ABB1" s="1162"/>
      <c r="ABC1" s="1162"/>
      <c r="ABD1" s="1162"/>
      <c r="ABE1" s="1162"/>
      <c r="ABF1" s="1162"/>
      <c r="ABG1" s="378">
        <f>AAX1+1</f>
        <v>76</v>
      </c>
      <c r="ABI1" s="1162" t="str">
        <f>AAZ1</f>
        <v>ENTRADAS DEL MES DE   DICIEMBRE      2021</v>
      </c>
      <c r="ABJ1" s="1162"/>
      <c r="ABK1" s="1162"/>
      <c r="ABL1" s="1162"/>
      <c r="ABM1" s="1162"/>
      <c r="ABN1" s="1162"/>
      <c r="ABO1" s="1162"/>
      <c r="ABP1" s="378">
        <f>ABG1+1</f>
        <v>77</v>
      </c>
      <c r="ABR1" s="1162" t="str">
        <f>ABI1</f>
        <v>ENTRADAS DEL MES DE   DICIEMBRE      2021</v>
      </c>
      <c r="ABS1" s="1162"/>
      <c r="ABT1" s="1162"/>
      <c r="ABU1" s="1162"/>
      <c r="ABV1" s="1162"/>
      <c r="ABW1" s="1162"/>
      <c r="ABX1" s="1162"/>
      <c r="ABY1" s="378">
        <f>ABP1+1</f>
        <v>78</v>
      </c>
      <c r="ACA1" s="1162" t="str">
        <f>ABR1</f>
        <v>ENTRADAS DEL MES DE   DICIEMBRE      2021</v>
      </c>
      <c r="ACB1" s="1162"/>
      <c r="ACC1" s="1162"/>
      <c r="ACD1" s="1162"/>
      <c r="ACE1" s="1162"/>
      <c r="ACF1" s="1162"/>
      <c r="ACG1" s="1162"/>
      <c r="ACH1" s="378">
        <f>ABY1+1</f>
        <v>79</v>
      </c>
      <c r="ACJ1" s="1162" t="str">
        <f>ACA1</f>
        <v>ENTRADAS DEL MES DE   DICIEMBRE      2021</v>
      </c>
      <c r="ACK1" s="1162"/>
      <c r="ACL1" s="1162"/>
      <c r="ACM1" s="1162"/>
      <c r="ACN1" s="1162"/>
      <c r="ACO1" s="1162"/>
      <c r="ACP1" s="1162"/>
      <c r="ACQ1" s="378">
        <f>ACH1+1</f>
        <v>80</v>
      </c>
      <c r="ACS1" s="1162" t="str">
        <f>ACJ1</f>
        <v>ENTRADAS DEL MES DE   DICIEMBRE      2021</v>
      </c>
      <c r="ACT1" s="1162"/>
      <c r="ACU1" s="1162"/>
      <c r="ACV1" s="1162"/>
      <c r="ACW1" s="1162"/>
      <c r="ACX1" s="1162"/>
      <c r="ACY1" s="1162"/>
      <c r="ACZ1" s="378">
        <f>ACQ1+1</f>
        <v>81</v>
      </c>
      <c r="ADB1" s="1162" t="str">
        <f>ACS1</f>
        <v>ENTRADAS DEL MES DE   DICIEMBRE      2021</v>
      </c>
      <c r="ADC1" s="1162"/>
      <c r="ADD1" s="1162"/>
      <c r="ADE1" s="1162"/>
      <c r="ADF1" s="1162"/>
      <c r="ADG1" s="1162"/>
      <c r="ADH1" s="1162"/>
      <c r="ADI1" s="378">
        <f>ACZ1+1</f>
        <v>82</v>
      </c>
      <c r="ADK1" s="1162" t="str">
        <f>ADB1</f>
        <v>ENTRADAS DEL MES DE   DICIEMBRE      2021</v>
      </c>
      <c r="ADL1" s="1162"/>
      <c r="ADM1" s="1162"/>
      <c r="ADN1" s="1162"/>
      <c r="ADO1" s="1162"/>
      <c r="ADP1" s="1162"/>
      <c r="ADQ1" s="1162"/>
      <c r="ADR1" s="378">
        <f>ADI1+1</f>
        <v>83</v>
      </c>
      <c r="ADT1" s="1162" t="str">
        <f>ADK1</f>
        <v>ENTRADAS DEL MES DE   DICIEMBRE      2021</v>
      </c>
      <c r="ADU1" s="1162"/>
      <c r="ADV1" s="1162"/>
      <c r="ADW1" s="1162"/>
      <c r="ADX1" s="1162"/>
      <c r="ADY1" s="1162"/>
      <c r="ADZ1" s="1162"/>
      <c r="AEA1" s="378">
        <f>ADR1+1</f>
        <v>84</v>
      </c>
      <c r="AEC1" s="1162" t="str">
        <f>ADT1</f>
        <v>ENTRADAS DEL MES DE   DICIEMBRE      2021</v>
      </c>
      <c r="AED1" s="1162"/>
      <c r="AEE1" s="1162"/>
      <c r="AEF1" s="1162"/>
      <c r="AEG1" s="1162"/>
      <c r="AEH1" s="1162"/>
      <c r="AEI1" s="1162"/>
      <c r="AEJ1" s="378">
        <f>AEA1+1</f>
        <v>85</v>
      </c>
      <c r="AEL1" s="1162" t="str">
        <f>AEC1</f>
        <v>ENTRADAS DEL MES DE   DICIEMBRE      2021</v>
      </c>
      <c r="AEM1" s="1162"/>
      <c r="AEN1" s="1162"/>
      <c r="AEO1" s="1162"/>
      <c r="AEP1" s="1162"/>
      <c r="AEQ1" s="1162"/>
      <c r="AER1" s="1162"/>
      <c r="AES1" s="378">
        <f>AEJ1+1</f>
        <v>86</v>
      </c>
    </row>
    <row r="2" spans="1:825" ht="17.25" thickTop="1" thickBot="1" x14ac:dyDescent="0.3">
      <c r="A2" s="379" t="s">
        <v>14</v>
      </c>
      <c r="B2" s="380" t="s">
        <v>0</v>
      </c>
      <c r="C2" s="381" t="s">
        <v>10</v>
      </c>
      <c r="D2" s="382"/>
      <c r="E2" s="367" t="s">
        <v>25</v>
      </c>
      <c r="F2" s="383" t="s">
        <v>3</v>
      </c>
      <c r="G2" s="384" t="s">
        <v>8</v>
      </c>
      <c r="H2" s="385" t="s">
        <v>5</v>
      </c>
      <c r="I2" s="380" t="s">
        <v>6</v>
      </c>
      <c r="CC2" s="76" t="s">
        <v>41</v>
      </c>
      <c r="QO2" s="76">
        <v>0</v>
      </c>
    </row>
    <row r="3" spans="1:825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6" t="s">
        <v>20</v>
      </c>
      <c r="R3" s="387" t="s">
        <v>6</v>
      </c>
      <c r="S3" s="626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86" t="s">
        <v>20</v>
      </c>
      <c r="AB3" s="387" t="s">
        <v>6</v>
      </c>
      <c r="AC3" s="632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86" t="s">
        <v>20</v>
      </c>
      <c r="AL3" s="387" t="s">
        <v>6</v>
      </c>
      <c r="AM3" s="626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86" t="s">
        <v>20</v>
      </c>
      <c r="AV3" s="387" t="s">
        <v>6</v>
      </c>
      <c r="AW3" s="632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86" t="s">
        <v>20</v>
      </c>
      <c r="BF3" s="387" t="s">
        <v>6</v>
      </c>
      <c r="BG3" s="632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86" t="s">
        <v>20</v>
      </c>
      <c r="BP3" s="387" t="s">
        <v>6</v>
      </c>
      <c r="BQ3" s="632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86" t="s">
        <v>20</v>
      </c>
      <c r="BZ3" s="387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86" t="s">
        <v>20</v>
      </c>
      <c r="CJ3" s="387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86" t="s">
        <v>20</v>
      </c>
      <c r="CT3" s="387" t="s">
        <v>6</v>
      </c>
      <c r="CU3" s="632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86" t="s">
        <v>20</v>
      </c>
      <c r="DD3" s="387" t="s">
        <v>6</v>
      </c>
      <c r="DE3" s="632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86" t="s">
        <v>20</v>
      </c>
      <c r="DN3" s="387" t="s">
        <v>6</v>
      </c>
      <c r="DO3" s="632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86" t="s">
        <v>20</v>
      </c>
      <c r="DX3" s="387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86" t="s">
        <v>20</v>
      </c>
      <c r="EH3" s="387" t="s">
        <v>6</v>
      </c>
      <c r="EI3" s="632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86" t="s">
        <v>20</v>
      </c>
      <c r="ER3" s="387" t="s">
        <v>6</v>
      </c>
      <c r="ES3" s="632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86" t="s">
        <v>20</v>
      </c>
      <c r="FB3" s="387" t="s">
        <v>6</v>
      </c>
      <c r="FC3" s="632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86" t="s">
        <v>20</v>
      </c>
      <c r="FL3" s="387" t="s">
        <v>6</v>
      </c>
      <c r="FM3" s="632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86" t="s">
        <v>20</v>
      </c>
      <c r="FV3" s="387" t="s">
        <v>6</v>
      </c>
      <c r="FW3" s="632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86" t="s">
        <v>20</v>
      </c>
      <c r="GF3" s="387" t="s">
        <v>6</v>
      </c>
      <c r="GG3" s="632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86" t="s">
        <v>20</v>
      </c>
      <c r="GP3" s="387" t="s">
        <v>6</v>
      </c>
      <c r="GQ3" s="632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86" t="s">
        <v>20</v>
      </c>
      <c r="GZ3" s="387" t="s">
        <v>6</v>
      </c>
      <c r="HA3" s="632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88" t="s">
        <v>20</v>
      </c>
      <c r="HJ3" s="387" t="s">
        <v>6</v>
      </c>
      <c r="HK3" s="632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86" t="s">
        <v>20</v>
      </c>
      <c r="HT3" s="387" t="s">
        <v>6</v>
      </c>
      <c r="HU3" s="632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86" t="s">
        <v>20</v>
      </c>
      <c r="ID3" s="387" t="s">
        <v>6</v>
      </c>
      <c r="IE3" s="632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86" t="s">
        <v>20</v>
      </c>
      <c r="IN3" s="387" t="s">
        <v>6</v>
      </c>
      <c r="IO3" s="632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86" t="s">
        <v>20</v>
      </c>
      <c r="IX3" s="387" t="s">
        <v>6</v>
      </c>
      <c r="IY3" s="632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86" t="s">
        <v>20</v>
      </c>
      <c r="JH3" s="387" t="s">
        <v>6</v>
      </c>
      <c r="JI3" s="632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86" t="s">
        <v>20</v>
      </c>
      <c r="JR3" s="387" t="s">
        <v>6</v>
      </c>
      <c r="JS3" s="632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88" t="s">
        <v>20</v>
      </c>
      <c r="KB3" s="387" t="s">
        <v>6</v>
      </c>
      <c r="KC3" s="632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86" t="s">
        <v>20</v>
      </c>
      <c r="KL3" s="387" t="s">
        <v>6</v>
      </c>
      <c r="KM3" s="632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86" t="s">
        <v>20</v>
      </c>
      <c r="KV3" s="387" t="s">
        <v>6</v>
      </c>
      <c r="KW3" s="632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86" t="s">
        <v>20</v>
      </c>
      <c r="LF3" s="387" t="s">
        <v>6</v>
      </c>
      <c r="LG3" s="632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86" t="s">
        <v>20</v>
      </c>
      <c r="LP3" s="387" t="s">
        <v>6</v>
      </c>
      <c r="LQ3" s="632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86" t="s">
        <v>20</v>
      </c>
      <c r="LZ3" s="387" t="s">
        <v>6</v>
      </c>
      <c r="MC3" s="73" t="s">
        <v>0</v>
      </c>
      <c r="MD3" s="73" t="s">
        <v>1</v>
      </c>
      <c r="ME3" s="73"/>
      <c r="MF3" s="73" t="s">
        <v>2</v>
      </c>
      <c r="MG3" s="73" t="s">
        <v>3</v>
      </c>
      <c r="MH3" s="73" t="s">
        <v>4</v>
      </c>
      <c r="MI3" s="386" t="s">
        <v>20</v>
      </c>
      <c r="MJ3" s="387" t="s">
        <v>6</v>
      </c>
      <c r="MK3" s="626"/>
      <c r="MM3" s="73" t="s">
        <v>0</v>
      </c>
      <c r="MN3" s="73" t="s">
        <v>1</v>
      </c>
      <c r="MO3" s="73"/>
      <c r="MP3" s="73" t="s">
        <v>2</v>
      </c>
      <c r="MQ3" s="73" t="s">
        <v>3</v>
      </c>
      <c r="MR3" s="73" t="s">
        <v>4</v>
      </c>
      <c r="MS3" s="386" t="s">
        <v>20</v>
      </c>
      <c r="MT3" s="387" t="s">
        <v>6</v>
      </c>
      <c r="MU3" s="626"/>
      <c r="MW3" s="73" t="s">
        <v>0</v>
      </c>
      <c r="MX3" s="73" t="s">
        <v>1</v>
      </c>
      <c r="MY3" s="73"/>
      <c r="MZ3" s="73" t="s">
        <v>2</v>
      </c>
      <c r="NA3" s="73" t="s">
        <v>3</v>
      </c>
      <c r="NB3" s="73" t="s">
        <v>4</v>
      </c>
      <c r="NC3" s="386" t="s">
        <v>20</v>
      </c>
      <c r="ND3" s="387" t="s">
        <v>6</v>
      </c>
      <c r="NE3" s="626"/>
      <c r="NG3" s="73" t="s">
        <v>0</v>
      </c>
      <c r="NH3" s="73" t="s">
        <v>1</v>
      </c>
      <c r="NI3" s="73"/>
      <c r="NJ3" s="73" t="s">
        <v>2</v>
      </c>
      <c r="NK3" s="73" t="s">
        <v>3</v>
      </c>
      <c r="NL3" s="73" t="s">
        <v>4</v>
      </c>
      <c r="NM3" s="386" t="s">
        <v>20</v>
      </c>
      <c r="NN3" s="387" t="s">
        <v>6</v>
      </c>
      <c r="NO3" s="626"/>
      <c r="NQ3" s="73" t="s">
        <v>0</v>
      </c>
      <c r="NR3" s="73" t="s">
        <v>1</v>
      </c>
      <c r="NS3" s="73"/>
      <c r="NT3" s="73" t="s">
        <v>2</v>
      </c>
      <c r="NU3" s="73" t="s">
        <v>3</v>
      </c>
      <c r="NV3" s="73" t="s">
        <v>4</v>
      </c>
      <c r="NW3" s="386" t="s">
        <v>20</v>
      </c>
      <c r="NX3" s="387" t="s">
        <v>6</v>
      </c>
      <c r="NY3" s="626"/>
      <c r="OA3" s="73" t="s">
        <v>0</v>
      </c>
      <c r="OB3" s="73" t="s">
        <v>1</v>
      </c>
      <c r="OC3" s="73"/>
      <c r="OD3" s="73" t="s">
        <v>2</v>
      </c>
      <c r="OE3" s="73" t="s">
        <v>3</v>
      </c>
      <c r="OF3" s="73" t="s">
        <v>4</v>
      </c>
      <c r="OG3" s="386" t="s">
        <v>20</v>
      </c>
      <c r="OH3" s="387" t="s">
        <v>6</v>
      </c>
      <c r="OI3" s="626"/>
      <c r="OK3" s="73" t="s">
        <v>0</v>
      </c>
      <c r="OL3" s="73" t="s">
        <v>1</v>
      </c>
      <c r="OM3" s="73"/>
      <c r="ON3" s="73" t="s">
        <v>2</v>
      </c>
      <c r="OO3" s="73" t="s">
        <v>3</v>
      </c>
      <c r="OP3" s="73" t="s">
        <v>4</v>
      </c>
      <c r="OQ3" s="386" t="s">
        <v>20</v>
      </c>
      <c r="OR3" s="387" t="s">
        <v>6</v>
      </c>
      <c r="OS3" s="626"/>
      <c r="OU3" s="73" t="s">
        <v>0</v>
      </c>
      <c r="OV3" s="73" t="s">
        <v>1</v>
      </c>
      <c r="OW3" s="73"/>
      <c r="OX3" s="73" t="s">
        <v>2</v>
      </c>
      <c r="OY3" s="73" t="s">
        <v>3</v>
      </c>
      <c r="OZ3" s="73" t="s">
        <v>4</v>
      </c>
      <c r="PA3" s="386" t="s">
        <v>20</v>
      </c>
      <c r="PB3" s="387" t="s">
        <v>6</v>
      </c>
      <c r="PC3" s="626"/>
      <c r="PE3" s="73" t="s">
        <v>0</v>
      </c>
      <c r="PF3" s="73" t="s">
        <v>1</v>
      </c>
      <c r="PG3" s="73"/>
      <c r="PH3" s="73" t="s">
        <v>2</v>
      </c>
      <c r="PI3" s="73" t="s">
        <v>3</v>
      </c>
      <c r="PJ3" s="73" t="s">
        <v>4</v>
      </c>
      <c r="PK3" s="386" t="s">
        <v>20</v>
      </c>
      <c r="PL3" s="387" t="s">
        <v>6</v>
      </c>
      <c r="PM3" s="626"/>
      <c r="PO3" s="73" t="s">
        <v>0</v>
      </c>
      <c r="PP3" s="73" t="s">
        <v>1</v>
      </c>
      <c r="PQ3" s="73"/>
      <c r="PR3" s="73" t="s">
        <v>2</v>
      </c>
      <c r="PS3" s="73" t="s">
        <v>3</v>
      </c>
      <c r="PT3" s="73" t="s">
        <v>4</v>
      </c>
      <c r="PU3" s="386" t="s">
        <v>20</v>
      </c>
      <c r="PV3" s="387" t="s">
        <v>6</v>
      </c>
      <c r="PX3" s="73" t="s">
        <v>0</v>
      </c>
      <c r="PY3" s="73" t="s">
        <v>1</v>
      </c>
      <c r="PZ3" s="73"/>
      <c r="QA3" s="73" t="s">
        <v>2</v>
      </c>
      <c r="QB3" s="73" t="s">
        <v>3</v>
      </c>
      <c r="QC3" s="73" t="s">
        <v>4</v>
      </c>
      <c r="QD3" s="386" t="s">
        <v>20</v>
      </c>
      <c r="QE3" s="387" t="s">
        <v>6</v>
      </c>
      <c r="QG3" s="73" t="s">
        <v>0</v>
      </c>
      <c r="QH3" s="73" t="s">
        <v>1</v>
      </c>
      <c r="QI3" s="73"/>
      <c r="QJ3" s="73" t="s">
        <v>2</v>
      </c>
      <c r="QK3" s="73" t="s">
        <v>3</v>
      </c>
      <c r="QL3" s="73" t="s">
        <v>4</v>
      </c>
      <c r="QM3" s="386" t="s">
        <v>20</v>
      </c>
      <c r="QN3" s="387" t="s">
        <v>6</v>
      </c>
      <c r="QP3" s="73" t="s">
        <v>0</v>
      </c>
      <c r="QQ3" s="73" t="s">
        <v>1</v>
      </c>
      <c r="QR3" s="73"/>
      <c r="QS3" s="73" t="s">
        <v>2</v>
      </c>
      <c r="QT3" s="73" t="s">
        <v>3</v>
      </c>
      <c r="QU3" s="73" t="s">
        <v>4</v>
      </c>
      <c r="QV3" s="386" t="s">
        <v>20</v>
      </c>
      <c r="QW3" s="387" t="s">
        <v>6</v>
      </c>
      <c r="QY3" s="73" t="s">
        <v>0</v>
      </c>
      <c r="QZ3" s="73" t="s">
        <v>1</v>
      </c>
      <c r="RA3" s="73"/>
      <c r="RB3" s="73" t="s">
        <v>2</v>
      </c>
      <c r="RC3" s="73" t="s">
        <v>3</v>
      </c>
      <c r="RD3" s="73" t="s">
        <v>4</v>
      </c>
      <c r="RE3" s="386" t="s">
        <v>20</v>
      </c>
      <c r="RF3" s="387" t="s">
        <v>6</v>
      </c>
      <c r="RH3" s="73" t="s">
        <v>0</v>
      </c>
      <c r="RI3" s="73" t="s">
        <v>1</v>
      </c>
      <c r="RJ3" s="73"/>
      <c r="RK3" s="73" t="s">
        <v>2</v>
      </c>
      <c r="RL3" s="73" t="s">
        <v>3</v>
      </c>
      <c r="RM3" s="73" t="s">
        <v>4</v>
      </c>
      <c r="RN3" s="386" t="s">
        <v>20</v>
      </c>
      <c r="RO3" s="387" t="s">
        <v>6</v>
      </c>
      <c r="RQ3" s="73" t="s">
        <v>0</v>
      </c>
      <c r="RR3" s="73" t="s">
        <v>1</v>
      </c>
      <c r="RS3" s="73"/>
      <c r="RT3" s="73" t="s">
        <v>2</v>
      </c>
      <c r="RU3" s="73" t="s">
        <v>3</v>
      </c>
      <c r="RV3" s="73" t="s">
        <v>4</v>
      </c>
      <c r="RW3" s="386" t="s">
        <v>20</v>
      </c>
      <c r="RX3" s="387" t="s">
        <v>6</v>
      </c>
      <c r="RZ3" s="73" t="s">
        <v>0</v>
      </c>
      <c r="SA3" s="73" t="s">
        <v>1</v>
      </c>
      <c r="SB3" s="73"/>
      <c r="SC3" s="73" t="s">
        <v>2</v>
      </c>
      <c r="SD3" s="73" t="s">
        <v>3</v>
      </c>
      <c r="SE3" s="73" t="s">
        <v>4</v>
      </c>
      <c r="SF3" s="386" t="s">
        <v>20</v>
      </c>
      <c r="SG3" s="387" t="s">
        <v>6</v>
      </c>
      <c r="SI3" s="73" t="s">
        <v>0</v>
      </c>
      <c r="SJ3" s="73" t="s">
        <v>1</v>
      </c>
      <c r="SK3" s="73"/>
      <c r="SL3" s="73" t="s">
        <v>2</v>
      </c>
      <c r="SM3" s="73" t="s">
        <v>3</v>
      </c>
      <c r="SN3" s="73" t="s">
        <v>4</v>
      </c>
      <c r="SO3" s="386" t="s">
        <v>20</v>
      </c>
      <c r="SP3" s="387" t="s">
        <v>6</v>
      </c>
      <c r="SR3" s="73" t="s">
        <v>0</v>
      </c>
      <c r="SS3" s="73" t="s">
        <v>1</v>
      </c>
      <c r="ST3" s="73"/>
      <c r="SU3" s="73" t="s">
        <v>2</v>
      </c>
      <c r="SV3" s="73" t="s">
        <v>3</v>
      </c>
      <c r="SW3" s="73" t="s">
        <v>4</v>
      </c>
      <c r="SX3" s="386" t="s">
        <v>20</v>
      </c>
      <c r="SY3" s="387" t="s">
        <v>6</v>
      </c>
      <c r="TA3" s="73" t="s">
        <v>0</v>
      </c>
      <c r="TB3" s="73" t="s">
        <v>1</v>
      </c>
      <c r="TC3" s="73"/>
      <c r="TD3" s="73" t="s">
        <v>2</v>
      </c>
      <c r="TE3" s="73" t="s">
        <v>3</v>
      </c>
      <c r="TF3" s="73" t="s">
        <v>4</v>
      </c>
      <c r="TG3" s="386" t="s">
        <v>20</v>
      </c>
      <c r="TH3" s="387" t="s">
        <v>6</v>
      </c>
      <c r="TJ3" s="73" t="s">
        <v>0</v>
      </c>
      <c r="TK3" s="73" t="s">
        <v>1</v>
      </c>
      <c r="TL3" s="73"/>
      <c r="TM3" s="73" t="s">
        <v>2</v>
      </c>
      <c r="TN3" s="73" t="s">
        <v>3</v>
      </c>
      <c r="TO3" s="73" t="s">
        <v>4</v>
      </c>
      <c r="TP3" s="386" t="s">
        <v>20</v>
      </c>
      <c r="TQ3" s="387" t="s">
        <v>6</v>
      </c>
      <c r="TS3" s="73" t="s">
        <v>0</v>
      </c>
      <c r="TT3" s="73" t="s">
        <v>1</v>
      </c>
      <c r="TU3" s="73"/>
      <c r="TV3" s="73" t="s">
        <v>2</v>
      </c>
      <c r="TW3" s="73" t="s">
        <v>3</v>
      </c>
      <c r="TX3" s="73" t="s">
        <v>4</v>
      </c>
      <c r="TY3" s="386" t="s">
        <v>20</v>
      </c>
      <c r="TZ3" s="387" t="s">
        <v>6</v>
      </c>
      <c r="UB3" s="73" t="s">
        <v>0</v>
      </c>
      <c r="UC3" s="73" t="s">
        <v>1</v>
      </c>
      <c r="UD3" s="73"/>
      <c r="UE3" s="73" t="s">
        <v>2</v>
      </c>
      <c r="UF3" s="73" t="s">
        <v>3</v>
      </c>
      <c r="UG3" s="73" t="s">
        <v>4</v>
      </c>
      <c r="UH3" s="386" t="s">
        <v>20</v>
      </c>
      <c r="UI3" s="387" t="s">
        <v>6</v>
      </c>
      <c r="UK3" s="73" t="s">
        <v>0</v>
      </c>
      <c r="UL3" s="73" t="s">
        <v>1</v>
      </c>
      <c r="UM3" s="73"/>
      <c r="UN3" s="73" t="s">
        <v>2</v>
      </c>
      <c r="UO3" s="73" t="s">
        <v>3</v>
      </c>
      <c r="UP3" s="73" t="s">
        <v>4</v>
      </c>
      <c r="UQ3" s="386" t="s">
        <v>20</v>
      </c>
      <c r="UR3" s="387" t="s">
        <v>6</v>
      </c>
      <c r="UT3" s="73" t="s">
        <v>0</v>
      </c>
      <c r="UU3" s="73" t="s">
        <v>1</v>
      </c>
      <c r="UV3" s="73"/>
      <c r="UW3" s="73" t="s">
        <v>2</v>
      </c>
      <c r="UX3" s="73" t="s">
        <v>3</v>
      </c>
      <c r="UY3" s="73" t="s">
        <v>4</v>
      </c>
      <c r="UZ3" s="386" t="s">
        <v>20</v>
      </c>
      <c r="VA3" s="387" t="s">
        <v>6</v>
      </c>
      <c r="VC3" s="73" t="s">
        <v>0</v>
      </c>
      <c r="VD3" s="73" t="s">
        <v>1</v>
      </c>
      <c r="VE3" s="73"/>
      <c r="VF3" s="73" t="s">
        <v>2</v>
      </c>
      <c r="VG3" s="73" t="s">
        <v>3</v>
      </c>
      <c r="VH3" s="73" t="s">
        <v>4</v>
      </c>
      <c r="VI3" s="386" t="s">
        <v>20</v>
      </c>
      <c r="VJ3" s="387" t="s">
        <v>6</v>
      </c>
      <c r="VL3" s="73" t="s">
        <v>0</v>
      </c>
      <c r="VM3" s="73" t="s">
        <v>1</v>
      </c>
      <c r="VN3" s="73"/>
      <c r="VO3" s="73" t="s">
        <v>2</v>
      </c>
      <c r="VP3" s="73" t="s">
        <v>3</v>
      </c>
      <c r="VQ3" s="73" t="s">
        <v>4</v>
      </c>
      <c r="VR3" s="386" t="s">
        <v>20</v>
      </c>
      <c r="VS3" s="387" t="s">
        <v>6</v>
      </c>
      <c r="VU3" s="73" t="s">
        <v>0</v>
      </c>
      <c r="VV3" s="73" t="s">
        <v>1</v>
      </c>
      <c r="VW3" s="73"/>
      <c r="VX3" s="73" t="s">
        <v>2</v>
      </c>
      <c r="VY3" s="73" t="s">
        <v>3</v>
      </c>
      <c r="VZ3" s="73" t="s">
        <v>4</v>
      </c>
      <c r="WA3" s="386" t="s">
        <v>20</v>
      </c>
      <c r="WB3" s="387" t="s">
        <v>6</v>
      </c>
      <c r="WD3" s="73" t="s">
        <v>0</v>
      </c>
      <c r="WE3" s="73" t="s">
        <v>1</v>
      </c>
      <c r="WF3" s="73"/>
      <c r="WG3" s="73" t="s">
        <v>2</v>
      </c>
      <c r="WH3" s="73" t="s">
        <v>3</v>
      </c>
      <c r="WI3" s="73" t="s">
        <v>4</v>
      </c>
      <c r="WJ3" s="386" t="s">
        <v>20</v>
      </c>
      <c r="WK3" s="387" t="s">
        <v>6</v>
      </c>
      <c r="WM3" s="73" t="s">
        <v>0</v>
      </c>
      <c r="WN3" s="73" t="s">
        <v>1</v>
      </c>
      <c r="WO3" s="73"/>
      <c r="WP3" s="73" t="s">
        <v>2</v>
      </c>
      <c r="WQ3" s="73" t="s">
        <v>3</v>
      </c>
      <c r="WR3" s="73" t="s">
        <v>4</v>
      </c>
      <c r="WS3" s="386" t="s">
        <v>20</v>
      </c>
      <c r="WT3" s="387" t="s">
        <v>6</v>
      </c>
      <c r="WV3" s="73" t="s">
        <v>0</v>
      </c>
      <c r="WW3" s="73" t="s">
        <v>1</v>
      </c>
      <c r="WX3" s="73"/>
      <c r="WY3" s="73" t="s">
        <v>2</v>
      </c>
      <c r="WZ3" s="73" t="s">
        <v>3</v>
      </c>
      <c r="XA3" s="73" t="s">
        <v>4</v>
      </c>
      <c r="XB3" s="386" t="s">
        <v>20</v>
      </c>
      <c r="XC3" s="387" t="s">
        <v>6</v>
      </c>
      <c r="XE3" s="73" t="s">
        <v>0</v>
      </c>
      <c r="XF3" s="73" t="s">
        <v>1</v>
      </c>
      <c r="XG3" s="73"/>
      <c r="XH3" s="73" t="s">
        <v>2</v>
      </c>
      <c r="XI3" s="73" t="s">
        <v>3</v>
      </c>
      <c r="XJ3" s="73" t="s">
        <v>4</v>
      </c>
      <c r="XK3" s="386" t="s">
        <v>20</v>
      </c>
      <c r="XL3" s="387" t="s">
        <v>6</v>
      </c>
      <c r="XN3" s="73" t="s">
        <v>0</v>
      </c>
      <c r="XO3" s="73" t="s">
        <v>1</v>
      </c>
      <c r="XP3" s="73"/>
      <c r="XQ3" s="73" t="s">
        <v>2</v>
      </c>
      <c r="XR3" s="73" t="s">
        <v>3</v>
      </c>
      <c r="XS3" s="73" t="s">
        <v>4</v>
      </c>
      <c r="XT3" s="386" t="s">
        <v>20</v>
      </c>
      <c r="XU3" s="387" t="s">
        <v>6</v>
      </c>
      <c r="XW3" s="73" t="s">
        <v>0</v>
      </c>
      <c r="XX3" s="73" t="s">
        <v>1</v>
      </c>
      <c r="XY3" s="73"/>
      <c r="XZ3" s="73" t="s">
        <v>2</v>
      </c>
      <c r="YA3" s="73" t="s">
        <v>3</v>
      </c>
      <c r="YB3" s="73" t="s">
        <v>4</v>
      </c>
      <c r="YC3" s="386" t="s">
        <v>20</v>
      </c>
      <c r="YD3" s="387" t="s">
        <v>6</v>
      </c>
      <c r="YF3" s="73" t="s">
        <v>0</v>
      </c>
      <c r="YG3" s="73" t="s">
        <v>1</v>
      </c>
      <c r="YH3" s="73"/>
      <c r="YI3" s="73" t="s">
        <v>2</v>
      </c>
      <c r="YJ3" s="73" t="s">
        <v>3</v>
      </c>
      <c r="YK3" s="73" t="s">
        <v>4</v>
      </c>
      <c r="YL3" s="386" t="s">
        <v>20</v>
      </c>
      <c r="YM3" s="387" t="s">
        <v>6</v>
      </c>
      <c r="YO3" s="73" t="s">
        <v>0</v>
      </c>
      <c r="YP3" s="73" t="s">
        <v>1</v>
      </c>
      <c r="YQ3" s="73"/>
      <c r="YR3" s="73" t="s">
        <v>2</v>
      </c>
      <c r="YS3" s="73" t="s">
        <v>3</v>
      </c>
      <c r="YT3" s="73" t="s">
        <v>4</v>
      </c>
      <c r="YU3" s="386" t="s">
        <v>20</v>
      </c>
      <c r="YV3" s="387" t="s">
        <v>6</v>
      </c>
      <c r="YX3" s="73" t="s">
        <v>0</v>
      </c>
      <c r="YY3" s="73" t="s">
        <v>1</v>
      </c>
      <c r="YZ3" s="73"/>
      <c r="ZA3" s="73" t="s">
        <v>2</v>
      </c>
      <c r="ZB3" s="73" t="s">
        <v>3</v>
      </c>
      <c r="ZC3" s="73" t="s">
        <v>4</v>
      </c>
      <c r="ZD3" s="386" t="s">
        <v>20</v>
      </c>
      <c r="ZE3" s="387" t="s">
        <v>6</v>
      </c>
      <c r="ZG3" s="73" t="s">
        <v>0</v>
      </c>
      <c r="ZH3" s="73" t="s">
        <v>1</v>
      </c>
      <c r="ZI3" s="73"/>
      <c r="ZJ3" s="73" t="s">
        <v>2</v>
      </c>
      <c r="ZK3" s="73" t="s">
        <v>3</v>
      </c>
      <c r="ZL3" s="73" t="s">
        <v>4</v>
      </c>
      <c r="ZM3" s="386" t="s">
        <v>20</v>
      </c>
      <c r="ZN3" s="387" t="s">
        <v>6</v>
      </c>
      <c r="ZP3" s="73" t="s">
        <v>0</v>
      </c>
      <c r="ZQ3" s="73" t="s">
        <v>1</v>
      </c>
      <c r="ZR3" s="73"/>
      <c r="ZS3" s="73" t="s">
        <v>2</v>
      </c>
      <c r="ZT3" s="73" t="s">
        <v>3</v>
      </c>
      <c r="ZU3" s="73" t="s">
        <v>4</v>
      </c>
      <c r="ZV3" s="386" t="s">
        <v>20</v>
      </c>
      <c r="ZW3" s="387" t="s">
        <v>6</v>
      </c>
      <c r="ZY3" s="73" t="s">
        <v>0</v>
      </c>
      <c r="ZZ3" s="73" t="s">
        <v>1</v>
      </c>
      <c r="AAA3" s="73"/>
      <c r="AAB3" s="73" t="s">
        <v>2</v>
      </c>
      <c r="AAC3" s="73" t="s">
        <v>3</v>
      </c>
      <c r="AAD3" s="73" t="s">
        <v>4</v>
      </c>
      <c r="AAE3" s="386" t="s">
        <v>20</v>
      </c>
      <c r="AAF3" s="387" t="s">
        <v>6</v>
      </c>
      <c r="AAH3" s="73" t="s">
        <v>0</v>
      </c>
      <c r="AAI3" s="73" t="s">
        <v>1</v>
      </c>
      <c r="AAJ3" s="73"/>
      <c r="AAK3" s="73" t="s">
        <v>2</v>
      </c>
      <c r="AAL3" s="73" t="s">
        <v>3</v>
      </c>
      <c r="AAM3" s="73" t="s">
        <v>4</v>
      </c>
      <c r="AAN3" s="386" t="s">
        <v>20</v>
      </c>
      <c r="AAO3" s="387" t="s">
        <v>6</v>
      </c>
      <c r="AAQ3" s="73" t="s">
        <v>0</v>
      </c>
      <c r="AAR3" s="73" t="s">
        <v>1</v>
      </c>
      <c r="AAS3" s="73"/>
      <c r="AAT3" s="73" t="s">
        <v>2</v>
      </c>
      <c r="AAU3" s="73" t="s">
        <v>3</v>
      </c>
      <c r="AAV3" s="73" t="s">
        <v>4</v>
      </c>
      <c r="AAW3" s="386" t="s">
        <v>20</v>
      </c>
      <c r="AAX3" s="387" t="s">
        <v>6</v>
      </c>
      <c r="AAZ3" s="73" t="s">
        <v>0</v>
      </c>
      <c r="ABA3" s="73" t="s">
        <v>1</v>
      </c>
      <c r="ABB3" s="73"/>
      <c r="ABC3" s="73" t="s">
        <v>2</v>
      </c>
      <c r="ABD3" s="73" t="s">
        <v>3</v>
      </c>
      <c r="ABE3" s="73" t="s">
        <v>4</v>
      </c>
      <c r="ABF3" s="386" t="s">
        <v>20</v>
      </c>
      <c r="ABG3" s="387" t="s">
        <v>6</v>
      </c>
      <c r="ABI3" s="73" t="s">
        <v>0</v>
      </c>
      <c r="ABJ3" s="73" t="s">
        <v>1</v>
      </c>
      <c r="ABK3" s="73"/>
      <c r="ABL3" s="73" t="s">
        <v>2</v>
      </c>
      <c r="ABM3" s="73" t="s">
        <v>3</v>
      </c>
      <c r="ABN3" s="73" t="s">
        <v>4</v>
      </c>
      <c r="ABO3" s="386" t="s">
        <v>20</v>
      </c>
      <c r="ABP3" s="387" t="s">
        <v>6</v>
      </c>
      <c r="ABR3" s="73" t="s">
        <v>0</v>
      </c>
      <c r="ABS3" s="73" t="s">
        <v>1</v>
      </c>
      <c r="ABT3" s="73"/>
      <c r="ABU3" s="73" t="s">
        <v>2</v>
      </c>
      <c r="ABV3" s="73" t="s">
        <v>3</v>
      </c>
      <c r="ABW3" s="73" t="s">
        <v>4</v>
      </c>
      <c r="ABX3" s="386" t="s">
        <v>20</v>
      </c>
      <c r="ABY3" s="387" t="s">
        <v>6</v>
      </c>
      <c r="ACA3" s="73" t="s">
        <v>0</v>
      </c>
      <c r="ACB3" s="73" t="s">
        <v>1</v>
      </c>
      <c r="ACC3" s="73"/>
      <c r="ACD3" s="73" t="s">
        <v>2</v>
      </c>
      <c r="ACE3" s="73" t="s">
        <v>3</v>
      </c>
      <c r="ACF3" s="73" t="s">
        <v>4</v>
      </c>
      <c r="ACG3" s="386" t="s">
        <v>20</v>
      </c>
      <c r="ACH3" s="387" t="s">
        <v>6</v>
      </c>
      <c r="ACJ3" s="73" t="s">
        <v>0</v>
      </c>
      <c r="ACK3" s="73" t="s">
        <v>1</v>
      </c>
      <c r="ACL3" s="73"/>
      <c r="ACM3" s="73" t="s">
        <v>2</v>
      </c>
      <c r="ACN3" s="73" t="s">
        <v>3</v>
      </c>
      <c r="ACO3" s="73" t="s">
        <v>4</v>
      </c>
      <c r="ACP3" s="386" t="s">
        <v>20</v>
      </c>
      <c r="ACQ3" s="387" t="s">
        <v>6</v>
      </c>
      <c r="ACS3" s="73" t="s">
        <v>0</v>
      </c>
      <c r="ACT3" s="73" t="s">
        <v>1</v>
      </c>
      <c r="ACU3" s="73"/>
      <c r="ACV3" s="73" t="s">
        <v>2</v>
      </c>
      <c r="ACW3" s="73" t="s">
        <v>3</v>
      </c>
      <c r="ACX3" s="73" t="s">
        <v>4</v>
      </c>
      <c r="ACY3" s="386" t="s">
        <v>20</v>
      </c>
      <c r="ACZ3" s="387" t="s">
        <v>6</v>
      </c>
      <c r="ADB3" s="73" t="s">
        <v>0</v>
      </c>
      <c r="ADC3" s="73" t="s">
        <v>1</v>
      </c>
      <c r="ADD3" s="73"/>
      <c r="ADE3" s="73" t="s">
        <v>2</v>
      </c>
      <c r="ADF3" s="73" t="s">
        <v>3</v>
      </c>
      <c r="ADG3" s="73" t="s">
        <v>4</v>
      </c>
      <c r="ADH3" s="386" t="s">
        <v>20</v>
      </c>
      <c r="ADI3" s="387" t="s">
        <v>6</v>
      </c>
      <c r="ADK3" s="73" t="s">
        <v>0</v>
      </c>
      <c r="ADL3" s="73" t="s">
        <v>1</v>
      </c>
      <c r="ADM3" s="73"/>
      <c r="ADN3" s="73" t="s">
        <v>2</v>
      </c>
      <c r="ADO3" s="73" t="s">
        <v>3</v>
      </c>
      <c r="ADP3" s="73" t="s">
        <v>4</v>
      </c>
      <c r="ADQ3" s="386" t="s">
        <v>20</v>
      </c>
      <c r="ADR3" s="387" t="s">
        <v>6</v>
      </c>
      <c r="ADT3" s="73" t="s">
        <v>0</v>
      </c>
      <c r="ADU3" s="73" t="s">
        <v>1</v>
      </c>
      <c r="ADV3" s="73"/>
      <c r="ADW3" s="73" t="s">
        <v>2</v>
      </c>
      <c r="ADX3" s="73" t="s">
        <v>3</v>
      </c>
      <c r="ADY3" s="73" t="s">
        <v>4</v>
      </c>
      <c r="ADZ3" s="386" t="s">
        <v>20</v>
      </c>
      <c r="AEA3" s="387" t="s">
        <v>6</v>
      </c>
      <c r="AEC3" s="73" t="s">
        <v>0</v>
      </c>
      <c r="AED3" s="73" t="s">
        <v>1</v>
      </c>
      <c r="AEE3" s="73"/>
      <c r="AEF3" s="73" t="s">
        <v>2</v>
      </c>
      <c r="AEG3" s="73" t="s">
        <v>3</v>
      </c>
      <c r="AEH3" s="73" t="s">
        <v>4</v>
      </c>
      <c r="AEI3" s="386" t="s">
        <v>20</v>
      </c>
      <c r="AEJ3" s="387" t="s">
        <v>6</v>
      </c>
      <c r="AEL3" s="73" t="s">
        <v>0</v>
      </c>
      <c r="AEM3" s="73" t="s">
        <v>1</v>
      </c>
      <c r="AEN3" s="73"/>
      <c r="AEO3" s="73" t="s">
        <v>2</v>
      </c>
      <c r="AEP3" s="73" t="s">
        <v>3</v>
      </c>
      <c r="AEQ3" s="73" t="s">
        <v>4</v>
      </c>
      <c r="AER3" s="386" t="s">
        <v>20</v>
      </c>
      <c r="AES3" s="387" t="s">
        <v>6</v>
      </c>
    </row>
    <row r="4" spans="1:825" ht="16.5" customHeight="1" thickTop="1" x14ac:dyDescent="0.25">
      <c r="A4" s="143">
        <v>1</v>
      </c>
      <c r="B4" s="255" t="str">
        <f t="shared" ref="B4:I4" si="0">K5</f>
        <v>SEABOARD FOODS</v>
      </c>
      <c r="C4" s="255" t="str">
        <f t="shared" si="0"/>
        <v>Seaboard</v>
      </c>
      <c r="D4" s="257" t="str">
        <f t="shared" si="0"/>
        <v>PED. 7458862</v>
      </c>
      <c r="E4" s="141">
        <f t="shared" si="0"/>
        <v>44535</v>
      </c>
      <c r="F4" s="87">
        <f t="shared" si="0"/>
        <v>18834.02</v>
      </c>
      <c r="G4" s="74">
        <f t="shared" si="0"/>
        <v>21</v>
      </c>
      <c r="H4" s="48">
        <f t="shared" si="0"/>
        <v>18864.900000000001</v>
      </c>
      <c r="I4" s="107">
        <f t="shared" si="0"/>
        <v>-30.880000000001019</v>
      </c>
      <c r="L4" s="76" t="s">
        <v>23</v>
      </c>
      <c r="Q4" s="372"/>
      <c r="V4" s="76" t="s">
        <v>23</v>
      </c>
      <c r="AA4" s="372"/>
      <c r="AF4" s="76" t="s">
        <v>23</v>
      </c>
      <c r="AK4" s="372"/>
      <c r="AP4" s="76" t="s">
        <v>23</v>
      </c>
      <c r="AU4" s="74"/>
      <c r="AZ4" s="76" t="s">
        <v>23</v>
      </c>
      <c r="BE4" s="372"/>
      <c r="BJ4" s="76" t="s">
        <v>23</v>
      </c>
      <c r="BO4" s="74"/>
      <c r="BT4" s="76" t="s">
        <v>23</v>
      </c>
      <c r="BY4" s="372"/>
      <c r="CD4" s="76" t="s">
        <v>23</v>
      </c>
      <c r="CI4" s="372"/>
      <c r="CN4" s="76" t="s">
        <v>23</v>
      </c>
      <c r="CS4" s="74"/>
      <c r="CX4" s="76" t="s">
        <v>23</v>
      </c>
      <c r="DC4" s="372"/>
      <c r="DH4" s="76" t="s">
        <v>23</v>
      </c>
      <c r="DM4" s="372"/>
      <c r="DR4" s="76" t="s">
        <v>23</v>
      </c>
      <c r="DW4" s="372"/>
      <c r="EB4" s="76" t="s">
        <v>23</v>
      </c>
      <c r="EG4" s="130"/>
      <c r="EL4" s="76" t="s">
        <v>23</v>
      </c>
      <c r="EQ4" s="130"/>
      <c r="EV4" s="74" t="s">
        <v>70</v>
      </c>
      <c r="FA4" s="74"/>
      <c r="FF4" s="74" t="s">
        <v>23</v>
      </c>
      <c r="FI4" s="96"/>
      <c r="FJ4" s="136"/>
      <c r="FK4" s="372"/>
      <c r="FP4" s="76" t="s">
        <v>23</v>
      </c>
      <c r="FU4" s="74"/>
      <c r="FZ4" s="76" t="s">
        <v>23</v>
      </c>
      <c r="GE4" s="74"/>
      <c r="GF4" s="159"/>
      <c r="GG4" s="636"/>
      <c r="GJ4" s="76" t="s">
        <v>23</v>
      </c>
      <c r="GO4" s="372"/>
      <c r="GT4" s="76" t="s">
        <v>23</v>
      </c>
      <c r="GY4" s="372"/>
      <c r="HD4" s="76" t="s">
        <v>23</v>
      </c>
      <c r="HI4" s="372"/>
      <c r="HJ4" s="74"/>
      <c r="HK4" s="638"/>
      <c r="HN4" s="76" t="s">
        <v>23</v>
      </c>
      <c r="HS4" s="372"/>
      <c r="HX4" s="76" t="s">
        <v>23</v>
      </c>
      <c r="IC4" s="372"/>
      <c r="IF4" s="76" t="s">
        <v>47</v>
      </c>
      <c r="IG4" s="255"/>
      <c r="IH4" s="255" t="s">
        <v>23</v>
      </c>
      <c r="II4" s="255"/>
      <c r="IJ4" s="255"/>
      <c r="IK4" s="255"/>
      <c r="IL4" s="255"/>
      <c r="IM4" s="320"/>
      <c r="IQ4" s="255"/>
      <c r="IR4" s="255" t="s">
        <v>70</v>
      </c>
      <c r="IS4" s="255"/>
      <c r="IT4" s="255"/>
      <c r="IU4" s="255"/>
      <c r="IV4" s="255"/>
      <c r="IW4" s="320"/>
      <c r="JB4" s="76" t="s">
        <v>23</v>
      </c>
      <c r="JG4" s="372"/>
      <c r="JH4" s="107"/>
      <c r="JL4" s="76" t="s">
        <v>23</v>
      </c>
      <c r="JQ4" s="320"/>
      <c r="JV4" s="76" t="s">
        <v>23</v>
      </c>
      <c r="JY4" s="76" t="s">
        <v>49</v>
      </c>
      <c r="KA4" s="372"/>
      <c r="KB4" s="159"/>
      <c r="KC4" s="636"/>
      <c r="KF4" s="76" t="s">
        <v>23</v>
      </c>
      <c r="KK4" s="372"/>
      <c r="KO4" s="74"/>
      <c r="KP4" s="74" t="s">
        <v>23</v>
      </c>
      <c r="KU4" s="74"/>
      <c r="KV4" s="134"/>
      <c r="KW4" s="645"/>
      <c r="KZ4" s="76" t="s">
        <v>23</v>
      </c>
      <c r="LB4" s="140"/>
      <c r="LE4" s="211"/>
      <c r="LJ4" s="76" t="s">
        <v>23</v>
      </c>
      <c r="LO4" s="372"/>
      <c r="LP4" s="107"/>
      <c r="LT4" s="76" t="s">
        <v>23</v>
      </c>
      <c r="LY4" s="372"/>
      <c r="MD4" s="76" t="s">
        <v>23</v>
      </c>
      <c r="MI4" s="372"/>
      <c r="MN4" s="76" t="s">
        <v>23</v>
      </c>
      <c r="MS4" s="372"/>
      <c r="MX4" s="76" t="s">
        <v>23</v>
      </c>
      <c r="NC4" s="372"/>
      <c r="NH4" s="76" t="s">
        <v>23</v>
      </c>
      <c r="NM4" s="372"/>
      <c r="NR4" s="76" t="s">
        <v>23</v>
      </c>
      <c r="NW4" s="372"/>
      <c r="OB4" s="76" t="s">
        <v>23</v>
      </c>
      <c r="OG4" s="372"/>
      <c r="OL4" s="76" t="s">
        <v>23</v>
      </c>
      <c r="OQ4" s="211"/>
      <c r="OV4" s="76" t="s">
        <v>23</v>
      </c>
      <c r="PA4" s="372"/>
      <c r="PF4" s="76" t="s">
        <v>23</v>
      </c>
      <c r="PK4" s="372"/>
      <c r="PP4" s="76" t="s">
        <v>23</v>
      </c>
      <c r="PU4" s="372"/>
      <c r="PY4" s="76" t="s">
        <v>23</v>
      </c>
      <c r="QD4" s="372"/>
      <c r="QH4" s="76" t="s">
        <v>23</v>
      </c>
      <c r="QM4" s="372"/>
      <c r="QQ4" s="76" t="s">
        <v>23</v>
      </c>
      <c r="QV4" s="372"/>
      <c r="QZ4" s="76" t="s">
        <v>23</v>
      </c>
      <c r="RE4" s="372"/>
      <c r="RI4" s="76" t="s">
        <v>23</v>
      </c>
      <c r="RN4" s="372"/>
      <c r="RR4" s="76" t="s">
        <v>23</v>
      </c>
      <c r="RW4" s="372"/>
      <c r="SA4" s="76" t="s">
        <v>23</v>
      </c>
      <c r="SF4" s="372"/>
      <c r="SJ4" s="76" t="s">
        <v>23</v>
      </c>
      <c r="SO4" s="372"/>
      <c r="SS4" s="76" t="s">
        <v>23</v>
      </c>
      <c r="SX4" s="372"/>
      <c r="TB4" s="76" t="s">
        <v>23</v>
      </c>
      <c r="TG4" s="372"/>
      <c r="TK4" s="76" t="s">
        <v>23</v>
      </c>
      <c r="TP4" s="372"/>
      <c r="TT4" s="76" t="s">
        <v>23</v>
      </c>
      <c r="TY4" s="372"/>
      <c r="UC4" s="76" t="s">
        <v>23</v>
      </c>
      <c r="UH4" s="372"/>
      <c r="UL4" s="76" t="s">
        <v>23</v>
      </c>
      <c r="UQ4" s="372"/>
      <c r="UU4" s="76" t="s">
        <v>23</v>
      </c>
      <c r="UZ4" s="372"/>
      <c r="VD4" s="76" t="s">
        <v>23</v>
      </c>
      <c r="VI4" s="372"/>
      <c r="VM4" s="76" t="s">
        <v>23</v>
      </c>
      <c r="VR4" s="372"/>
      <c r="VV4" s="76" t="s">
        <v>23</v>
      </c>
      <c r="WA4" s="372"/>
      <c r="WE4" s="76" t="s">
        <v>23</v>
      </c>
      <c r="WJ4" s="372"/>
      <c r="WN4" s="76" t="s">
        <v>23</v>
      </c>
      <c r="WS4" s="372"/>
      <c r="WW4" s="76" t="s">
        <v>23</v>
      </c>
      <c r="XB4" s="372"/>
      <c r="XF4" s="76" t="s">
        <v>23</v>
      </c>
      <c r="XK4" s="372"/>
      <c r="XO4" s="76" t="s">
        <v>23</v>
      </c>
      <c r="XT4" s="372"/>
      <c r="XX4" s="76" t="s">
        <v>23</v>
      </c>
      <c r="YC4" s="372"/>
      <c r="YG4" s="76" t="s">
        <v>23</v>
      </c>
      <c r="YL4" s="372"/>
      <c r="YP4" s="76" t="s">
        <v>23</v>
      </c>
      <c r="YU4" s="372"/>
      <c r="YY4" s="76" t="s">
        <v>23</v>
      </c>
      <c r="ZD4" s="372"/>
      <c r="ZH4" s="76" t="s">
        <v>23</v>
      </c>
      <c r="ZM4" s="372"/>
      <c r="ZQ4" s="76" t="s">
        <v>23</v>
      </c>
      <c r="ZV4" s="372"/>
      <c r="ZZ4" s="76" t="s">
        <v>23</v>
      </c>
      <c r="AAE4" s="372"/>
      <c r="AAI4" s="76" t="s">
        <v>23</v>
      </c>
      <c r="AAN4" s="372"/>
      <c r="AAR4" s="76" t="s">
        <v>23</v>
      </c>
      <c r="AAW4" s="372"/>
      <c r="ABA4" s="76" t="s">
        <v>23</v>
      </c>
      <c r="ABF4" s="372"/>
      <c r="ABJ4" s="76" t="s">
        <v>23</v>
      </c>
      <c r="ABO4" s="372"/>
      <c r="ABS4" s="76" t="s">
        <v>23</v>
      </c>
      <c r="ABX4" s="372"/>
      <c r="ACB4" s="76" t="s">
        <v>23</v>
      </c>
      <c r="ACG4" s="372"/>
      <c r="ACK4" s="76" t="s">
        <v>23</v>
      </c>
      <c r="ACP4" s="372"/>
      <c r="ACT4" s="76" t="s">
        <v>23</v>
      </c>
      <c r="ACY4" s="372"/>
      <c r="ADC4" s="76" t="s">
        <v>23</v>
      </c>
      <c r="ADH4" s="372"/>
      <c r="ADL4" s="76" t="s">
        <v>23</v>
      </c>
      <c r="ADQ4" s="372"/>
      <c r="ADU4" s="76" t="s">
        <v>23</v>
      </c>
      <c r="ADZ4" s="372"/>
      <c r="AED4" s="76" t="s">
        <v>23</v>
      </c>
      <c r="AEI4" s="372"/>
      <c r="AEM4" s="76" t="s">
        <v>23</v>
      </c>
      <c r="AER4" s="372"/>
    </row>
    <row r="5" spans="1:825" ht="15.75" customHeight="1" x14ac:dyDescent="0.25">
      <c r="A5" s="143">
        <v>2</v>
      </c>
      <c r="B5" s="255" t="str">
        <f t="shared" ref="B5:H5" si="1">U5</f>
        <v>SEABOARD FOODS</v>
      </c>
      <c r="C5" s="255" t="str">
        <f t="shared" si="1"/>
        <v>Seaboard</v>
      </c>
      <c r="D5" s="257" t="str">
        <f t="shared" si="1"/>
        <v>PED. 7454777</v>
      </c>
      <c r="E5" s="141">
        <f t="shared" si="1"/>
        <v>44536</v>
      </c>
      <c r="F5" s="87">
        <f t="shared" si="1"/>
        <v>19015.13</v>
      </c>
      <c r="G5" s="74">
        <f t="shared" si="1"/>
        <v>21</v>
      </c>
      <c r="H5" s="48">
        <f t="shared" si="1"/>
        <v>19041.599999999999</v>
      </c>
      <c r="I5" s="107">
        <f>AB5</f>
        <v>-26.469999999997526</v>
      </c>
      <c r="K5" s="255" t="s">
        <v>161</v>
      </c>
      <c r="L5" s="935" t="s">
        <v>162</v>
      </c>
      <c r="M5" s="260" t="s">
        <v>248</v>
      </c>
      <c r="N5" s="261">
        <v>44535</v>
      </c>
      <c r="O5" s="259">
        <v>18834.02</v>
      </c>
      <c r="P5" s="256">
        <v>21</v>
      </c>
      <c r="Q5" s="1068">
        <v>18864.900000000001</v>
      </c>
      <c r="R5" s="144">
        <f>O5-Q5</f>
        <v>-30.880000000001019</v>
      </c>
      <c r="S5" s="633"/>
      <c r="T5" s="255"/>
      <c r="U5" s="263" t="s">
        <v>161</v>
      </c>
      <c r="V5" s="935" t="s">
        <v>162</v>
      </c>
      <c r="W5" s="260" t="s">
        <v>261</v>
      </c>
      <c r="X5" s="261">
        <v>44536</v>
      </c>
      <c r="Y5" s="259">
        <v>19015.13</v>
      </c>
      <c r="Z5" s="256">
        <v>21</v>
      </c>
      <c r="AA5" s="1073">
        <v>19041.599999999999</v>
      </c>
      <c r="AB5" s="144">
        <f>Y5-AA5</f>
        <v>-26.469999999997526</v>
      </c>
      <c r="AC5" s="633"/>
      <c r="AD5" s="255"/>
      <c r="AE5" s="255" t="s">
        <v>161</v>
      </c>
      <c r="AF5" s="935" t="s">
        <v>162</v>
      </c>
      <c r="AG5" s="260" t="s">
        <v>264</v>
      </c>
      <c r="AH5" s="258">
        <v>44537</v>
      </c>
      <c r="AI5" s="259">
        <v>19130.48</v>
      </c>
      <c r="AJ5" s="256">
        <v>21</v>
      </c>
      <c r="AK5" s="1068">
        <v>19179.7</v>
      </c>
      <c r="AL5" s="144">
        <f>AI5-AK5</f>
        <v>-49.220000000001164</v>
      </c>
      <c r="AM5" s="144"/>
      <c r="AN5" s="255"/>
      <c r="AO5" s="255" t="s">
        <v>266</v>
      </c>
      <c r="AP5" s="1012" t="s">
        <v>269</v>
      </c>
      <c r="AQ5" s="260" t="s">
        <v>271</v>
      </c>
      <c r="AR5" s="258">
        <v>44538</v>
      </c>
      <c r="AS5" s="259">
        <v>18428.150000000001</v>
      </c>
      <c r="AT5" s="256">
        <v>20</v>
      </c>
      <c r="AU5" s="1068">
        <v>18493.310000000001</v>
      </c>
      <c r="AV5" s="144">
        <f>AS5-AU5</f>
        <v>-65.159999999999854</v>
      </c>
      <c r="AW5" s="633"/>
      <c r="AX5" s="255"/>
      <c r="AY5" s="1166" t="s">
        <v>266</v>
      </c>
      <c r="AZ5" s="1012" t="s">
        <v>269</v>
      </c>
      <c r="BA5" s="257" t="s">
        <v>272</v>
      </c>
      <c r="BB5" s="258">
        <v>44539</v>
      </c>
      <c r="BC5" s="259">
        <v>18444.29</v>
      </c>
      <c r="BD5" s="256">
        <v>20</v>
      </c>
      <c r="BE5" s="1068">
        <v>18463.38</v>
      </c>
      <c r="BF5" s="144">
        <f>BC5-BE5</f>
        <v>-19.090000000000146</v>
      </c>
      <c r="BG5" s="633"/>
      <c r="BH5" s="255"/>
      <c r="BI5" s="1166" t="s">
        <v>273</v>
      </c>
      <c r="BJ5" s="1013" t="s">
        <v>274</v>
      </c>
      <c r="BK5" s="257" t="s">
        <v>275</v>
      </c>
      <c r="BL5" s="258">
        <v>44510</v>
      </c>
      <c r="BM5" s="259">
        <v>18330.04</v>
      </c>
      <c r="BN5" s="256">
        <v>20</v>
      </c>
      <c r="BO5" s="1068">
        <v>18375.900000000001</v>
      </c>
      <c r="BP5" s="144">
        <f>BM5-BO5</f>
        <v>-45.860000000000582</v>
      </c>
      <c r="BQ5" s="633"/>
      <c r="BR5" s="255"/>
      <c r="BS5" s="340" t="s">
        <v>161</v>
      </c>
      <c r="BT5" s="1014" t="s">
        <v>162</v>
      </c>
      <c r="BU5" s="260" t="s">
        <v>276</v>
      </c>
      <c r="BV5" s="261">
        <v>44541</v>
      </c>
      <c r="BW5" s="259">
        <v>18880.55</v>
      </c>
      <c r="BX5" s="256">
        <v>21</v>
      </c>
      <c r="BY5" s="1067">
        <v>19005</v>
      </c>
      <c r="BZ5" s="144">
        <f>BW5-BY5</f>
        <v>-124.45000000000073</v>
      </c>
      <c r="CA5" s="338"/>
      <c r="CB5" s="338"/>
      <c r="CC5" s="263" t="s">
        <v>161</v>
      </c>
      <c r="CD5" s="1014" t="s">
        <v>162</v>
      </c>
      <c r="CE5" s="260" t="s">
        <v>277</v>
      </c>
      <c r="CF5" s="261">
        <v>44541</v>
      </c>
      <c r="CG5" s="259">
        <v>19120.43</v>
      </c>
      <c r="CH5" s="256">
        <v>21</v>
      </c>
      <c r="CI5" s="1067">
        <v>19204.5</v>
      </c>
      <c r="CJ5" s="144">
        <f>CG5-CI5</f>
        <v>-84.069999999999709</v>
      </c>
      <c r="CK5" s="338"/>
      <c r="CL5" s="338"/>
      <c r="CM5" s="1166" t="s">
        <v>161</v>
      </c>
      <c r="CN5" s="1014" t="s">
        <v>162</v>
      </c>
      <c r="CO5" s="257" t="s">
        <v>307</v>
      </c>
      <c r="CP5" s="261">
        <v>44544</v>
      </c>
      <c r="CQ5" s="259">
        <v>19062.13</v>
      </c>
      <c r="CR5" s="256">
        <v>21</v>
      </c>
      <c r="CS5" s="1067">
        <v>19061.900000000001</v>
      </c>
      <c r="CT5" s="144">
        <f>CQ5-CS5</f>
        <v>0.22999999999956344</v>
      </c>
      <c r="CU5" s="633"/>
      <c r="CV5" s="255"/>
      <c r="CW5" s="1167" t="s">
        <v>161</v>
      </c>
      <c r="CX5" s="935" t="s">
        <v>162</v>
      </c>
      <c r="CY5" s="257" t="s">
        <v>308</v>
      </c>
      <c r="CZ5" s="261">
        <v>44544</v>
      </c>
      <c r="DA5" s="259">
        <v>18870.150000000001</v>
      </c>
      <c r="DB5" s="256">
        <v>21</v>
      </c>
      <c r="DC5" s="1067">
        <v>18841.400000000001</v>
      </c>
      <c r="DD5" s="144">
        <f>DA5-DC5</f>
        <v>28.75</v>
      </c>
      <c r="DE5" s="633"/>
      <c r="DF5" s="255"/>
      <c r="DG5" s="255" t="s">
        <v>161</v>
      </c>
      <c r="DH5" s="1014" t="s">
        <v>162</v>
      </c>
      <c r="DI5" s="260" t="s">
        <v>309</v>
      </c>
      <c r="DJ5" s="261">
        <v>44544</v>
      </c>
      <c r="DK5" s="259">
        <v>18879.93</v>
      </c>
      <c r="DL5" s="256">
        <v>21</v>
      </c>
      <c r="DM5" s="1067">
        <v>18878.400000000001</v>
      </c>
      <c r="DN5" s="144">
        <f>DK5-DM5</f>
        <v>1.5299999999988358</v>
      </c>
      <c r="DO5" s="633"/>
      <c r="DP5" s="255"/>
      <c r="DQ5" s="1169" t="s">
        <v>266</v>
      </c>
      <c r="DR5" s="1029" t="s">
        <v>269</v>
      </c>
      <c r="DS5" s="260" t="s">
        <v>310</v>
      </c>
      <c r="DT5" s="261">
        <v>44545</v>
      </c>
      <c r="DU5" s="259">
        <v>18662.64</v>
      </c>
      <c r="DV5" s="256">
        <v>20</v>
      </c>
      <c r="DW5" s="1067">
        <v>18667.04</v>
      </c>
      <c r="DX5" s="144">
        <f>DU5-DW5</f>
        <v>-4.4000000000014552</v>
      </c>
      <c r="DY5" s="338"/>
      <c r="DZ5" s="255"/>
      <c r="EA5" s="255" t="s">
        <v>161</v>
      </c>
      <c r="EB5" s="935" t="s">
        <v>162</v>
      </c>
      <c r="EC5" s="260" t="s">
        <v>311</v>
      </c>
      <c r="ED5" s="261">
        <v>44546</v>
      </c>
      <c r="EE5" s="259">
        <v>18925.2</v>
      </c>
      <c r="EF5" s="256">
        <v>21</v>
      </c>
      <c r="EG5" s="1067">
        <v>18989.5</v>
      </c>
      <c r="EH5" s="144">
        <f>EE5-EG5</f>
        <v>-64.299999999999272</v>
      </c>
      <c r="EI5" s="633"/>
      <c r="EJ5" s="255" t="s">
        <v>52</v>
      </c>
      <c r="EK5" s="76" t="s">
        <v>312</v>
      </c>
      <c r="EL5" s="935" t="s">
        <v>162</v>
      </c>
      <c r="EM5" s="262" t="s">
        <v>313</v>
      </c>
      <c r="EN5" s="261">
        <v>44546</v>
      </c>
      <c r="EO5" s="259">
        <v>18946.189999999999</v>
      </c>
      <c r="EP5" s="256">
        <v>21</v>
      </c>
      <c r="EQ5" s="1091">
        <v>18995.2</v>
      </c>
      <c r="ER5" s="144">
        <f>EO5-EQ5</f>
        <v>-49.010000000002037</v>
      </c>
      <c r="ES5" s="633"/>
      <c r="ET5" s="255"/>
      <c r="EU5" s="1166" t="s">
        <v>161</v>
      </c>
      <c r="EV5" s="935" t="s">
        <v>162</v>
      </c>
      <c r="EW5" s="260" t="s">
        <v>336</v>
      </c>
      <c r="EX5" s="261">
        <v>44547</v>
      </c>
      <c r="EY5" s="259">
        <v>18982.43</v>
      </c>
      <c r="EZ5" s="256">
        <v>21</v>
      </c>
      <c r="FA5" s="1067">
        <v>19009.400000000001</v>
      </c>
      <c r="FB5" s="144">
        <f>EY5-FA5</f>
        <v>-26.970000000001164</v>
      </c>
      <c r="FC5" s="633"/>
      <c r="FD5" s="255"/>
      <c r="FE5" s="255" t="s">
        <v>161</v>
      </c>
      <c r="FF5" s="935" t="s">
        <v>162</v>
      </c>
      <c r="FG5" s="260" t="s">
        <v>340</v>
      </c>
      <c r="FH5" s="261">
        <v>44548</v>
      </c>
      <c r="FI5" s="259">
        <v>18979.97</v>
      </c>
      <c r="FJ5" s="256">
        <v>21</v>
      </c>
      <c r="FK5" s="1091">
        <v>18965.2</v>
      </c>
      <c r="FL5" s="144">
        <f>FI5-FK5</f>
        <v>14.770000000000437</v>
      </c>
      <c r="FM5" s="633"/>
      <c r="FN5" s="255"/>
      <c r="FO5" s="564" t="s">
        <v>161</v>
      </c>
      <c r="FP5" s="935" t="s">
        <v>162</v>
      </c>
      <c r="FQ5" s="260" t="s">
        <v>341</v>
      </c>
      <c r="FR5" s="261">
        <v>44548</v>
      </c>
      <c r="FS5" s="259">
        <v>16374.71</v>
      </c>
      <c r="FT5" s="256">
        <v>18</v>
      </c>
      <c r="FU5" s="1067">
        <v>16413.599999999999</v>
      </c>
      <c r="FV5" s="144">
        <f>FS5-FU5</f>
        <v>-38.889999999999418</v>
      </c>
      <c r="FW5" s="633"/>
      <c r="FX5" s="255"/>
      <c r="FY5" s="263" t="s">
        <v>161</v>
      </c>
      <c r="FZ5" s="935" t="s">
        <v>162</v>
      </c>
      <c r="GA5" s="262" t="s">
        <v>343</v>
      </c>
      <c r="GB5" s="261">
        <v>44551</v>
      </c>
      <c r="GC5" s="259">
        <v>18911.37</v>
      </c>
      <c r="GD5" s="256">
        <v>21</v>
      </c>
      <c r="GE5" s="1067">
        <v>18931.5</v>
      </c>
      <c r="GF5" s="144">
        <f>GC5-GE5</f>
        <v>-20.130000000001019</v>
      </c>
      <c r="GG5" s="633"/>
      <c r="GH5" s="255"/>
      <c r="GI5" s="255" t="s">
        <v>161</v>
      </c>
      <c r="GJ5" s="935" t="s">
        <v>345</v>
      </c>
      <c r="GK5" s="260" t="s">
        <v>344</v>
      </c>
      <c r="GL5" s="258">
        <v>44551</v>
      </c>
      <c r="GM5" s="259">
        <v>19160.599999999999</v>
      </c>
      <c r="GN5" s="256">
        <v>21</v>
      </c>
      <c r="GO5" s="1067">
        <v>19165.099999999999</v>
      </c>
      <c r="GP5" s="144">
        <f>GM5-GO5</f>
        <v>-4.5</v>
      </c>
      <c r="GQ5" s="633"/>
      <c r="GR5" s="255"/>
      <c r="GS5" s="1166" t="s">
        <v>161</v>
      </c>
      <c r="GT5" s="935" t="s">
        <v>162</v>
      </c>
      <c r="GU5" s="256" t="s">
        <v>346</v>
      </c>
      <c r="GV5" s="258">
        <v>44551</v>
      </c>
      <c r="GW5" s="259">
        <v>19089.04</v>
      </c>
      <c r="GX5" s="256">
        <v>21</v>
      </c>
      <c r="GY5" s="1067">
        <v>19026.8</v>
      </c>
      <c r="GZ5" s="144">
        <f>GW5-GY5</f>
        <v>62.240000000001601</v>
      </c>
      <c r="HA5" s="633"/>
      <c r="HB5" s="255"/>
      <c r="HC5" s="1164" t="s">
        <v>161</v>
      </c>
      <c r="HD5" s="935" t="s">
        <v>162</v>
      </c>
      <c r="HE5" s="260" t="s">
        <v>347</v>
      </c>
      <c r="HF5" s="258">
        <v>44552</v>
      </c>
      <c r="HG5" s="259">
        <v>18916.740000000002</v>
      </c>
      <c r="HH5" s="256">
        <v>21</v>
      </c>
      <c r="HI5" s="1067">
        <v>18916.7</v>
      </c>
      <c r="HJ5" s="144">
        <f>HG5-HI5</f>
        <v>4.0000000000873115E-2</v>
      </c>
      <c r="HK5" s="633"/>
      <c r="HL5" s="255"/>
      <c r="HM5" s="255" t="s">
        <v>266</v>
      </c>
      <c r="HN5" s="1012" t="s">
        <v>269</v>
      </c>
      <c r="HO5" s="260" t="s">
        <v>348</v>
      </c>
      <c r="HP5" s="261">
        <v>44552</v>
      </c>
      <c r="HQ5" s="259">
        <v>18545.189999999999</v>
      </c>
      <c r="HR5" s="256">
        <v>20</v>
      </c>
      <c r="HS5" s="1091">
        <v>18538.59</v>
      </c>
      <c r="HT5" s="144">
        <f>HQ5-HS5</f>
        <v>6.5999999999985448</v>
      </c>
      <c r="HU5" s="633"/>
      <c r="HV5" s="255"/>
      <c r="HW5" s="1165" t="s">
        <v>349</v>
      </c>
      <c r="HX5" s="1012" t="s">
        <v>269</v>
      </c>
      <c r="HY5" s="260" t="s">
        <v>350</v>
      </c>
      <c r="HZ5" s="261">
        <v>44553</v>
      </c>
      <c r="IA5" s="259">
        <v>18339.52</v>
      </c>
      <c r="IB5" s="256">
        <v>20</v>
      </c>
      <c r="IC5" s="1067">
        <v>18447.490000000002</v>
      </c>
      <c r="ID5" s="144">
        <f>IA5-IC5</f>
        <v>-107.97000000000116</v>
      </c>
      <c r="IE5" s="633"/>
      <c r="IF5" s="255"/>
      <c r="IG5" s="255" t="s">
        <v>266</v>
      </c>
      <c r="IH5" s="1012" t="s">
        <v>269</v>
      </c>
      <c r="II5" s="260" t="s">
        <v>351</v>
      </c>
      <c r="IJ5" s="261">
        <v>44553</v>
      </c>
      <c r="IK5" s="259">
        <v>18453.52</v>
      </c>
      <c r="IL5" s="256">
        <v>20</v>
      </c>
      <c r="IM5" s="1067">
        <v>18532.759999999998</v>
      </c>
      <c r="IN5" s="144">
        <f>IK5-IM5</f>
        <v>-79.239999999997963</v>
      </c>
      <c r="IO5" s="633"/>
      <c r="IP5" s="255"/>
      <c r="IQ5" s="1166" t="s">
        <v>161</v>
      </c>
      <c r="IR5" s="1034" t="s">
        <v>352</v>
      </c>
      <c r="IS5" s="262" t="s">
        <v>270</v>
      </c>
      <c r="IT5" s="258">
        <v>44554</v>
      </c>
      <c r="IU5" s="259">
        <v>18701.990000000002</v>
      </c>
      <c r="IV5" s="256">
        <v>21</v>
      </c>
      <c r="IW5" s="1067">
        <v>18740</v>
      </c>
      <c r="IX5" s="144">
        <f>IU5-IW5</f>
        <v>-38.009999999998399</v>
      </c>
      <c r="IY5" s="633"/>
      <c r="IZ5" s="255"/>
      <c r="JA5" s="255" t="s">
        <v>161</v>
      </c>
      <c r="JB5" s="935" t="s">
        <v>162</v>
      </c>
      <c r="JC5" s="262" t="s">
        <v>353</v>
      </c>
      <c r="JD5" s="261">
        <v>44554</v>
      </c>
      <c r="JE5" s="259">
        <v>18697.38</v>
      </c>
      <c r="JF5" s="256">
        <v>21</v>
      </c>
      <c r="JG5" s="254">
        <v>18734.8</v>
      </c>
      <c r="JH5" s="144">
        <f>JE5-JG5</f>
        <v>-37.419999999998254</v>
      </c>
      <c r="JI5" s="633"/>
      <c r="JJ5" s="255"/>
      <c r="JK5" s="961" t="s">
        <v>161</v>
      </c>
      <c r="JL5" s="1038" t="s">
        <v>162</v>
      </c>
      <c r="JM5" s="260" t="s">
        <v>354</v>
      </c>
      <c r="JN5" s="261">
        <v>44554</v>
      </c>
      <c r="JO5" s="259">
        <v>19104.060000000001</v>
      </c>
      <c r="JP5" s="256">
        <v>21</v>
      </c>
      <c r="JQ5" s="1091">
        <v>19110.400000000001</v>
      </c>
      <c r="JR5" s="144">
        <f>JO5-JQ5</f>
        <v>-6.3400000000001455</v>
      </c>
      <c r="JS5" s="633"/>
      <c r="JT5" s="255"/>
      <c r="JU5" s="263" t="s">
        <v>161</v>
      </c>
      <c r="JV5" s="935" t="s">
        <v>162</v>
      </c>
      <c r="JW5" s="262" t="s">
        <v>355</v>
      </c>
      <c r="JX5" s="261">
        <v>44554</v>
      </c>
      <c r="JY5" s="259">
        <v>19049.900000000001</v>
      </c>
      <c r="JZ5" s="256">
        <v>21</v>
      </c>
      <c r="KA5" s="1067">
        <v>19048.8</v>
      </c>
      <c r="KB5" s="144">
        <f>JY5-KA5</f>
        <v>1.1000000000021828</v>
      </c>
      <c r="KC5" s="633"/>
      <c r="KD5" s="255"/>
      <c r="KE5" s="1167" t="s">
        <v>161</v>
      </c>
      <c r="KF5" s="935" t="s">
        <v>162</v>
      </c>
      <c r="KG5" s="262" t="s">
        <v>356</v>
      </c>
      <c r="KH5" s="261">
        <v>44556</v>
      </c>
      <c r="KI5" s="259">
        <v>18914.25</v>
      </c>
      <c r="KJ5" s="256">
        <v>21</v>
      </c>
      <c r="KK5" s="254">
        <v>18951</v>
      </c>
      <c r="KL5" s="144">
        <f>KI5-KK5</f>
        <v>-36.75</v>
      </c>
      <c r="KM5" s="633"/>
      <c r="KN5" s="255"/>
      <c r="KO5" s="263" t="s">
        <v>161</v>
      </c>
      <c r="KP5" s="935" t="s">
        <v>162</v>
      </c>
      <c r="KQ5" s="262" t="s">
        <v>397</v>
      </c>
      <c r="KR5" s="261">
        <v>44558</v>
      </c>
      <c r="KS5" s="259">
        <v>18868.09</v>
      </c>
      <c r="KT5" s="256">
        <v>21</v>
      </c>
      <c r="KU5" s="1067">
        <v>18937.2</v>
      </c>
      <c r="KV5" s="144">
        <f>KS5-KU5</f>
        <v>-69.110000000000582</v>
      </c>
      <c r="KW5" s="633"/>
      <c r="KX5" s="255"/>
      <c r="KY5" s="263" t="s">
        <v>349</v>
      </c>
      <c r="KZ5" s="1012" t="s">
        <v>269</v>
      </c>
      <c r="LA5" s="262" t="s">
        <v>398</v>
      </c>
      <c r="LB5" s="258">
        <v>44558</v>
      </c>
      <c r="LC5" s="259">
        <v>18387.689999999999</v>
      </c>
      <c r="LD5" s="256">
        <v>20</v>
      </c>
      <c r="LE5" s="1067">
        <v>18445.669999999998</v>
      </c>
      <c r="LF5" s="144">
        <f>LC5-LE5</f>
        <v>-57.979999999999563</v>
      </c>
      <c r="LG5" s="633"/>
      <c r="LH5" s="255" t="s">
        <v>41</v>
      </c>
      <c r="LI5" s="255" t="s">
        <v>349</v>
      </c>
      <c r="LJ5" s="1012" t="s">
        <v>269</v>
      </c>
      <c r="LK5" s="260" t="s">
        <v>399</v>
      </c>
      <c r="LL5" s="261">
        <v>44559</v>
      </c>
      <c r="LM5" s="259">
        <v>18533.84</v>
      </c>
      <c r="LN5" s="256">
        <v>20</v>
      </c>
      <c r="LO5" s="1067">
        <v>18548.650000000001</v>
      </c>
      <c r="LP5" s="144">
        <f>LM5-LO5</f>
        <v>-14.81000000000131</v>
      </c>
      <c r="LQ5" s="633"/>
      <c r="LS5" s="255" t="s">
        <v>161</v>
      </c>
      <c r="LT5" s="935" t="s">
        <v>162</v>
      </c>
      <c r="LU5" s="257" t="s">
        <v>400</v>
      </c>
      <c r="LV5" s="261">
        <v>44559</v>
      </c>
      <c r="LW5" s="259">
        <v>18934.95</v>
      </c>
      <c r="LX5" s="256">
        <v>21</v>
      </c>
      <c r="LY5" s="1067">
        <v>19077.5</v>
      </c>
      <c r="LZ5" s="144">
        <f>LW5-LY5</f>
        <v>-142.54999999999927</v>
      </c>
      <c r="MA5" s="633"/>
      <c r="MB5" s="338"/>
      <c r="MC5" s="255" t="s">
        <v>161</v>
      </c>
      <c r="MD5" s="935" t="s">
        <v>162</v>
      </c>
      <c r="ME5" s="257" t="s">
        <v>401</v>
      </c>
      <c r="MF5" s="258">
        <v>44560</v>
      </c>
      <c r="MG5" s="259">
        <v>18933.580000000002</v>
      </c>
      <c r="MH5" s="256">
        <v>21</v>
      </c>
      <c r="MI5" s="1067">
        <v>18995.599999999999</v>
      </c>
      <c r="MJ5" s="144">
        <f>MG5-MI5</f>
        <v>-62.019999999996799</v>
      </c>
      <c r="MK5" s="144"/>
      <c r="MM5" s="255" t="s">
        <v>415</v>
      </c>
      <c r="MN5" s="1112" t="s">
        <v>416</v>
      </c>
      <c r="MO5" s="260" t="s">
        <v>417</v>
      </c>
      <c r="MP5" s="258">
        <v>44560</v>
      </c>
      <c r="MQ5" s="259">
        <v>18503.34</v>
      </c>
      <c r="MR5" s="256">
        <v>20</v>
      </c>
      <c r="MS5" s="1067">
        <v>18531.39</v>
      </c>
      <c r="MT5" s="144">
        <f>MQ5-MS5</f>
        <v>-28.049999999999272</v>
      </c>
      <c r="MU5" s="144"/>
      <c r="MW5" s="255" t="s">
        <v>161</v>
      </c>
      <c r="MX5" s="935" t="s">
        <v>162</v>
      </c>
      <c r="MY5" s="260" t="s">
        <v>402</v>
      </c>
      <c r="MZ5" s="258">
        <v>44561</v>
      </c>
      <c r="NA5" s="259">
        <v>18788.04</v>
      </c>
      <c r="NB5" s="256">
        <v>21</v>
      </c>
      <c r="NC5" s="1067">
        <v>18849.7</v>
      </c>
      <c r="ND5" s="144">
        <f>NA5-NC5</f>
        <v>-61.659999999999854</v>
      </c>
      <c r="NE5" s="144"/>
      <c r="NG5" s="255" t="s">
        <v>161</v>
      </c>
      <c r="NH5" s="935" t="s">
        <v>162</v>
      </c>
      <c r="NI5" s="257" t="s">
        <v>418</v>
      </c>
      <c r="NJ5" s="258">
        <v>44563</v>
      </c>
      <c r="NK5" s="259">
        <v>18943.84</v>
      </c>
      <c r="NL5" s="256">
        <v>21</v>
      </c>
      <c r="NM5" s="254">
        <v>19073.7</v>
      </c>
      <c r="NN5" s="144">
        <f>NK5-NM5</f>
        <v>-129.86000000000058</v>
      </c>
      <c r="NO5" s="144"/>
      <c r="NQ5" s="365" t="s">
        <v>161</v>
      </c>
      <c r="NR5" s="935" t="s">
        <v>162</v>
      </c>
      <c r="NS5" s="257" t="s">
        <v>419</v>
      </c>
      <c r="NT5" s="258">
        <v>44563</v>
      </c>
      <c r="NU5" s="259">
        <v>18944.310000000001</v>
      </c>
      <c r="NV5" s="256">
        <v>21</v>
      </c>
      <c r="NW5" s="1067">
        <v>19120</v>
      </c>
      <c r="NX5" s="144">
        <f>NU5-NW5</f>
        <v>-175.68999999999869</v>
      </c>
      <c r="NY5" s="144"/>
      <c r="OA5" s="255"/>
      <c r="OB5" s="256"/>
      <c r="OC5" s="260"/>
      <c r="OD5" s="258"/>
      <c r="OE5" s="259"/>
      <c r="OF5" s="256"/>
      <c r="OG5" s="254"/>
      <c r="OH5" s="144">
        <f>OE5-OG5</f>
        <v>0</v>
      </c>
      <c r="OI5" s="144"/>
      <c r="OK5" s="255"/>
      <c r="OL5" s="256"/>
      <c r="OM5" s="257"/>
      <c r="ON5" s="258"/>
      <c r="OO5" s="259"/>
      <c r="OP5" s="256"/>
      <c r="OQ5" s="254"/>
      <c r="OR5" s="144">
        <f>OO5-OQ5</f>
        <v>0</v>
      </c>
      <c r="OS5" s="144"/>
      <c r="OU5" s="255"/>
      <c r="OV5" s="256"/>
      <c r="OW5" s="257"/>
      <c r="OX5" s="261"/>
      <c r="OY5" s="259"/>
      <c r="OZ5" s="256"/>
      <c r="PA5" s="254"/>
      <c r="PB5" s="144">
        <f>OY5-PA5</f>
        <v>0</v>
      </c>
      <c r="PC5" s="144"/>
      <c r="PE5" s="255"/>
      <c r="PF5" s="256"/>
      <c r="PG5" s="260"/>
      <c r="PH5" s="258"/>
      <c r="PI5" s="259"/>
      <c r="PJ5" s="256"/>
      <c r="PK5" s="254"/>
      <c r="PL5" s="144">
        <f>PI5-PK5</f>
        <v>0</v>
      </c>
      <c r="PM5" s="144"/>
      <c r="PO5" s="255"/>
      <c r="PP5" s="256"/>
      <c r="PQ5" s="257"/>
      <c r="PR5" s="261"/>
      <c r="PS5" s="259"/>
      <c r="PT5" s="256"/>
      <c r="PU5" s="254"/>
      <c r="PV5" s="144">
        <f>PS5-PU5</f>
        <v>0</v>
      </c>
      <c r="PX5" s="255"/>
      <c r="PY5" s="256"/>
      <c r="PZ5" s="257"/>
      <c r="QA5" s="258"/>
      <c r="QB5" s="259"/>
      <c r="QC5" s="256"/>
      <c r="QD5" s="254"/>
      <c r="QE5" s="144">
        <f>QB5-QD5</f>
        <v>0</v>
      </c>
      <c r="QG5" s="255"/>
      <c r="QH5" s="256"/>
      <c r="QI5" s="257"/>
      <c r="QJ5" s="261"/>
      <c r="QK5" s="259"/>
      <c r="QL5" s="256"/>
      <c r="QM5" s="254"/>
      <c r="QN5" s="144">
        <f>QK5-QM5</f>
        <v>0</v>
      </c>
      <c r="QP5" s="255"/>
      <c r="QQ5" s="256"/>
      <c r="QR5" s="260"/>
      <c r="QS5" s="261"/>
      <c r="QT5" s="259"/>
      <c r="QU5" s="256"/>
      <c r="QV5" s="254"/>
      <c r="QW5" s="144">
        <f>QT5-QV5</f>
        <v>0</v>
      </c>
      <c r="QY5" s="255"/>
      <c r="QZ5" s="256"/>
      <c r="RA5" s="257"/>
      <c r="RB5" s="261"/>
      <c r="RC5" s="259"/>
      <c r="RD5" s="256"/>
      <c r="RE5" s="254"/>
      <c r="RF5" s="144">
        <f>RC5-RE5</f>
        <v>0</v>
      </c>
      <c r="RH5" s="255"/>
      <c r="RI5" s="364"/>
      <c r="RJ5" s="257"/>
      <c r="RK5" s="258"/>
      <c r="RL5" s="259"/>
      <c r="RM5" s="256"/>
      <c r="RN5" s="254"/>
      <c r="RO5" s="144">
        <f>RL5-RN5</f>
        <v>0</v>
      </c>
      <c r="RQ5" s="255"/>
      <c r="RR5" s="364"/>
      <c r="RS5" s="257"/>
      <c r="RT5" s="261"/>
      <c r="RU5" s="259"/>
      <c r="RV5" s="256"/>
      <c r="RW5" s="254"/>
      <c r="RX5" s="144">
        <f>RU5-RW5</f>
        <v>0</v>
      </c>
      <c r="SA5" s="195"/>
      <c r="SB5" s="104"/>
      <c r="SC5" s="140"/>
      <c r="SD5" s="87"/>
      <c r="SE5" s="74"/>
      <c r="SF5" s="48"/>
      <c r="SG5" s="144">
        <f>SD5-SF5</f>
        <v>0</v>
      </c>
      <c r="SI5" s="135"/>
      <c r="SJ5" s="195"/>
      <c r="SK5" s="104"/>
      <c r="SL5" s="140"/>
      <c r="SM5" s="87"/>
      <c r="SN5" s="74"/>
      <c r="SO5" s="48"/>
      <c r="SP5" s="144">
        <f>SM5-SO5</f>
        <v>0</v>
      </c>
      <c r="SR5" s="135"/>
      <c r="SS5" s="243"/>
      <c r="ST5" s="104"/>
      <c r="SU5" s="140"/>
      <c r="SV5" s="87"/>
      <c r="SW5" s="74"/>
      <c r="SX5" s="48"/>
      <c r="SY5" s="144">
        <f>SV5-SX5</f>
        <v>0</v>
      </c>
      <c r="TA5" s="135"/>
      <c r="TB5" s="195"/>
      <c r="TC5" s="104"/>
      <c r="TD5" s="141"/>
      <c r="TE5" s="87"/>
      <c r="TF5" s="74"/>
      <c r="TG5" s="48"/>
      <c r="TH5" s="144">
        <f>TE5-TG5</f>
        <v>0</v>
      </c>
      <c r="TK5" s="195"/>
      <c r="TL5" s="104"/>
      <c r="TM5" s="140"/>
      <c r="TN5" s="87"/>
      <c r="TO5" s="74"/>
      <c r="TP5" s="48"/>
      <c r="TQ5" s="144">
        <f>TN5-TP5</f>
        <v>0</v>
      </c>
      <c r="TT5" s="179"/>
      <c r="TU5" s="104"/>
      <c r="TV5" s="141"/>
      <c r="TW5" s="87"/>
      <c r="TX5" s="74"/>
      <c r="TY5" s="48"/>
      <c r="TZ5" s="144">
        <f>TW5-TY5</f>
        <v>0</v>
      </c>
      <c r="UC5" s="195"/>
      <c r="UD5" s="104"/>
      <c r="UE5" s="140"/>
      <c r="UF5" s="87"/>
      <c r="UG5" s="74"/>
      <c r="UH5" s="48"/>
      <c r="UI5" s="144">
        <f>UF5-UH5</f>
        <v>0</v>
      </c>
      <c r="UL5" s="179"/>
      <c r="UM5" s="104"/>
      <c r="UN5" s="141"/>
      <c r="UO5" s="87"/>
      <c r="UP5" s="74"/>
      <c r="UQ5" s="48"/>
      <c r="UR5" s="144">
        <f>UO5-UQ5</f>
        <v>0</v>
      </c>
      <c r="UT5" s="135"/>
      <c r="UU5" s="179"/>
      <c r="UV5" s="104"/>
      <c r="UW5" s="140"/>
      <c r="UX5" s="87"/>
      <c r="UY5" s="74"/>
      <c r="UZ5" s="48"/>
      <c r="VA5" s="144">
        <f>UX5-UZ5</f>
        <v>0</v>
      </c>
      <c r="VD5" s="179"/>
      <c r="VE5" s="104"/>
      <c r="VF5" s="140"/>
      <c r="VG5" s="87"/>
      <c r="VH5" s="74"/>
      <c r="VI5" s="48"/>
      <c r="VJ5" s="144">
        <f>VG5-VI5</f>
        <v>0</v>
      </c>
      <c r="VM5" s="179"/>
      <c r="VN5" s="104"/>
      <c r="VO5" s="140"/>
      <c r="VP5" s="87"/>
      <c r="VQ5" s="74"/>
      <c r="VR5" s="48"/>
      <c r="VS5" s="144">
        <f>VP5-VR5</f>
        <v>0</v>
      </c>
      <c r="VV5" s="179"/>
      <c r="VW5" s="104"/>
      <c r="VX5" s="140"/>
      <c r="VY5" s="87"/>
      <c r="VZ5" s="74"/>
      <c r="WA5" s="48"/>
      <c r="WB5" s="144">
        <f>VY5-WA5</f>
        <v>0</v>
      </c>
      <c r="WE5" s="179"/>
      <c r="WF5" s="104"/>
      <c r="WG5" s="140"/>
      <c r="WH5" s="87"/>
      <c r="WI5" s="74"/>
      <c r="WJ5" s="48"/>
      <c r="WK5" s="144">
        <f>WH5-WJ5</f>
        <v>0</v>
      </c>
      <c r="WN5" s="179"/>
      <c r="WO5" s="104"/>
      <c r="WP5" s="140"/>
      <c r="WQ5" s="87"/>
      <c r="WR5" s="74"/>
      <c r="WS5" s="48"/>
      <c r="WT5" s="144">
        <f>WQ5-WS5</f>
        <v>0</v>
      </c>
      <c r="WV5" s="135"/>
      <c r="WW5" s="179"/>
      <c r="WX5" s="104"/>
      <c r="WY5" s="140"/>
      <c r="WZ5" s="87"/>
      <c r="XA5" s="74"/>
      <c r="XB5" s="48"/>
      <c r="XC5" s="144">
        <f>WZ5-XB5</f>
        <v>0</v>
      </c>
      <c r="XF5" s="179"/>
      <c r="XG5" s="104"/>
      <c r="XH5" s="140"/>
      <c r="XI5" s="87"/>
      <c r="XJ5" s="74"/>
      <c r="XK5" s="48"/>
      <c r="XL5" s="144">
        <f>XI5-XK5</f>
        <v>0</v>
      </c>
      <c r="XO5" s="179"/>
      <c r="XP5" s="104"/>
      <c r="XQ5" s="140"/>
      <c r="XR5" s="87"/>
      <c r="XS5" s="74"/>
      <c r="XT5" s="48"/>
      <c r="XU5" s="144">
        <f>XR5-XT5</f>
        <v>0</v>
      </c>
      <c r="XX5" s="179"/>
      <c r="XY5" s="104"/>
      <c r="XZ5" s="140"/>
      <c r="YA5" s="87"/>
      <c r="YB5" s="74"/>
      <c r="YC5" s="48"/>
      <c r="YD5" s="144">
        <f>YA5-YC5</f>
        <v>0</v>
      </c>
      <c r="YF5" s="134"/>
      <c r="YG5" s="195"/>
      <c r="YH5" s="104"/>
      <c r="YI5" s="140"/>
      <c r="YJ5" s="87"/>
      <c r="YK5" s="74"/>
      <c r="YL5" s="48"/>
      <c r="YM5" s="144">
        <f>YJ5-YL5</f>
        <v>0</v>
      </c>
      <c r="YP5" s="179"/>
      <c r="YQ5" s="104"/>
      <c r="YR5" s="140"/>
      <c r="YS5" s="87"/>
      <c r="YT5" s="74"/>
      <c r="YU5" s="48"/>
      <c r="YV5" s="144">
        <f>YS5-YU5</f>
        <v>0</v>
      </c>
      <c r="YY5" s="179"/>
      <c r="YZ5" s="104"/>
      <c r="ZA5" s="140"/>
      <c r="ZB5" s="87"/>
      <c r="ZC5" s="74"/>
      <c r="ZD5" s="48"/>
      <c r="ZE5" s="144">
        <f>ZB5-ZD5</f>
        <v>0</v>
      </c>
      <c r="ZH5" s="179"/>
      <c r="ZI5" s="104"/>
      <c r="ZJ5" s="140"/>
      <c r="ZK5" s="87"/>
      <c r="ZL5" s="74"/>
      <c r="ZM5" s="48"/>
      <c r="ZN5" s="144">
        <f>ZK5-ZM5</f>
        <v>0</v>
      </c>
      <c r="ZQ5" s="179"/>
      <c r="ZR5" s="104"/>
      <c r="ZS5" s="140"/>
      <c r="ZT5" s="87"/>
      <c r="ZU5" s="74"/>
      <c r="ZV5" s="48"/>
      <c r="ZW5" s="144">
        <f>ZT5-ZV5</f>
        <v>0</v>
      </c>
      <c r="ZY5" s="135"/>
      <c r="ZZ5" s="179"/>
      <c r="AAA5" s="104"/>
      <c r="AAB5" s="140"/>
      <c r="AAC5" s="87"/>
      <c r="AAD5" s="74"/>
      <c r="AAE5" s="48"/>
      <c r="AAF5" s="144">
        <f>AAC5-AAE5</f>
        <v>0</v>
      </c>
      <c r="AAI5" s="179"/>
      <c r="AAJ5" s="104"/>
      <c r="AAK5" s="140"/>
      <c r="AAL5" s="87"/>
      <c r="AAM5" s="74"/>
      <c r="AAN5" s="48"/>
      <c r="AAO5" s="144">
        <f>AAL5-AAN5</f>
        <v>0</v>
      </c>
      <c r="AAR5" s="179"/>
      <c r="AAS5" s="104"/>
      <c r="AAT5" s="140"/>
      <c r="AAU5" s="87"/>
      <c r="AAV5" s="74"/>
      <c r="AAW5" s="48"/>
      <c r="AAX5" s="144">
        <f>AAU5-AAW5</f>
        <v>0</v>
      </c>
      <c r="ABA5" s="179"/>
      <c r="ABB5" s="104"/>
      <c r="ABC5" s="140"/>
      <c r="ABD5" s="87"/>
      <c r="ABE5" s="74"/>
      <c r="ABF5" s="48"/>
      <c r="ABG5" s="144">
        <f>ABD5-ABF5</f>
        <v>0</v>
      </c>
      <c r="ABJ5" s="179"/>
      <c r="ABK5" s="104"/>
      <c r="ABL5" s="140"/>
      <c r="ABM5" s="87"/>
      <c r="ABN5" s="74"/>
      <c r="ABO5" s="48"/>
      <c r="ABP5" s="144">
        <f>ABM5-ABO5</f>
        <v>0</v>
      </c>
      <c r="ABS5" s="179"/>
      <c r="ABT5" s="104"/>
      <c r="ABU5" s="140"/>
      <c r="ABV5" s="87"/>
      <c r="ABW5" s="74"/>
      <c r="ABX5" s="48"/>
      <c r="ABY5" s="144">
        <f>ABV5-ABX5</f>
        <v>0</v>
      </c>
      <c r="ACB5" s="179"/>
      <c r="ACC5" s="104"/>
      <c r="ACD5" s="140"/>
      <c r="ACE5" s="87"/>
      <c r="ACF5" s="74"/>
      <c r="ACG5" s="48"/>
      <c r="ACH5" s="144">
        <f>ACE5-ACG5</f>
        <v>0</v>
      </c>
      <c r="ACK5" s="179"/>
      <c r="ACL5" s="104"/>
      <c r="ACM5" s="140"/>
      <c r="ACN5" s="87"/>
      <c r="ACO5" s="74"/>
      <c r="ACP5" s="48"/>
      <c r="ACQ5" s="144">
        <f>ACN5-ACP5</f>
        <v>0</v>
      </c>
      <c r="ACS5" s="135"/>
      <c r="ACT5" s="179"/>
      <c r="ACU5" s="104"/>
      <c r="ACV5" s="140"/>
      <c r="ACW5" s="87"/>
      <c r="ACX5" s="74"/>
      <c r="ACY5" s="48"/>
      <c r="ACZ5" s="144">
        <f>ACW5-ACY5</f>
        <v>0</v>
      </c>
      <c r="ADB5" s="135"/>
      <c r="ADC5" s="179"/>
      <c r="ADD5" s="104"/>
      <c r="ADE5" s="140"/>
      <c r="ADF5" s="87"/>
      <c r="ADG5" s="74"/>
      <c r="ADH5" s="48"/>
      <c r="ADI5" s="144">
        <f>ADF5-ADH5</f>
        <v>0</v>
      </c>
      <c r="ADK5" s="135"/>
      <c r="ADL5" s="179"/>
      <c r="ADM5" s="104"/>
      <c r="ADN5" s="140"/>
      <c r="ADO5" s="87"/>
      <c r="ADP5" s="74"/>
      <c r="ADQ5" s="48"/>
      <c r="ADR5" s="144">
        <f>ADO5-ADQ5</f>
        <v>0</v>
      </c>
      <c r="ADT5" s="135"/>
      <c r="ADU5" s="179"/>
      <c r="ADV5" s="104"/>
      <c r="ADW5" s="140"/>
      <c r="ADX5" s="87"/>
      <c r="ADY5" s="74"/>
      <c r="ADZ5" s="48"/>
      <c r="AEA5" s="144">
        <f>ADX5-ADZ5</f>
        <v>0</v>
      </c>
      <c r="AED5" s="179"/>
      <c r="AEE5" s="104"/>
      <c r="AEF5" s="140"/>
      <c r="AEG5" s="87"/>
      <c r="AEH5" s="74"/>
      <c r="AEI5" s="48"/>
      <c r="AEJ5" s="144">
        <f>AEG5-AEI5</f>
        <v>0</v>
      </c>
      <c r="AEM5" s="179"/>
      <c r="AEN5" s="104"/>
      <c r="AEO5" s="140"/>
      <c r="AEP5" s="87"/>
      <c r="AEQ5" s="74"/>
      <c r="AER5" s="48"/>
      <c r="AES5" s="144">
        <f>AEP5-AER5</f>
        <v>0</v>
      </c>
    </row>
    <row r="6" spans="1:825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74558450</v>
      </c>
      <c r="E6" s="141">
        <f t="shared" si="2"/>
        <v>44537</v>
      </c>
      <c r="F6" s="87">
        <f t="shared" si="2"/>
        <v>19130.48</v>
      </c>
      <c r="G6" s="74">
        <f t="shared" si="2"/>
        <v>21</v>
      </c>
      <c r="H6" s="48">
        <f t="shared" si="2"/>
        <v>19179.7</v>
      </c>
      <c r="I6" s="107">
        <f>AL5</f>
        <v>-49.220000000001164</v>
      </c>
      <c r="K6" s="255"/>
      <c r="L6" s="267"/>
      <c r="M6" s="255"/>
      <c r="N6" s="255"/>
      <c r="O6" s="255"/>
      <c r="P6" s="255"/>
      <c r="Q6" s="256"/>
      <c r="S6" s="627"/>
      <c r="T6" s="255"/>
      <c r="U6" s="263"/>
      <c r="V6" s="267"/>
      <c r="W6" s="255"/>
      <c r="X6" s="255"/>
      <c r="Y6" s="255"/>
      <c r="Z6" s="255"/>
      <c r="AA6" s="256"/>
      <c r="AB6" s="255"/>
      <c r="AC6" s="338"/>
      <c r="AD6" s="255"/>
      <c r="AE6" s="255"/>
      <c r="AF6" s="264"/>
      <c r="AG6" s="255"/>
      <c r="AH6" s="255"/>
      <c r="AI6" s="255"/>
      <c r="AJ6" s="255"/>
      <c r="AK6" s="256"/>
      <c r="AL6" s="255"/>
      <c r="AM6" s="255"/>
      <c r="AN6" s="255"/>
      <c r="AO6" s="255"/>
      <c r="AP6" s="267"/>
      <c r="AQ6" s="255"/>
      <c r="AR6" s="255"/>
      <c r="AS6" s="255"/>
      <c r="AT6" s="255"/>
      <c r="AU6" s="256"/>
      <c r="AV6" s="255"/>
      <c r="AW6" s="338"/>
      <c r="AX6" s="255"/>
      <c r="AY6" s="1166"/>
      <c r="AZ6" s="364"/>
      <c r="BA6" s="255"/>
      <c r="BB6" s="255"/>
      <c r="BC6" s="255"/>
      <c r="BD6" s="255"/>
      <c r="BE6" s="256"/>
      <c r="BF6" s="255"/>
      <c r="BG6" s="338"/>
      <c r="BH6" s="255"/>
      <c r="BI6" s="1166"/>
      <c r="BJ6" s="364"/>
      <c r="BK6" s="255"/>
      <c r="BL6" s="255"/>
      <c r="BM6" s="255"/>
      <c r="BN6" s="255"/>
      <c r="BO6" s="256"/>
      <c r="BP6" s="255"/>
      <c r="BQ6" s="338"/>
      <c r="BR6" s="255"/>
      <c r="BS6" s="255"/>
      <c r="BT6" s="267"/>
      <c r="BU6" s="255"/>
      <c r="BV6" s="255"/>
      <c r="BW6" s="255"/>
      <c r="BX6" s="255"/>
      <c r="BY6" s="256"/>
      <c r="BZ6" s="255"/>
      <c r="CA6" s="338"/>
      <c r="CB6" s="338"/>
      <c r="CC6" s="263"/>
      <c r="CD6" s="267"/>
      <c r="CE6" s="255"/>
      <c r="CF6" s="255"/>
      <c r="CG6" s="255"/>
      <c r="CH6" s="255"/>
      <c r="CI6" s="256"/>
      <c r="CJ6" s="255"/>
      <c r="CK6" s="338"/>
      <c r="CL6" s="338"/>
      <c r="CM6" s="1166"/>
      <c r="CN6" s="691"/>
      <c r="CO6" s="255"/>
      <c r="CP6" s="255"/>
      <c r="CQ6" s="255"/>
      <c r="CR6" s="255"/>
      <c r="CS6" s="256"/>
      <c r="CT6" s="255"/>
      <c r="CU6" s="338"/>
      <c r="CV6" s="255"/>
      <c r="CW6" s="1167"/>
      <c r="CX6" s="267"/>
      <c r="CY6" s="255"/>
      <c r="CZ6" s="255"/>
      <c r="DA6" s="255"/>
      <c r="DB6" s="255"/>
      <c r="DC6" s="256"/>
      <c r="DD6" s="255"/>
      <c r="DE6" s="338"/>
      <c r="DF6" s="255"/>
      <c r="DG6" s="266"/>
      <c r="DH6" s="267"/>
      <c r="DI6" s="255"/>
      <c r="DJ6" s="255"/>
      <c r="DK6" s="255"/>
      <c r="DL6" s="255"/>
      <c r="DM6" s="256"/>
      <c r="DN6" s="255"/>
      <c r="DO6" s="338"/>
      <c r="DP6" s="255"/>
      <c r="DQ6" s="1169"/>
      <c r="DR6" s="267"/>
      <c r="DS6" s="255"/>
      <c r="DT6" s="255"/>
      <c r="DU6" s="255"/>
      <c r="DV6" s="255"/>
      <c r="DW6" s="256"/>
      <c r="DX6" s="255"/>
      <c r="DY6" s="338"/>
      <c r="DZ6" s="255"/>
      <c r="EA6" s="255"/>
      <c r="EB6" s="267"/>
      <c r="EC6" s="255"/>
      <c r="ED6" s="255"/>
      <c r="EE6" s="255"/>
      <c r="EF6" s="255"/>
      <c r="EG6" s="256"/>
      <c r="EH6" s="255"/>
      <c r="EI6" s="338"/>
      <c r="EJ6" s="255"/>
      <c r="EK6" s="265"/>
      <c r="EL6" s="267"/>
      <c r="EM6" s="255"/>
      <c r="EN6" s="255"/>
      <c r="EO6" s="255"/>
      <c r="EP6" s="255"/>
      <c r="EQ6" s="256"/>
      <c r="ER6" s="255"/>
      <c r="ES6" s="338"/>
      <c r="ET6" s="255"/>
      <c r="EU6" s="1166"/>
      <c r="EV6" s="255"/>
      <c r="EW6" s="255"/>
      <c r="EX6" s="255"/>
      <c r="EY6" s="255"/>
      <c r="EZ6" s="255"/>
      <c r="FA6" s="256"/>
      <c r="FB6" s="255"/>
      <c r="FC6" s="338"/>
      <c r="FD6" s="255"/>
      <c r="FE6" s="265"/>
      <c r="FF6" s="267"/>
      <c r="FG6" s="255"/>
      <c r="FH6" s="255"/>
      <c r="FI6" s="255"/>
      <c r="FJ6" s="255"/>
      <c r="FK6" s="256"/>
      <c r="FL6" s="255"/>
      <c r="FM6" s="338"/>
      <c r="FN6" s="255"/>
      <c r="FO6" s="263"/>
      <c r="FP6" s="267"/>
      <c r="FQ6" s="255"/>
      <c r="FR6" s="255"/>
      <c r="FS6" s="255"/>
      <c r="FT6" s="255"/>
      <c r="FU6" s="256"/>
      <c r="FV6" s="255"/>
      <c r="FW6" s="338"/>
      <c r="FX6" s="255"/>
      <c r="FY6" s="263"/>
      <c r="FZ6" s="267"/>
      <c r="GA6" s="255"/>
      <c r="GB6" s="255"/>
      <c r="GC6" s="255"/>
      <c r="GD6" s="255"/>
      <c r="GE6" s="256"/>
      <c r="GF6" s="255"/>
      <c r="GG6" s="338"/>
      <c r="GH6" s="255"/>
      <c r="GI6" s="255"/>
      <c r="GJ6" s="267"/>
      <c r="GK6" s="255"/>
      <c r="GL6" s="255"/>
      <c r="GM6" s="255"/>
      <c r="GN6" s="255"/>
      <c r="GO6" s="256"/>
      <c r="GP6" s="255"/>
      <c r="GQ6" s="338"/>
      <c r="GR6" s="255"/>
      <c r="GS6" s="1166"/>
      <c r="GT6" s="264"/>
      <c r="GU6" s="255"/>
      <c r="GV6" s="255"/>
      <c r="GW6" s="255"/>
      <c r="GX6" s="255"/>
      <c r="GY6" s="256"/>
      <c r="GZ6" s="255"/>
      <c r="HA6" s="338"/>
      <c r="HB6" s="255"/>
      <c r="HC6" s="1164"/>
      <c r="HD6" s="267"/>
      <c r="HE6" s="255"/>
      <c r="HF6" s="255"/>
      <c r="HG6" s="255"/>
      <c r="HH6" s="255"/>
      <c r="HI6" s="256"/>
      <c r="HJ6" s="255"/>
      <c r="HK6" s="338"/>
      <c r="HL6" s="255"/>
      <c r="HM6" s="265"/>
      <c r="HN6" s="267"/>
      <c r="HO6" s="255"/>
      <c r="HP6" s="255"/>
      <c r="HQ6" s="255"/>
      <c r="HR6" s="255"/>
      <c r="HS6" s="256"/>
      <c r="HT6" s="255"/>
      <c r="HU6" s="338"/>
      <c r="HV6" s="255"/>
      <c r="HW6" s="1165"/>
      <c r="HX6" s="255"/>
      <c r="HY6" s="255"/>
      <c r="HZ6" s="255"/>
      <c r="IA6" s="255"/>
      <c r="IB6" s="255"/>
      <c r="IC6" s="256"/>
      <c r="ID6" s="255"/>
      <c r="IE6" s="338"/>
      <c r="IF6" s="255"/>
      <c r="IG6" s="255"/>
      <c r="IH6" s="255"/>
      <c r="II6" s="255"/>
      <c r="IJ6" s="255"/>
      <c r="IK6" s="255"/>
      <c r="IL6" s="255"/>
      <c r="IM6" s="256"/>
      <c r="IN6" s="255"/>
      <c r="IO6" s="338"/>
      <c r="IP6" s="255"/>
      <c r="IQ6" s="1166"/>
      <c r="IR6" s="267"/>
      <c r="IS6" s="255"/>
      <c r="IT6" s="255"/>
      <c r="IU6" s="255"/>
      <c r="IV6" s="255"/>
      <c r="IW6" s="256"/>
      <c r="IX6" s="255"/>
      <c r="IY6" s="338"/>
      <c r="IZ6" s="255"/>
      <c r="JA6" s="255"/>
      <c r="JB6" s="255"/>
      <c r="JC6" s="255"/>
      <c r="JD6" s="255"/>
      <c r="JE6" s="255"/>
      <c r="JF6" s="255"/>
      <c r="JG6" s="256"/>
      <c r="JH6" s="255"/>
      <c r="JI6" s="338"/>
      <c r="JJ6" s="255"/>
      <c r="JK6" s="961"/>
      <c r="JL6" s="267"/>
      <c r="JM6" s="255"/>
      <c r="JN6" s="255"/>
      <c r="JO6" s="255"/>
      <c r="JP6" s="255"/>
      <c r="JQ6" s="256"/>
      <c r="JR6" s="255"/>
      <c r="JS6" s="338"/>
      <c r="JT6" s="255"/>
      <c r="JU6" s="263"/>
      <c r="JV6" s="267"/>
      <c r="JW6" s="255"/>
      <c r="JX6" s="255"/>
      <c r="JY6" s="255"/>
      <c r="JZ6" s="255"/>
      <c r="KA6" s="256"/>
      <c r="KB6" s="255"/>
      <c r="KC6" s="338"/>
      <c r="KD6" s="255"/>
      <c r="KE6" s="1167"/>
      <c r="KF6" s="267"/>
      <c r="KG6" s="255"/>
      <c r="KH6" s="255"/>
      <c r="KI6" s="255"/>
      <c r="KJ6" s="255"/>
      <c r="KK6" s="256"/>
      <c r="KL6" s="255"/>
      <c r="KM6" s="338"/>
      <c r="KN6" s="255"/>
      <c r="KO6" s="263"/>
      <c r="KP6" s="267"/>
      <c r="KQ6" s="255"/>
      <c r="KR6" s="255"/>
      <c r="KS6" s="255"/>
      <c r="KT6" s="255"/>
      <c r="KU6" s="256"/>
      <c r="KV6" s="255"/>
      <c r="KW6" s="338"/>
      <c r="KX6" s="255"/>
      <c r="KY6" s="263"/>
      <c r="KZ6" s="390"/>
      <c r="LA6" s="255"/>
      <c r="LB6" s="255"/>
      <c r="LC6" s="255"/>
      <c r="LD6" s="255"/>
      <c r="LE6" s="256"/>
      <c r="LF6" s="255"/>
      <c r="LG6" s="338"/>
      <c r="LH6" s="255"/>
      <c r="LI6" s="255"/>
      <c r="LJ6" s="267"/>
      <c r="LK6" s="255"/>
      <c r="LL6" s="255"/>
      <c r="LM6" s="255"/>
      <c r="LN6" s="255"/>
      <c r="LO6" s="256"/>
      <c r="LT6" s="389"/>
      <c r="LY6" s="74"/>
      <c r="MA6" s="627"/>
      <c r="MB6" s="627"/>
      <c r="MD6" s="389"/>
      <c r="MI6" s="74"/>
      <c r="MM6" s="255"/>
      <c r="MN6" s="264"/>
      <c r="MO6" s="255"/>
      <c r="MP6" s="255"/>
      <c r="MQ6" s="255"/>
      <c r="MR6" s="255"/>
      <c r="MS6" s="256"/>
      <c r="MW6" s="255"/>
      <c r="MX6" s="264"/>
      <c r="MY6" s="255"/>
      <c r="MZ6" s="255"/>
      <c r="NA6" s="255"/>
      <c r="NB6" s="255"/>
      <c r="NC6" s="256"/>
      <c r="NG6" s="255"/>
      <c r="NH6" s="267"/>
      <c r="NI6" s="255"/>
      <c r="NJ6" s="255"/>
      <c r="NK6" s="255"/>
      <c r="NL6" s="255"/>
      <c r="NM6" s="256"/>
      <c r="NQ6" s="365"/>
      <c r="NR6" s="267"/>
      <c r="NS6" s="255"/>
      <c r="NT6" s="255"/>
      <c r="NU6" s="255"/>
      <c r="NV6" s="255"/>
      <c r="NW6" s="256"/>
      <c r="OA6" s="255"/>
      <c r="OB6" s="267"/>
      <c r="OC6" s="255"/>
      <c r="OD6" s="255"/>
      <c r="OE6" s="255"/>
      <c r="OF6" s="255"/>
      <c r="OG6" s="256"/>
      <c r="OK6" s="665"/>
      <c r="OL6" s="267"/>
      <c r="OM6" s="255"/>
      <c r="ON6" s="255"/>
      <c r="OO6" s="255"/>
      <c r="OP6" s="255"/>
      <c r="OQ6" s="256"/>
      <c r="OU6" s="665"/>
      <c r="OV6" s="267"/>
      <c r="OW6" s="255"/>
      <c r="OX6" s="255"/>
      <c r="OY6" s="255"/>
      <c r="OZ6" s="255"/>
      <c r="PA6" s="256"/>
      <c r="PE6" s="255"/>
      <c r="PF6" s="255"/>
      <c r="PG6" s="255"/>
      <c r="PH6" s="255"/>
      <c r="PI6" s="255"/>
      <c r="PJ6" s="255"/>
      <c r="PK6" s="256"/>
      <c r="PX6" s="202"/>
      <c r="QD6" s="74"/>
      <c r="QG6" s="255"/>
      <c r="QH6" s="265"/>
      <c r="QI6" s="255"/>
      <c r="QJ6" s="255"/>
      <c r="QK6" s="255"/>
      <c r="QL6" s="255"/>
      <c r="QM6" s="256"/>
      <c r="QQ6" s="198"/>
      <c r="QV6" s="74"/>
      <c r="QY6" s="198"/>
      <c r="RE6" s="74"/>
      <c r="RN6" s="74"/>
      <c r="TY6" s="76" t="s">
        <v>40</v>
      </c>
      <c r="TZ6" s="62"/>
      <c r="UQ6" s="76" t="s">
        <v>40</v>
      </c>
    </row>
    <row r="7" spans="1:825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74613520</v>
      </c>
      <c r="E7" s="141">
        <f t="shared" si="3"/>
        <v>44538</v>
      </c>
      <c r="F7" s="87">
        <f t="shared" si="3"/>
        <v>18428.150000000001</v>
      </c>
      <c r="G7" s="74">
        <f t="shared" si="3"/>
        <v>20</v>
      </c>
      <c r="H7" s="48">
        <f t="shared" si="3"/>
        <v>18493.310000000001</v>
      </c>
      <c r="I7" s="107">
        <f t="shared" si="3"/>
        <v>-65.159999999999854</v>
      </c>
      <c r="L7" s="397" t="s">
        <v>7</v>
      </c>
      <c r="M7" s="392" t="s">
        <v>8</v>
      </c>
      <c r="N7" s="393" t="s">
        <v>17</v>
      </c>
      <c r="O7" s="394" t="s">
        <v>2</v>
      </c>
      <c r="P7" s="386" t="s">
        <v>18</v>
      </c>
      <c r="Q7" s="395" t="s">
        <v>15</v>
      </c>
      <c r="R7" s="396"/>
      <c r="S7" s="634"/>
      <c r="V7" s="397" t="s">
        <v>7</v>
      </c>
      <c r="W7" s="392" t="s">
        <v>8</v>
      </c>
      <c r="X7" s="393" t="s">
        <v>17</v>
      </c>
      <c r="Y7" s="394" t="s">
        <v>2</v>
      </c>
      <c r="Z7" s="386" t="s">
        <v>18</v>
      </c>
      <c r="AA7" s="395" t="s">
        <v>15</v>
      </c>
      <c r="AB7" s="396"/>
      <c r="AC7" s="634"/>
      <c r="AF7" s="397" t="s">
        <v>7</v>
      </c>
      <c r="AG7" s="392" t="s">
        <v>8</v>
      </c>
      <c r="AH7" s="393" t="s">
        <v>17</v>
      </c>
      <c r="AI7" s="394" t="s">
        <v>2</v>
      </c>
      <c r="AJ7" s="386" t="s">
        <v>18</v>
      </c>
      <c r="AK7" s="395" t="s">
        <v>15</v>
      </c>
      <c r="AL7" s="390"/>
      <c r="AM7" s="302" t="s">
        <v>74</v>
      </c>
      <c r="AP7" s="397" t="s">
        <v>7</v>
      </c>
      <c r="AQ7" s="392" t="s">
        <v>8</v>
      </c>
      <c r="AR7" s="393" t="s">
        <v>17</v>
      </c>
      <c r="AS7" s="394" t="s">
        <v>2</v>
      </c>
      <c r="AT7" s="386" t="s">
        <v>18</v>
      </c>
      <c r="AU7" s="395" t="s">
        <v>15</v>
      </c>
      <c r="AV7" s="396"/>
      <c r="AW7" s="634"/>
      <c r="AZ7" s="397" t="s">
        <v>7</v>
      </c>
      <c r="BA7" s="392" t="s">
        <v>8</v>
      </c>
      <c r="BB7" s="393" t="s">
        <v>17</v>
      </c>
      <c r="BC7" s="394" t="s">
        <v>2</v>
      </c>
      <c r="BD7" s="386" t="s">
        <v>18</v>
      </c>
      <c r="BE7" s="395" t="s">
        <v>15</v>
      </c>
      <c r="BF7" s="396"/>
      <c r="BG7" s="634"/>
      <c r="BJ7" s="397" t="s">
        <v>7</v>
      </c>
      <c r="BK7" s="392" t="s">
        <v>8</v>
      </c>
      <c r="BL7" s="393" t="s">
        <v>17</v>
      </c>
      <c r="BM7" s="394" t="s">
        <v>2</v>
      </c>
      <c r="BN7" s="386" t="s">
        <v>18</v>
      </c>
      <c r="BO7" s="395" t="s">
        <v>15</v>
      </c>
      <c r="BP7" s="396"/>
      <c r="BQ7" s="634"/>
      <c r="BT7" s="397" t="s">
        <v>7</v>
      </c>
      <c r="BU7" s="392" t="s">
        <v>8</v>
      </c>
      <c r="BV7" s="393" t="s">
        <v>17</v>
      </c>
      <c r="BW7" s="394" t="s">
        <v>2</v>
      </c>
      <c r="BX7" s="386" t="s">
        <v>18</v>
      </c>
      <c r="BY7" s="395" t="s">
        <v>15</v>
      </c>
      <c r="BZ7" s="390"/>
      <c r="CD7" s="397" t="s">
        <v>7</v>
      </c>
      <c r="CE7" s="392" t="s">
        <v>8</v>
      </c>
      <c r="CF7" s="393" t="s">
        <v>17</v>
      </c>
      <c r="CG7" s="394" t="s">
        <v>2</v>
      </c>
      <c r="CH7" s="386" t="s">
        <v>18</v>
      </c>
      <c r="CI7" s="395" t="s">
        <v>15</v>
      </c>
      <c r="CJ7" s="396"/>
      <c r="CN7" s="397" t="s">
        <v>7</v>
      </c>
      <c r="CO7" s="392" t="s">
        <v>8</v>
      </c>
      <c r="CP7" s="393" t="s">
        <v>17</v>
      </c>
      <c r="CQ7" s="394" t="s">
        <v>2</v>
      </c>
      <c r="CR7" s="386" t="s">
        <v>18</v>
      </c>
      <c r="CS7" s="395" t="s">
        <v>15</v>
      </c>
      <c r="CT7" s="396"/>
      <c r="CU7" s="634"/>
      <c r="CX7" s="397" t="s">
        <v>7</v>
      </c>
      <c r="CY7" s="392" t="s">
        <v>8</v>
      </c>
      <c r="CZ7" s="393" t="s">
        <v>17</v>
      </c>
      <c r="DA7" s="394" t="s">
        <v>2</v>
      </c>
      <c r="DB7" s="386" t="s">
        <v>18</v>
      </c>
      <c r="DC7" s="395" t="s">
        <v>15</v>
      </c>
      <c r="DD7" s="396"/>
      <c r="DE7" s="634"/>
      <c r="DH7" s="397" t="s">
        <v>7</v>
      </c>
      <c r="DI7" s="392" t="s">
        <v>8</v>
      </c>
      <c r="DJ7" s="393" t="s">
        <v>17</v>
      </c>
      <c r="DK7" s="394" t="s">
        <v>2</v>
      </c>
      <c r="DL7" s="386" t="s">
        <v>18</v>
      </c>
      <c r="DM7" s="395" t="s">
        <v>15</v>
      </c>
      <c r="DN7" s="396"/>
      <c r="DO7" s="634"/>
      <c r="DR7" s="397" t="s">
        <v>7</v>
      </c>
      <c r="DS7" s="392" t="s">
        <v>8</v>
      </c>
      <c r="DT7" s="393" t="s">
        <v>17</v>
      </c>
      <c r="DU7" s="394" t="s">
        <v>2</v>
      </c>
      <c r="DV7" s="386" t="s">
        <v>18</v>
      </c>
      <c r="DW7" s="395" t="s">
        <v>15</v>
      </c>
      <c r="DX7" s="396"/>
      <c r="EB7" s="397" t="s">
        <v>7</v>
      </c>
      <c r="EC7" s="392" t="s">
        <v>8</v>
      </c>
      <c r="ED7" s="393" t="s">
        <v>17</v>
      </c>
      <c r="EE7" s="394" t="s">
        <v>2</v>
      </c>
      <c r="EF7" s="386" t="s">
        <v>18</v>
      </c>
      <c r="EG7" s="395" t="s">
        <v>15</v>
      </c>
      <c r="EH7" s="396"/>
      <c r="EI7" s="634"/>
      <c r="EL7" s="397" t="s">
        <v>7</v>
      </c>
      <c r="EM7" s="392" t="s">
        <v>8</v>
      </c>
      <c r="EN7" s="393" t="s">
        <v>17</v>
      </c>
      <c r="EO7" s="394" t="s">
        <v>2</v>
      </c>
      <c r="EP7" s="386" t="s">
        <v>18</v>
      </c>
      <c r="EQ7" s="395" t="s">
        <v>15</v>
      </c>
      <c r="ER7" s="396"/>
      <c r="ES7" s="634"/>
      <c r="EV7" s="391" t="s">
        <v>7</v>
      </c>
      <c r="EW7" s="392" t="s">
        <v>8</v>
      </c>
      <c r="EX7" s="393" t="s">
        <v>17</v>
      </c>
      <c r="EY7" s="394" t="s">
        <v>2</v>
      </c>
      <c r="EZ7" s="386" t="s">
        <v>18</v>
      </c>
      <c r="FA7" s="395" t="s">
        <v>15</v>
      </c>
      <c r="FB7" s="396"/>
      <c r="FC7" s="634"/>
      <c r="FF7" s="397" t="s">
        <v>7</v>
      </c>
      <c r="FG7" s="392" t="s">
        <v>8</v>
      </c>
      <c r="FH7" s="393" t="s">
        <v>17</v>
      </c>
      <c r="FI7" s="394" t="s">
        <v>2</v>
      </c>
      <c r="FJ7" s="386" t="s">
        <v>18</v>
      </c>
      <c r="FK7" s="395" t="s">
        <v>15</v>
      </c>
      <c r="FL7" s="396"/>
      <c r="FM7" s="634"/>
      <c r="FP7" s="397" t="s">
        <v>7</v>
      </c>
      <c r="FQ7" s="392" t="s">
        <v>8</v>
      </c>
      <c r="FR7" s="393" t="s">
        <v>17</v>
      </c>
      <c r="FS7" s="394" t="s">
        <v>2</v>
      </c>
      <c r="FT7" s="386" t="s">
        <v>18</v>
      </c>
      <c r="FU7" s="395" t="s">
        <v>15</v>
      </c>
      <c r="FV7" s="396"/>
      <c r="FW7" s="634"/>
      <c r="FZ7" s="397" t="s">
        <v>7</v>
      </c>
      <c r="GA7" s="392" t="s">
        <v>8</v>
      </c>
      <c r="GB7" s="393" t="s">
        <v>17</v>
      </c>
      <c r="GC7" s="394" t="s">
        <v>2</v>
      </c>
      <c r="GD7" s="386" t="s">
        <v>18</v>
      </c>
      <c r="GE7" s="395" t="s">
        <v>15</v>
      </c>
      <c r="GF7" s="396"/>
      <c r="GG7" s="634"/>
      <c r="GJ7" s="397" t="s">
        <v>7</v>
      </c>
      <c r="GK7" s="392" t="s">
        <v>8</v>
      </c>
      <c r="GL7" s="393" t="s">
        <v>17</v>
      </c>
      <c r="GM7" s="394" t="s">
        <v>2</v>
      </c>
      <c r="GN7" s="386" t="s">
        <v>18</v>
      </c>
      <c r="GO7" s="395" t="s">
        <v>15</v>
      </c>
      <c r="GP7" s="396"/>
      <c r="GQ7" s="634"/>
      <c r="GT7" s="397" t="s">
        <v>7</v>
      </c>
      <c r="GU7" s="392" t="s">
        <v>8</v>
      </c>
      <c r="GV7" s="393" t="s">
        <v>17</v>
      </c>
      <c r="GW7" s="394" t="s">
        <v>2</v>
      </c>
      <c r="GX7" s="386" t="s">
        <v>18</v>
      </c>
      <c r="GY7" s="395" t="s">
        <v>15</v>
      </c>
      <c r="GZ7" s="396"/>
      <c r="HA7" s="634"/>
      <c r="HD7" s="397" t="s">
        <v>7</v>
      </c>
      <c r="HE7" s="392" t="s">
        <v>8</v>
      </c>
      <c r="HF7" s="393" t="s">
        <v>17</v>
      </c>
      <c r="HG7" s="394" t="s">
        <v>2</v>
      </c>
      <c r="HH7" s="386" t="s">
        <v>18</v>
      </c>
      <c r="HI7" s="395" t="s">
        <v>15</v>
      </c>
      <c r="HJ7" s="396"/>
      <c r="HK7" s="634"/>
      <c r="HN7" s="397" t="s">
        <v>7</v>
      </c>
      <c r="HO7" s="392" t="s">
        <v>8</v>
      </c>
      <c r="HP7" s="393" t="s">
        <v>17</v>
      </c>
      <c r="HQ7" s="394" t="s">
        <v>2</v>
      </c>
      <c r="HR7" s="386" t="s">
        <v>18</v>
      </c>
      <c r="HS7" s="395" t="s">
        <v>15</v>
      </c>
      <c r="HT7" s="396"/>
      <c r="HU7" s="634"/>
      <c r="HX7" s="391" t="s">
        <v>7</v>
      </c>
      <c r="HY7" s="392" t="s">
        <v>8</v>
      </c>
      <c r="HZ7" s="393" t="s">
        <v>17</v>
      </c>
      <c r="IA7" s="394" t="s">
        <v>2</v>
      </c>
      <c r="IB7" s="386" t="s">
        <v>48</v>
      </c>
      <c r="IC7" s="395" t="s">
        <v>15</v>
      </c>
      <c r="ID7" s="396"/>
      <c r="IE7" s="634"/>
      <c r="IH7" s="391" t="s">
        <v>7</v>
      </c>
      <c r="II7" s="392" t="s">
        <v>8</v>
      </c>
      <c r="IJ7" s="393" t="s">
        <v>17</v>
      </c>
      <c r="IK7" s="394" t="s">
        <v>2</v>
      </c>
      <c r="IL7" s="386" t="s">
        <v>48</v>
      </c>
      <c r="IM7" s="395" t="s">
        <v>15</v>
      </c>
      <c r="IN7" s="396"/>
      <c r="IO7" s="634"/>
      <c r="IQ7" s="625"/>
      <c r="IR7" s="397" t="s">
        <v>7</v>
      </c>
      <c r="IS7" s="392" t="s">
        <v>8</v>
      </c>
      <c r="IT7" s="393" t="s">
        <v>17</v>
      </c>
      <c r="IU7" s="394" t="s">
        <v>2</v>
      </c>
      <c r="IV7" s="386" t="s">
        <v>18</v>
      </c>
      <c r="IW7" s="395" t="s">
        <v>15</v>
      </c>
      <c r="IX7" s="396"/>
      <c r="IY7" s="634"/>
      <c r="JB7" s="391" t="s">
        <v>7</v>
      </c>
      <c r="JC7" s="392" t="s">
        <v>8</v>
      </c>
      <c r="JD7" s="393" t="s">
        <v>17</v>
      </c>
      <c r="JE7" s="394" t="s">
        <v>2</v>
      </c>
      <c r="JF7" s="386" t="s">
        <v>18</v>
      </c>
      <c r="JG7" s="395" t="s">
        <v>15</v>
      </c>
      <c r="JH7" s="396"/>
      <c r="JI7" s="634"/>
      <c r="JL7" s="397" t="s">
        <v>7</v>
      </c>
      <c r="JM7" s="392" t="s">
        <v>8</v>
      </c>
      <c r="JN7" s="393" t="s">
        <v>17</v>
      </c>
      <c r="JO7" s="394" t="s">
        <v>2</v>
      </c>
      <c r="JP7" s="386" t="s">
        <v>18</v>
      </c>
      <c r="JQ7" s="395" t="s">
        <v>15</v>
      </c>
      <c r="JR7" s="396"/>
      <c r="JS7" s="634"/>
      <c r="JV7" s="397" t="s">
        <v>7</v>
      </c>
      <c r="JW7" s="392" t="s">
        <v>8</v>
      </c>
      <c r="JX7" s="393" t="s">
        <v>17</v>
      </c>
      <c r="JY7" s="394" t="s">
        <v>2</v>
      </c>
      <c r="JZ7" s="386" t="s">
        <v>18</v>
      </c>
      <c r="KA7" s="395" t="s">
        <v>15</v>
      </c>
      <c r="KB7" s="396"/>
      <c r="KC7" s="634"/>
      <c r="KF7" s="397" t="s">
        <v>7</v>
      </c>
      <c r="KG7" s="392" t="s">
        <v>8</v>
      </c>
      <c r="KH7" s="393" t="s">
        <v>17</v>
      </c>
      <c r="KI7" s="394" t="s">
        <v>2</v>
      </c>
      <c r="KJ7" s="386" t="s">
        <v>18</v>
      </c>
      <c r="KK7" s="395" t="s">
        <v>15</v>
      </c>
      <c r="KL7" s="396"/>
      <c r="KM7" s="634"/>
      <c r="KP7" s="397" t="s">
        <v>7</v>
      </c>
      <c r="KQ7" s="392" t="s">
        <v>8</v>
      </c>
      <c r="KR7" s="393" t="s">
        <v>17</v>
      </c>
      <c r="KS7" s="394" t="s">
        <v>2</v>
      </c>
      <c r="KT7" s="386" t="s">
        <v>18</v>
      </c>
      <c r="KU7" s="395" t="s">
        <v>15</v>
      </c>
      <c r="KV7" s="396"/>
      <c r="KW7" s="634"/>
      <c r="KZ7" s="397" t="s">
        <v>7</v>
      </c>
      <c r="LA7" s="392" t="s">
        <v>8</v>
      </c>
      <c r="LB7" s="393" t="s">
        <v>17</v>
      </c>
      <c r="LC7" s="394" t="s">
        <v>2</v>
      </c>
      <c r="LD7" s="386" t="s">
        <v>18</v>
      </c>
      <c r="LE7" s="395" t="s">
        <v>15</v>
      </c>
      <c r="LF7" s="396"/>
      <c r="LG7" s="634"/>
      <c r="LJ7" s="397" t="s">
        <v>7</v>
      </c>
      <c r="LK7" s="392" t="s">
        <v>8</v>
      </c>
      <c r="LL7" s="393" t="s">
        <v>17</v>
      </c>
      <c r="LM7" s="394" t="s">
        <v>2</v>
      </c>
      <c r="LN7" s="386" t="s">
        <v>18</v>
      </c>
      <c r="LO7" s="395" t="s">
        <v>15</v>
      </c>
      <c r="LP7" s="396"/>
      <c r="LQ7" s="634"/>
      <c r="LT7" s="397" t="s">
        <v>7</v>
      </c>
      <c r="LU7" s="392" t="s">
        <v>8</v>
      </c>
      <c r="LV7" s="393" t="s">
        <v>17</v>
      </c>
      <c r="LW7" s="394" t="s">
        <v>2</v>
      </c>
      <c r="LX7" s="386" t="s">
        <v>18</v>
      </c>
      <c r="LY7" s="395" t="s">
        <v>15</v>
      </c>
      <c r="LZ7" s="396"/>
      <c r="MA7" s="634"/>
      <c r="MB7" s="634"/>
      <c r="MD7" s="397" t="s">
        <v>7</v>
      </c>
      <c r="ME7" s="392" t="s">
        <v>8</v>
      </c>
      <c r="MF7" s="393" t="s">
        <v>17</v>
      </c>
      <c r="MG7" s="394" t="s">
        <v>2</v>
      </c>
      <c r="MH7" s="386" t="s">
        <v>18</v>
      </c>
      <c r="MI7" s="395" t="s">
        <v>15</v>
      </c>
      <c r="MJ7" s="396"/>
      <c r="MK7" s="469"/>
      <c r="MN7" s="397" t="s">
        <v>7</v>
      </c>
      <c r="MO7" s="392" t="s">
        <v>8</v>
      </c>
      <c r="MP7" s="393" t="s">
        <v>17</v>
      </c>
      <c r="MQ7" s="394" t="s">
        <v>2</v>
      </c>
      <c r="MR7" s="386" t="s">
        <v>18</v>
      </c>
      <c r="MS7" s="395" t="s">
        <v>15</v>
      </c>
      <c r="MT7" s="396"/>
      <c r="MU7" s="469"/>
      <c r="MX7" s="397" t="s">
        <v>7</v>
      </c>
      <c r="MY7" s="392" t="s">
        <v>8</v>
      </c>
      <c r="MZ7" s="393" t="s">
        <v>17</v>
      </c>
      <c r="NA7" s="394" t="s">
        <v>2</v>
      </c>
      <c r="NB7" s="386" t="s">
        <v>18</v>
      </c>
      <c r="NC7" s="395" t="s">
        <v>15</v>
      </c>
      <c r="ND7" s="396"/>
      <c r="NE7" s="469"/>
      <c r="NH7" s="397" t="s">
        <v>7</v>
      </c>
      <c r="NI7" s="392" t="s">
        <v>8</v>
      </c>
      <c r="NJ7" s="393" t="s">
        <v>17</v>
      </c>
      <c r="NK7" s="394" t="s">
        <v>2</v>
      </c>
      <c r="NL7" s="386" t="s">
        <v>18</v>
      </c>
      <c r="NM7" s="395" t="s">
        <v>15</v>
      </c>
      <c r="NN7" s="396"/>
      <c r="NO7" s="469"/>
      <c r="NR7" s="397" t="s">
        <v>7</v>
      </c>
      <c r="NS7" s="392" t="s">
        <v>8</v>
      </c>
      <c r="NT7" s="393" t="s">
        <v>17</v>
      </c>
      <c r="NU7" s="394" t="s">
        <v>2</v>
      </c>
      <c r="NV7" s="386" t="s">
        <v>18</v>
      </c>
      <c r="NW7" s="395" t="s">
        <v>15</v>
      </c>
      <c r="NX7" s="396"/>
      <c r="NY7" s="469"/>
      <c r="OB7" s="397" t="s">
        <v>7</v>
      </c>
      <c r="OC7" s="392" t="s">
        <v>8</v>
      </c>
      <c r="OD7" s="393" t="s">
        <v>17</v>
      </c>
      <c r="OE7" s="394" t="s">
        <v>2</v>
      </c>
      <c r="OF7" s="386" t="s">
        <v>18</v>
      </c>
      <c r="OG7" s="395" t="s">
        <v>15</v>
      </c>
      <c r="OH7" s="396"/>
      <c r="OI7" s="469"/>
      <c r="OL7" s="397" t="s">
        <v>7</v>
      </c>
      <c r="OM7" s="392" t="s">
        <v>8</v>
      </c>
      <c r="ON7" s="393" t="s">
        <v>17</v>
      </c>
      <c r="OO7" s="394" t="s">
        <v>2</v>
      </c>
      <c r="OP7" s="386" t="s">
        <v>18</v>
      </c>
      <c r="OQ7" s="395" t="s">
        <v>15</v>
      </c>
      <c r="OR7" s="396"/>
      <c r="OS7" s="469"/>
      <c r="OV7" s="397" t="s">
        <v>7</v>
      </c>
      <c r="OW7" s="392" t="s">
        <v>8</v>
      </c>
      <c r="OX7" s="393" t="s">
        <v>17</v>
      </c>
      <c r="OY7" s="394" t="s">
        <v>2</v>
      </c>
      <c r="OZ7" s="386" t="s">
        <v>18</v>
      </c>
      <c r="PA7" s="395" t="s">
        <v>15</v>
      </c>
      <c r="PB7" s="396"/>
      <c r="PC7" s="469"/>
      <c r="PF7" s="398" t="s">
        <v>7</v>
      </c>
      <c r="PG7" s="392" t="s">
        <v>8</v>
      </c>
      <c r="PH7" s="393" t="s">
        <v>17</v>
      </c>
      <c r="PI7" s="394" t="s">
        <v>2</v>
      </c>
      <c r="PJ7" s="386" t="s">
        <v>18</v>
      </c>
      <c r="PK7" s="395" t="s">
        <v>15</v>
      </c>
      <c r="PL7" s="396"/>
      <c r="PM7" s="469"/>
      <c r="PP7" s="398" t="s">
        <v>7</v>
      </c>
      <c r="PQ7" s="392" t="s">
        <v>8</v>
      </c>
      <c r="PR7" s="393" t="s">
        <v>17</v>
      </c>
      <c r="PS7" s="394" t="s">
        <v>2</v>
      </c>
      <c r="PT7" s="386" t="s">
        <v>18</v>
      </c>
      <c r="PU7" s="395" t="s">
        <v>15</v>
      </c>
      <c r="PV7" s="396"/>
      <c r="PY7" s="398" t="s">
        <v>7</v>
      </c>
      <c r="PZ7" s="392" t="s">
        <v>8</v>
      </c>
      <c r="QA7" s="393" t="s">
        <v>17</v>
      </c>
      <c r="QB7" s="394" t="s">
        <v>2</v>
      </c>
      <c r="QC7" s="386" t="s">
        <v>18</v>
      </c>
      <c r="QD7" s="395" t="s">
        <v>15</v>
      </c>
      <c r="QE7" s="396"/>
      <c r="QH7" s="398" t="s">
        <v>7</v>
      </c>
      <c r="QI7" s="392" t="s">
        <v>8</v>
      </c>
      <c r="QJ7" s="393" t="s">
        <v>17</v>
      </c>
      <c r="QK7" s="394" t="s">
        <v>37</v>
      </c>
      <c r="QL7" s="386" t="s">
        <v>18</v>
      </c>
      <c r="QM7" s="395" t="s">
        <v>15</v>
      </c>
      <c r="QN7" s="396"/>
      <c r="QQ7" s="398" t="s">
        <v>7</v>
      </c>
      <c r="QR7" s="392" t="s">
        <v>8</v>
      </c>
      <c r="QS7" s="393" t="s">
        <v>17</v>
      </c>
      <c r="QT7" s="394" t="s">
        <v>37</v>
      </c>
      <c r="QU7" s="386" t="s">
        <v>18</v>
      </c>
      <c r="QV7" s="395" t="s">
        <v>15</v>
      </c>
      <c r="QW7" s="396"/>
      <c r="QZ7" s="398" t="s">
        <v>7</v>
      </c>
      <c r="RA7" s="392" t="s">
        <v>8</v>
      </c>
      <c r="RB7" s="393" t="s">
        <v>17</v>
      </c>
      <c r="RC7" s="394" t="s">
        <v>2</v>
      </c>
      <c r="RD7" s="386" t="s">
        <v>18</v>
      </c>
      <c r="RE7" s="395" t="s">
        <v>15</v>
      </c>
      <c r="RF7" s="396"/>
      <c r="RI7" s="398" t="s">
        <v>7</v>
      </c>
      <c r="RJ7" s="392" t="s">
        <v>8</v>
      </c>
      <c r="RK7" s="393" t="s">
        <v>17</v>
      </c>
      <c r="RL7" s="394" t="s">
        <v>2</v>
      </c>
      <c r="RM7" s="386" t="s">
        <v>18</v>
      </c>
      <c r="RN7" s="395" t="s">
        <v>15</v>
      </c>
      <c r="RO7" s="396"/>
      <c r="RR7" s="398" t="s">
        <v>7</v>
      </c>
      <c r="RS7" s="392" t="s">
        <v>8</v>
      </c>
      <c r="RT7" s="393" t="s">
        <v>17</v>
      </c>
      <c r="RU7" s="394" t="s">
        <v>2</v>
      </c>
      <c r="RV7" s="386" t="s">
        <v>18</v>
      </c>
      <c r="RW7" s="395" t="s">
        <v>15</v>
      </c>
      <c r="RX7" s="396"/>
      <c r="SA7" s="398" t="s">
        <v>7</v>
      </c>
      <c r="SB7" s="392" t="s">
        <v>8</v>
      </c>
      <c r="SC7" s="393" t="s">
        <v>17</v>
      </c>
      <c r="SD7" s="394" t="s">
        <v>2</v>
      </c>
      <c r="SE7" s="386" t="s">
        <v>18</v>
      </c>
      <c r="SF7" s="395" t="s">
        <v>15</v>
      </c>
      <c r="SG7" s="396"/>
      <c r="SJ7" s="398" t="s">
        <v>7</v>
      </c>
      <c r="SK7" s="392" t="s">
        <v>8</v>
      </c>
      <c r="SL7" s="393" t="s">
        <v>17</v>
      </c>
      <c r="SM7" s="394" t="s">
        <v>2</v>
      </c>
      <c r="SN7" s="386" t="s">
        <v>18</v>
      </c>
      <c r="SO7" s="395" t="s">
        <v>15</v>
      </c>
      <c r="SP7" s="396"/>
      <c r="SS7" s="398" t="s">
        <v>7</v>
      </c>
      <c r="ST7" s="392" t="s">
        <v>8</v>
      </c>
      <c r="SU7" s="393" t="s">
        <v>17</v>
      </c>
      <c r="SV7" s="394" t="s">
        <v>2</v>
      </c>
      <c r="SW7" s="386" t="s">
        <v>18</v>
      </c>
      <c r="SX7" s="395" t="s">
        <v>15</v>
      </c>
      <c r="SY7" s="396"/>
      <c r="TB7" s="398" t="s">
        <v>7</v>
      </c>
      <c r="TC7" s="392" t="s">
        <v>8</v>
      </c>
      <c r="TD7" s="393" t="s">
        <v>17</v>
      </c>
      <c r="TE7" s="394" t="s">
        <v>2</v>
      </c>
      <c r="TF7" s="386" t="s">
        <v>18</v>
      </c>
      <c r="TG7" s="395" t="s">
        <v>15</v>
      </c>
      <c r="TH7" s="396"/>
      <c r="TK7" s="398" t="s">
        <v>7</v>
      </c>
      <c r="TL7" s="392" t="s">
        <v>8</v>
      </c>
      <c r="TM7" s="393" t="s">
        <v>17</v>
      </c>
      <c r="TN7" s="394" t="s">
        <v>2</v>
      </c>
      <c r="TO7" s="386" t="s">
        <v>18</v>
      </c>
      <c r="TP7" s="395" t="s">
        <v>15</v>
      </c>
      <c r="TQ7" s="396"/>
      <c r="TT7" s="398" t="s">
        <v>7</v>
      </c>
      <c r="TU7" s="392" t="s">
        <v>8</v>
      </c>
      <c r="TV7" s="393" t="s">
        <v>17</v>
      </c>
      <c r="TW7" s="394" t="s">
        <v>2</v>
      </c>
      <c r="TX7" s="386" t="s">
        <v>18</v>
      </c>
      <c r="TY7" s="395" t="s">
        <v>15</v>
      </c>
      <c r="TZ7" s="396"/>
      <c r="UC7" s="398" t="s">
        <v>7</v>
      </c>
      <c r="UD7" s="392" t="s">
        <v>8</v>
      </c>
      <c r="UE7" s="393" t="s">
        <v>17</v>
      </c>
      <c r="UF7" s="394" t="s">
        <v>2</v>
      </c>
      <c r="UG7" s="386" t="s">
        <v>18</v>
      </c>
      <c r="UH7" s="395" t="s">
        <v>15</v>
      </c>
      <c r="UI7" s="396"/>
      <c r="UL7" s="398" t="s">
        <v>7</v>
      </c>
      <c r="UM7" s="392" t="s">
        <v>8</v>
      </c>
      <c r="UN7" s="393" t="s">
        <v>17</v>
      </c>
      <c r="UO7" s="394" t="s">
        <v>2</v>
      </c>
      <c r="UP7" s="386" t="s">
        <v>18</v>
      </c>
      <c r="UQ7" s="395" t="s">
        <v>15</v>
      </c>
      <c r="UR7" s="396"/>
      <c r="UU7" s="398" t="s">
        <v>7</v>
      </c>
      <c r="UV7" s="392" t="s">
        <v>8</v>
      </c>
      <c r="UW7" s="393" t="s">
        <v>17</v>
      </c>
      <c r="UX7" s="394" t="s">
        <v>2</v>
      </c>
      <c r="UY7" s="386" t="s">
        <v>18</v>
      </c>
      <c r="UZ7" s="395" t="s">
        <v>15</v>
      </c>
      <c r="VA7" s="396"/>
      <c r="VD7" s="398" t="s">
        <v>7</v>
      </c>
      <c r="VE7" s="392" t="s">
        <v>8</v>
      </c>
      <c r="VF7" s="393" t="s">
        <v>17</v>
      </c>
      <c r="VG7" s="394" t="s">
        <v>2</v>
      </c>
      <c r="VH7" s="386" t="s">
        <v>18</v>
      </c>
      <c r="VI7" s="395" t="s">
        <v>15</v>
      </c>
      <c r="VJ7" s="396"/>
      <c r="VM7" s="398" t="s">
        <v>7</v>
      </c>
      <c r="VN7" s="392" t="s">
        <v>8</v>
      </c>
      <c r="VO7" s="393" t="s">
        <v>17</v>
      </c>
      <c r="VP7" s="394" t="s">
        <v>2</v>
      </c>
      <c r="VQ7" s="386" t="s">
        <v>18</v>
      </c>
      <c r="VR7" s="395" t="s">
        <v>15</v>
      </c>
      <c r="VS7" s="396"/>
      <c r="VV7" s="398" t="s">
        <v>7</v>
      </c>
      <c r="VW7" s="392" t="s">
        <v>8</v>
      </c>
      <c r="VX7" s="393" t="s">
        <v>17</v>
      </c>
      <c r="VY7" s="394" t="s">
        <v>2</v>
      </c>
      <c r="VZ7" s="386" t="s">
        <v>18</v>
      </c>
      <c r="WA7" s="395" t="s">
        <v>15</v>
      </c>
      <c r="WB7" s="396"/>
      <c r="WE7" s="398" t="s">
        <v>7</v>
      </c>
      <c r="WF7" s="392" t="s">
        <v>8</v>
      </c>
      <c r="WG7" s="393" t="s">
        <v>17</v>
      </c>
      <c r="WH7" s="394" t="s">
        <v>2</v>
      </c>
      <c r="WI7" s="386" t="s">
        <v>18</v>
      </c>
      <c r="WJ7" s="395" t="s">
        <v>15</v>
      </c>
      <c r="WK7" s="396"/>
      <c r="WN7" s="398" t="s">
        <v>7</v>
      </c>
      <c r="WO7" s="392" t="s">
        <v>8</v>
      </c>
      <c r="WP7" s="393" t="s">
        <v>17</v>
      </c>
      <c r="WQ7" s="394" t="s">
        <v>2</v>
      </c>
      <c r="WR7" s="386" t="s">
        <v>18</v>
      </c>
      <c r="WS7" s="395" t="s">
        <v>15</v>
      </c>
      <c r="WT7" s="396"/>
      <c r="WW7" s="398" t="s">
        <v>7</v>
      </c>
      <c r="WX7" s="392" t="s">
        <v>8</v>
      </c>
      <c r="WY7" s="393" t="s">
        <v>17</v>
      </c>
      <c r="WZ7" s="394" t="s">
        <v>2</v>
      </c>
      <c r="XA7" s="386" t="s">
        <v>18</v>
      </c>
      <c r="XB7" s="395" t="s">
        <v>15</v>
      </c>
      <c r="XC7" s="396"/>
      <c r="XF7" s="398" t="s">
        <v>7</v>
      </c>
      <c r="XG7" s="392" t="s">
        <v>8</v>
      </c>
      <c r="XH7" s="393" t="s">
        <v>17</v>
      </c>
      <c r="XI7" s="394" t="s">
        <v>2</v>
      </c>
      <c r="XJ7" s="386" t="s">
        <v>18</v>
      </c>
      <c r="XK7" s="395" t="s">
        <v>15</v>
      </c>
      <c r="XL7" s="396"/>
      <c r="XO7" s="398" t="s">
        <v>7</v>
      </c>
      <c r="XP7" s="392" t="s">
        <v>8</v>
      </c>
      <c r="XQ7" s="393" t="s">
        <v>17</v>
      </c>
      <c r="XR7" s="394" t="s">
        <v>2</v>
      </c>
      <c r="XS7" s="386" t="s">
        <v>18</v>
      </c>
      <c r="XT7" s="395" t="s">
        <v>15</v>
      </c>
      <c r="XU7" s="396"/>
      <c r="XX7" s="398" t="s">
        <v>7</v>
      </c>
      <c r="XY7" s="392" t="s">
        <v>8</v>
      </c>
      <c r="XZ7" s="393" t="s">
        <v>17</v>
      </c>
      <c r="YA7" s="394" t="s">
        <v>2</v>
      </c>
      <c r="YB7" s="386" t="s">
        <v>18</v>
      </c>
      <c r="YC7" s="395" t="s">
        <v>15</v>
      </c>
      <c r="YD7" s="396"/>
      <c r="YG7" s="398" t="s">
        <v>7</v>
      </c>
      <c r="YH7" s="392" t="s">
        <v>8</v>
      </c>
      <c r="YI7" s="393" t="s">
        <v>17</v>
      </c>
      <c r="YJ7" s="394" t="s">
        <v>2</v>
      </c>
      <c r="YK7" s="386" t="s">
        <v>18</v>
      </c>
      <c r="YL7" s="395" t="s">
        <v>15</v>
      </c>
      <c r="YM7" s="396"/>
      <c r="YP7" s="398" t="s">
        <v>7</v>
      </c>
      <c r="YQ7" s="392" t="s">
        <v>8</v>
      </c>
      <c r="YR7" s="393" t="s">
        <v>17</v>
      </c>
      <c r="YS7" s="394" t="s">
        <v>2</v>
      </c>
      <c r="YT7" s="386" t="s">
        <v>18</v>
      </c>
      <c r="YU7" s="395" t="s">
        <v>15</v>
      </c>
      <c r="YV7" s="396"/>
      <c r="YY7" s="398" t="s">
        <v>7</v>
      </c>
      <c r="YZ7" s="392" t="s">
        <v>8</v>
      </c>
      <c r="ZA7" s="393" t="s">
        <v>17</v>
      </c>
      <c r="ZB7" s="394" t="s">
        <v>2</v>
      </c>
      <c r="ZC7" s="386" t="s">
        <v>18</v>
      </c>
      <c r="ZD7" s="395" t="s">
        <v>15</v>
      </c>
      <c r="ZE7" s="396"/>
      <c r="ZH7" s="398" t="s">
        <v>7</v>
      </c>
      <c r="ZI7" s="392" t="s">
        <v>8</v>
      </c>
      <c r="ZJ7" s="393" t="s">
        <v>17</v>
      </c>
      <c r="ZK7" s="394" t="s">
        <v>2</v>
      </c>
      <c r="ZL7" s="386" t="s">
        <v>18</v>
      </c>
      <c r="ZM7" s="395" t="s">
        <v>15</v>
      </c>
      <c r="ZN7" s="396"/>
      <c r="ZQ7" s="398" t="s">
        <v>7</v>
      </c>
      <c r="ZR7" s="392" t="s">
        <v>8</v>
      </c>
      <c r="ZS7" s="393" t="s">
        <v>17</v>
      </c>
      <c r="ZT7" s="394" t="s">
        <v>2</v>
      </c>
      <c r="ZU7" s="386" t="s">
        <v>18</v>
      </c>
      <c r="ZV7" s="395" t="s">
        <v>15</v>
      </c>
      <c r="ZW7" s="396"/>
      <c r="ZZ7" s="398" t="s">
        <v>7</v>
      </c>
      <c r="AAA7" s="392" t="s">
        <v>8</v>
      </c>
      <c r="AAB7" s="393" t="s">
        <v>17</v>
      </c>
      <c r="AAC7" s="394" t="s">
        <v>2</v>
      </c>
      <c r="AAD7" s="386" t="s">
        <v>18</v>
      </c>
      <c r="AAE7" s="395" t="s">
        <v>15</v>
      </c>
      <c r="AAF7" s="396"/>
      <c r="AAI7" s="398" t="s">
        <v>7</v>
      </c>
      <c r="AAJ7" s="392" t="s">
        <v>8</v>
      </c>
      <c r="AAK7" s="393" t="s">
        <v>17</v>
      </c>
      <c r="AAL7" s="394" t="s">
        <v>2</v>
      </c>
      <c r="AAM7" s="386" t="s">
        <v>18</v>
      </c>
      <c r="AAN7" s="395" t="s">
        <v>15</v>
      </c>
      <c r="AAO7" s="396"/>
      <c r="AAR7" s="398" t="s">
        <v>7</v>
      </c>
      <c r="AAS7" s="392" t="s">
        <v>8</v>
      </c>
      <c r="AAT7" s="393" t="s">
        <v>17</v>
      </c>
      <c r="AAU7" s="394" t="s">
        <v>2</v>
      </c>
      <c r="AAV7" s="386" t="s">
        <v>18</v>
      </c>
      <c r="AAW7" s="395" t="s">
        <v>15</v>
      </c>
      <c r="AAX7" s="396"/>
      <c r="ABA7" s="398" t="s">
        <v>7</v>
      </c>
      <c r="ABB7" s="392" t="s">
        <v>8</v>
      </c>
      <c r="ABC7" s="393" t="s">
        <v>17</v>
      </c>
      <c r="ABD7" s="394" t="s">
        <v>2</v>
      </c>
      <c r="ABE7" s="386" t="s">
        <v>18</v>
      </c>
      <c r="ABF7" s="395" t="s">
        <v>15</v>
      </c>
      <c r="ABG7" s="396"/>
      <c r="ABJ7" s="398" t="s">
        <v>7</v>
      </c>
      <c r="ABK7" s="392" t="s">
        <v>8</v>
      </c>
      <c r="ABL7" s="393" t="s">
        <v>17</v>
      </c>
      <c r="ABM7" s="394" t="s">
        <v>2</v>
      </c>
      <c r="ABN7" s="386" t="s">
        <v>18</v>
      </c>
      <c r="ABO7" s="395" t="s">
        <v>15</v>
      </c>
      <c r="ABP7" s="396"/>
      <c r="ABS7" s="398" t="s">
        <v>7</v>
      </c>
      <c r="ABT7" s="392" t="s">
        <v>8</v>
      </c>
      <c r="ABU7" s="393" t="s">
        <v>17</v>
      </c>
      <c r="ABV7" s="394" t="s">
        <v>2</v>
      </c>
      <c r="ABW7" s="386" t="s">
        <v>18</v>
      </c>
      <c r="ABX7" s="395" t="s">
        <v>15</v>
      </c>
      <c r="ABY7" s="396"/>
      <c r="ACB7" s="398" t="s">
        <v>7</v>
      </c>
      <c r="ACC7" s="392" t="s">
        <v>8</v>
      </c>
      <c r="ACD7" s="393" t="s">
        <v>17</v>
      </c>
      <c r="ACE7" s="394" t="s">
        <v>2</v>
      </c>
      <c r="ACF7" s="386" t="s">
        <v>18</v>
      </c>
      <c r="ACG7" s="395" t="s">
        <v>15</v>
      </c>
      <c r="ACH7" s="396"/>
      <c r="ACK7" s="398" t="s">
        <v>7</v>
      </c>
      <c r="ACL7" s="392" t="s">
        <v>8</v>
      </c>
      <c r="ACM7" s="393" t="s">
        <v>17</v>
      </c>
      <c r="ACN7" s="394" t="s">
        <v>2</v>
      </c>
      <c r="ACO7" s="386" t="s">
        <v>18</v>
      </c>
      <c r="ACP7" s="395" t="s">
        <v>15</v>
      </c>
      <c r="ACQ7" s="396"/>
      <c r="ACT7" s="398" t="s">
        <v>7</v>
      </c>
      <c r="ACU7" s="392" t="s">
        <v>8</v>
      </c>
      <c r="ACV7" s="393" t="s">
        <v>17</v>
      </c>
      <c r="ACW7" s="394" t="s">
        <v>2</v>
      </c>
      <c r="ACX7" s="386" t="s">
        <v>18</v>
      </c>
      <c r="ACY7" s="395" t="s">
        <v>15</v>
      </c>
      <c r="ACZ7" s="396"/>
      <c r="ADC7" s="398" t="s">
        <v>7</v>
      </c>
      <c r="ADD7" s="392" t="s">
        <v>8</v>
      </c>
      <c r="ADE7" s="393" t="s">
        <v>17</v>
      </c>
      <c r="ADF7" s="394" t="s">
        <v>2</v>
      </c>
      <c r="ADG7" s="386" t="s">
        <v>18</v>
      </c>
      <c r="ADH7" s="395" t="s">
        <v>15</v>
      </c>
      <c r="ADI7" s="396"/>
      <c r="ADL7" s="398" t="s">
        <v>7</v>
      </c>
      <c r="ADM7" s="392" t="s">
        <v>8</v>
      </c>
      <c r="ADN7" s="393" t="s">
        <v>17</v>
      </c>
      <c r="ADO7" s="394" t="s">
        <v>2</v>
      </c>
      <c r="ADP7" s="386" t="s">
        <v>18</v>
      </c>
      <c r="ADQ7" s="395" t="s">
        <v>15</v>
      </c>
      <c r="ADR7" s="396"/>
      <c r="ADU7" s="398" t="s">
        <v>7</v>
      </c>
      <c r="ADV7" s="392" t="s">
        <v>8</v>
      </c>
      <c r="ADW7" s="393" t="s">
        <v>17</v>
      </c>
      <c r="ADX7" s="394" t="s">
        <v>2</v>
      </c>
      <c r="ADY7" s="386" t="s">
        <v>18</v>
      </c>
      <c r="ADZ7" s="395" t="s">
        <v>15</v>
      </c>
      <c r="AEA7" s="396"/>
      <c r="AED7" s="398" t="s">
        <v>7</v>
      </c>
      <c r="AEE7" s="392" t="s">
        <v>8</v>
      </c>
      <c r="AEF7" s="393" t="s">
        <v>17</v>
      </c>
      <c r="AEG7" s="394" t="s">
        <v>2</v>
      </c>
      <c r="AEH7" s="386" t="s">
        <v>18</v>
      </c>
      <c r="AEI7" s="395" t="s">
        <v>15</v>
      </c>
      <c r="AEJ7" s="396"/>
      <c r="AEM7" s="398" t="s">
        <v>7</v>
      </c>
      <c r="AEN7" s="392" t="s">
        <v>8</v>
      </c>
      <c r="AEO7" s="393" t="s">
        <v>17</v>
      </c>
      <c r="AEP7" s="394" t="s">
        <v>2</v>
      </c>
      <c r="AEQ7" s="386" t="s">
        <v>18</v>
      </c>
      <c r="AER7" s="395" t="s">
        <v>15</v>
      </c>
      <c r="AES7" s="396"/>
    </row>
    <row r="8" spans="1:825" ht="16.5" thickTop="1" x14ac:dyDescent="0.25">
      <c r="A8" s="143">
        <v>5</v>
      </c>
      <c r="B8" s="76" t="str">
        <f>AY5</f>
        <v>TYSON FRESH MEAT</v>
      </c>
      <c r="C8" s="76" t="str">
        <f t="shared" ref="C8:I8" si="4">AZ5</f>
        <v xml:space="preserve">I B P </v>
      </c>
      <c r="D8" s="104" t="str">
        <f t="shared" si="4"/>
        <v>PED. 74684148</v>
      </c>
      <c r="E8" s="141">
        <f t="shared" si="4"/>
        <v>44539</v>
      </c>
      <c r="F8" s="87">
        <f t="shared" si="4"/>
        <v>18444.29</v>
      </c>
      <c r="G8" s="74">
        <f t="shared" si="4"/>
        <v>20</v>
      </c>
      <c r="H8" s="48">
        <f t="shared" si="4"/>
        <v>18463.38</v>
      </c>
      <c r="I8" s="107">
        <f t="shared" si="4"/>
        <v>-19.090000000000146</v>
      </c>
      <c r="K8" s="62"/>
      <c r="L8" s="108"/>
      <c r="M8" s="15">
        <v>1</v>
      </c>
      <c r="N8" s="93">
        <v>931.2</v>
      </c>
      <c r="O8" s="341">
        <v>44537</v>
      </c>
      <c r="P8" s="292">
        <v>931.2</v>
      </c>
      <c r="Q8" s="96" t="s">
        <v>454</v>
      </c>
      <c r="R8" s="72">
        <v>37</v>
      </c>
      <c r="S8" s="627">
        <f>R8*P8</f>
        <v>34454.400000000001</v>
      </c>
      <c r="T8" s="255"/>
      <c r="U8" s="62"/>
      <c r="V8" s="108"/>
      <c r="W8" s="15">
        <v>1</v>
      </c>
      <c r="X8" s="292">
        <v>870.4</v>
      </c>
      <c r="Y8" s="346">
        <v>44538</v>
      </c>
      <c r="Z8" s="292">
        <v>870.4</v>
      </c>
      <c r="AA8" s="406" t="s">
        <v>468</v>
      </c>
      <c r="AB8" s="279">
        <v>37</v>
      </c>
      <c r="AC8" s="338">
        <f>Z8*AB8</f>
        <v>32204.799999999999</v>
      </c>
      <c r="AE8" s="62"/>
      <c r="AF8" s="108"/>
      <c r="AG8" s="15">
        <v>1</v>
      </c>
      <c r="AH8" s="93">
        <v>931.2</v>
      </c>
      <c r="AI8" s="341">
        <v>44537</v>
      </c>
      <c r="AJ8" s="70">
        <v>931.2</v>
      </c>
      <c r="AK8" s="96" t="s">
        <v>457</v>
      </c>
      <c r="AL8" s="72">
        <v>37</v>
      </c>
      <c r="AM8" s="630">
        <f>AL8*AJ8</f>
        <v>34454.400000000001</v>
      </c>
      <c r="AO8" s="62"/>
      <c r="AP8" s="108"/>
      <c r="AQ8" s="15">
        <v>1</v>
      </c>
      <c r="AR8" s="373">
        <v>938.48</v>
      </c>
      <c r="AS8" s="346">
        <v>44538</v>
      </c>
      <c r="AT8" s="373">
        <v>938.48</v>
      </c>
      <c r="AU8" s="334" t="s">
        <v>481</v>
      </c>
      <c r="AV8" s="279">
        <v>37</v>
      </c>
      <c r="AW8" s="338">
        <f>AV8*AT8</f>
        <v>34723.760000000002</v>
      </c>
      <c r="AY8" s="62"/>
      <c r="AZ8" s="108"/>
      <c r="BA8" s="15">
        <v>1</v>
      </c>
      <c r="BB8" s="93">
        <v>936.21</v>
      </c>
      <c r="BC8" s="141">
        <v>44539</v>
      </c>
      <c r="BD8" s="93">
        <v>936.21</v>
      </c>
      <c r="BE8" s="96" t="s">
        <v>459</v>
      </c>
      <c r="BF8" s="400">
        <v>36</v>
      </c>
      <c r="BG8" s="646">
        <f>BF8*BD8</f>
        <v>33703.56</v>
      </c>
      <c r="BI8" s="62"/>
      <c r="BJ8" s="108"/>
      <c r="BK8" s="15">
        <v>1</v>
      </c>
      <c r="BL8" s="93">
        <v>916.3</v>
      </c>
      <c r="BM8" s="141">
        <v>44540</v>
      </c>
      <c r="BN8" s="93">
        <v>916.3</v>
      </c>
      <c r="BO8" s="96" t="s">
        <v>501</v>
      </c>
      <c r="BP8" s="400">
        <v>36</v>
      </c>
      <c r="BQ8" s="857">
        <f>BP8*BN8</f>
        <v>32986.799999999996</v>
      </c>
      <c r="BS8" s="62"/>
      <c r="BT8" s="108"/>
      <c r="BU8" s="15">
        <v>1</v>
      </c>
      <c r="BV8" s="93">
        <v>930.3</v>
      </c>
      <c r="BW8" s="401">
        <v>44541</v>
      </c>
      <c r="BX8" s="292">
        <v>930.3</v>
      </c>
      <c r="BY8" s="402" t="s">
        <v>461</v>
      </c>
      <c r="BZ8" s="403">
        <v>36</v>
      </c>
      <c r="CA8" s="627">
        <f>BZ8*BX8</f>
        <v>33490.799999999996</v>
      </c>
      <c r="CC8" s="62"/>
      <c r="CD8" s="909"/>
      <c r="CE8" s="15">
        <v>1</v>
      </c>
      <c r="CF8" s="93">
        <v>867.7</v>
      </c>
      <c r="CG8" s="401">
        <v>44542</v>
      </c>
      <c r="CH8" s="93">
        <v>867.7</v>
      </c>
      <c r="CI8" s="404" t="s">
        <v>511</v>
      </c>
      <c r="CJ8" s="403">
        <v>36</v>
      </c>
      <c r="CK8" s="627">
        <f>CJ8*CH8</f>
        <v>31237.200000000001</v>
      </c>
      <c r="CM8" s="62"/>
      <c r="CN8" s="95"/>
      <c r="CO8" s="15">
        <v>1</v>
      </c>
      <c r="CP8" s="93">
        <v>867.3</v>
      </c>
      <c r="CQ8" s="401">
        <v>44545</v>
      </c>
      <c r="CR8" s="292">
        <v>867.3</v>
      </c>
      <c r="CS8" s="1090" t="s">
        <v>524</v>
      </c>
      <c r="CT8" s="403">
        <v>38</v>
      </c>
      <c r="CU8" s="635">
        <f>CT8*CR8</f>
        <v>32957.4</v>
      </c>
      <c r="CW8" s="62"/>
      <c r="CX8" s="108"/>
      <c r="CY8" s="15">
        <v>1</v>
      </c>
      <c r="CZ8" s="93">
        <v>901.3</v>
      </c>
      <c r="DA8" s="341">
        <v>44544</v>
      </c>
      <c r="DB8" s="93">
        <v>901.3</v>
      </c>
      <c r="DC8" s="96" t="s">
        <v>517</v>
      </c>
      <c r="DD8" s="72">
        <v>38</v>
      </c>
      <c r="DE8" s="627">
        <f>DD8*DB8</f>
        <v>34249.4</v>
      </c>
      <c r="DG8" s="62"/>
      <c r="DH8" s="108"/>
      <c r="DI8" s="15">
        <v>1</v>
      </c>
      <c r="DJ8" s="93">
        <v>922.1</v>
      </c>
      <c r="DK8" s="401">
        <v>44544</v>
      </c>
      <c r="DL8" s="93">
        <v>922.1</v>
      </c>
      <c r="DM8" s="404" t="s">
        <v>476</v>
      </c>
      <c r="DN8" s="403">
        <v>38</v>
      </c>
      <c r="DO8" s="635">
        <f>DN8*DL8</f>
        <v>35039.800000000003</v>
      </c>
      <c r="DQ8" s="62"/>
      <c r="DR8" s="108"/>
      <c r="DS8" s="15">
        <v>1</v>
      </c>
      <c r="DT8" s="93">
        <v>924.87</v>
      </c>
      <c r="DU8" s="401">
        <v>44545</v>
      </c>
      <c r="DV8" s="93">
        <v>924.87</v>
      </c>
      <c r="DW8" s="404" t="s">
        <v>477</v>
      </c>
      <c r="DX8" s="403">
        <v>38</v>
      </c>
      <c r="DY8" s="627">
        <f>DX8*DV8</f>
        <v>35145.06</v>
      </c>
      <c r="EA8" s="62"/>
      <c r="EB8" s="108"/>
      <c r="EC8" s="15">
        <v>1</v>
      </c>
      <c r="ED8" s="93">
        <v>907.6</v>
      </c>
      <c r="EE8" s="357">
        <v>44546</v>
      </c>
      <c r="EF8" s="70">
        <v>907.6</v>
      </c>
      <c r="EG8" s="71" t="s">
        <v>533</v>
      </c>
      <c r="EH8" s="72">
        <v>38</v>
      </c>
      <c r="EI8" s="627">
        <f>EH8*EF8</f>
        <v>34488.800000000003</v>
      </c>
      <c r="EK8" s="62"/>
      <c r="EL8" s="452"/>
      <c r="EM8" s="15">
        <v>1</v>
      </c>
      <c r="EN8" s="292">
        <v>879.5</v>
      </c>
      <c r="EO8" s="346">
        <v>44546</v>
      </c>
      <c r="EP8" s="292">
        <v>879.5</v>
      </c>
      <c r="EQ8" s="278" t="s">
        <v>530</v>
      </c>
      <c r="ER8" s="279">
        <v>38</v>
      </c>
      <c r="ES8" s="627">
        <f>ER8*EP8</f>
        <v>33421</v>
      </c>
      <c r="EU8" s="62"/>
      <c r="EV8" s="108"/>
      <c r="EW8" s="15">
        <v>1</v>
      </c>
      <c r="EX8" s="93">
        <v>900.4</v>
      </c>
      <c r="EY8" s="1106">
        <v>900.4</v>
      </c>
      <c r="EZ8" s="1107">
        <v>900.4</v>
      </c>
      <c r="FA8" s="1108" t="s">
        <v>550</v>
      </c>
      <c r="FB8" s="1109">
        <v>38</v>
      </c>
      <c r="FC8" s="1110">
        <f>FB8*EZ8</f>
        <v>34215.199999999997</v>
      </c>
      <c r="FE8" s="62"/>
      <c r="FF8" s="452"/>
      <c r="FG8" s="15">
        <v>1</v>
      </c>
      <c r="FH8" s="292">
        <v>910.4</v>
      </c>
      <c r="FI8" s="346">
        <v>44548</v>
      </c>
      <c r="FJ8" s="292">
        <v>910.4</v>
      </c>
      <c r="FK8" s="405" t="s">
        <v>539</v>
      </c>
      <c r="FL8" s="279">
        <v>38</v>
      </c>
      <c r="FM8" s="627">
        <f>FL8*FJ8</f>
        <v>34595.199999999997</v>
      </c>
      <c r="FO8" s="62"/>
      <c r="FP8" s="108"/>
      <c r="FQ8" s="15">
        <v>1</v>
      </c>
      <c r="FR8" s="93">
        <v>912.2</v>
      </c>
      <c r="FS8" s="341">
        <v>44551</v>
      </c>
      <c r="FT8" s="93">
        <v>912.2</v>
      </c>
      <c r="FU8" s="71" t="s">
        <v>572</v>
      </c>
      <c r="FV8" s="72">
        <v>38</v>
      </c>
      <c r="FW8" s="627">
        <f>FV8*FT8</f>
        <v>34663.599999999999</v>
      </c>
      <c r="FY8" s="62"/>
      <c r="FZ8" s="108"/>
      <c r="GA8" s="15">
        <v>1</v>
      </c>
      <c r="GB8" s="292">
        <v>888.6</v>
      </c>
      <c r="GC8" s="545">
        <v>44551</v>
      </c>
      <c r="GD8" s="292">
        <v>888.6</v>
      </c>
      <c r="GE8" s="278" t="s">
        <v>564</v>
      </c>
      <c r="GF8" s="279">
        <v>39</v>
      </c>
      <c r="GG8" s="338">
        <f>GF8*GD8</f>
        <v>34655.4</v>
      </c>
      <c r="GI8" s="62"/>
      <c r="GJ8" s="108"/>
      <c r="GK8" s="15">
        <v>1</v>
      </c>
      <c r="GL8" s="522">
        <v>923.5</v>
      </c>
      <c r="GM8" s="341">
        <v>44551</v>
      </c>
      <c r="GN8" s="549">
        <v>923.5</v>
      </c>
      <c r="GO8" s="96" t="s">
        <v>567</v>
      </c>
      <c r="GP8" s="72">
        <v>39</v>
      </c>
      <c r="GQ8" s="627">
        <f>GP8*GN8</f>
        <v>36016.5</v>
      </c>
      <c r="GS8" s="62"/>
      <c r="GT8" s="108"/>
      <c r="GU8" s="15">
        <v>1</v>
      </c>
      <c r="GV8" s="292">
        <v>868.2</v>
      </c>
      <c r="GW8" s="346">
        <v>44551</v>
      </c>
      <c r="GX8" s="858">
        <v>868.2</v>
      </c>
      <c r="GY8" s="334" t="s">
        <v>569</v>
      </c>
      <c r="GZ8" s="279">
        <v>39</v>
      </c>
      <c r="HA8" s="627">
        <f>GZ8*GX8</f>
        <v>33859.800000000003</v>
      </c>
      <c r="HC8" s="62"/>
      <c r="HD8" s="108"/>
      <c r="HE8" s="15">
        <v>1</v>
      </c>
      <c r="HF8" s="93">
        <v>908.5</v>
      </c>
      <c r="HG8" s="341">
        <v>44552</v>
      </c>
      <c r="HH8" s="93">
        <v>908.5</v>
      </c>
      <c r="HI8" s="96" t="s">
        <v>581</v>
      </c>
      <c r="HJ8" s="72">
        <v>41</v>
      </c>
      <c r="HK8" s="627">
        <f>HJ8*HH8</f>
        <v>37248.5</v>
      </c>
      <c r="HM8" s="62"/>
      <c r="HN8" s="108"/>
      <c r="HO8" s="15">
        <v>1</v>
      </c>
      <c r="HP8" s="292">
        <v>953.45</v>
      </c>
      <c r="HQ8" s="346">
        <v>44552</v>
      </c>
      <c r="HR8" s="292">
        <v>953.45</v>
      </c>
      <c r="HS8" s="406" t="s">
        <v>578</v>
      </c>
      <c r="HT8" s="279">
        <v>41</v>
      </c>
      <c r="HU8" s="627">
        <f>HT8*HR8</f>
        <v>39091.450000000004</v>
      </c>
      <c r="HW8" s="62"/>
      <c r="HX8" s="108"/>
      <c r="HY8" s="15">
        <v>1</v>
      </c>
      <c r="HZ8" s="93">
        <v>962.06</v>
      </c>
      <c r="IA8" s="357">
        <v>44553</v>
      </c>
      <c r="IB8" s="70">
        <v>962.06</v>
      </c>
      <c r="IC8" s="71" t="s">
        <v>591</v>
      </c>
      <c r="ID8" s="72">
        <v>42</v>
      </c>
      <c r="IE8" s="627">
        <f>ID8*IB8</f>
        <v>40406.519999999997</v>
      </c>
      <c r="IG8" s="62"/>
      <c r="IH8" s="108"/>
      <c r="II8" s="15">
        <v>1</v>
      </c>
      <c r="IJ8" s="93">
        <v>922.6</v>
      </c>
      <c r="IK8" s="357">
        <v>44553</v>
      </c>
      <c r="IL8" s="70">
        <v>922.6</v>
      </c>
      <c r="IM8" s="71" t="s">
        <v>598</v>
      </c>
      <c r="IN8" s="72">
        <v>41</v>
      </c>
      <c r="IO8" s="627">
        <f>IN8*IL8</f>
        <v>37826.6</v>
      </c>
      <c r="IQ8" s="882"/>
      <c r="IR8" s="108"/>
      <c r="IS8" s="15">
        <v>1</v>
      </c>
      <c r="IT8" s="292">
        <v>929</v>
      </c>
      <c r="IU8" s="258">
        <v>44554</v>
      </c>
      <c r="IV8" s="292">
        <v>929</v>
      </c>
      <c r="IW8" s="552" t="s">
        <v>610</v>
      </c>
      <c r="IX8" s="279">
        <v>41</v>
      </c>
      <c r="IY8" s="338">
        <f>IX8*IV8</f>
        <v>38089</v>
      </c>
      <c r="IZ8" s="93"/>
      <c r="JA8" s="62"/>
      <c r="JB8" s="108"/>
      <c r="JC8" s="15">
        <v>1</v>
      </c>
      <c r="JD8" s="93">
        <v>874.1</v>
      </c>
      <c r="JE8" s="357">
        <v>44554</v>
      </c>
      <c r="JF8" s="93">
        <v>874.1</v>
      </c>
      <c r="JG8" s="71" t="s">
        <v>612</v>
      </c>
      <c r="JH8" s="72">
        <v>41</v>
      </c>
      <c r="JI8" s="627">
        <f>JH8*JF8</f>
        <v>35838.1</v>
      </c>
      <c r="JJ8" s="407"/>
      <c r="JK8" s="408"/>
      <c r="JL8" s="409"/>
      <c r="JM8" s="15">
        <v>1</v>
      </c>
      <c r="JN8" s="93">
        <v>914</v>
      </c>
      <c r="JO8" s="341">
        <v>44554</v>
      </c>
      <c r="JP8" s="93">
        <v>914</v>
      </c>
      <c r="JQ8" s="71" t="s">
        <v>603</v>
      </c>
      <c r="JR8" s="72">
        <v>41</v>
      </c>
      <c r="JS8" s="627">
        <f>JR8*JP8</f>
        <v>37474</v>
      </c>
      <c r="JU8" s="62"/>
      <c r="JV8" s="108"/>
      <c r="JW8" s="15">
        <v>1</v>
      </c>
      <c r="JX8" s="93">
        <v>867.7</v>
      </c>
      <c r="JY8" s="357">
        <v>44554</v>
      </c>
      <c r="JZ8" s="292">
        <v>867.7</v>
      </c>
      <c r="KA8" s="71" t="s">
        <v>608</v>
      </c>
      <c r="KB8" s="72">
        <v>41</v>
      </c>
      <c r="KC8" s="627">
        <f>KB8*JZ8</f>
        <v>35575.700000000004</v>
      </c>
      <c r="KE8" s="62"/>
      <c r="KF8" s="108"/>
      <c r="KG8" s="15">
        <v>1</v>
      </c>
      <c r="KH8" s="93">
        <v>906.3</v>
      </c>
      <c r="KI8" s="357">
        <v>44556</v>
      </c>
      <c r="KJ8" s="292">
        <v>906.3</v>
      </c>
      <c r="KK8" s="71" t="s">
        <v>617</v>
      </c>
      <c r="KL8" s="72">
        <v>41</v>
      </c>
      <c r="KM8" s="627">
        <f>KL8*KJ8</f>
        <v>37158.299999999996</v>
      </c>
      <c r="KO8" s="62"/>
      <c r="KP8" s="108"/>
      <c r="KQ8" s="15">
        <v>1</v>
      </c>
      <c r="KR8" s="93">
        <v>896.7</v>
      </c>
      <c r="KS8" s="357">
        <v>44558</v>
      </c>
      <c r="KT8" s="292">
        <v>896.7</v>
      </c>
      <c r="KU8" s="71" t="s">
        <v>637</v>
      </c>
      <c r="KV8" s="72">
        <v>42</v>
      </c>
      <c r="KW8" s="627">
        <f>KV8*KT8</f>
        <v>37661.4</v>
      </c>
      <c r="KY8" s="62"/>
      <c r="KZ8" s="108"/>
      <c r="LA8" s="15">
        <v>1</v>
      </c>
      <c r="LB8" s="93">
        <v>902.64</v>
      </c>
      <c r="LC8" s="341">
        <v>44558</v>
      </c>
      <c r="LD8" s="93">
        <v>902.64</v>
      </c>
      <c r="LE8" s="96" t="s">
        <v>643</v>
      </c>
      <c r="LF8" s="72">
        <v>42</v>
      </c>
      <c r="LG8" s="627">
        <f>LF8*LD8</f>
        <v>37910.879999999997</v>
      </c>
      <c r="LI8" s="62"/>
      <c r="LJ8" s="108"/>
      <c r="LK8" s="15">
        <v>1</v>
      </c>
      <c r="LL8" s="93">
        <v>922.6</v>
      </c>
      <c r="LM8" s="341">
        <v>44559</v>
      </c>
      <c r="LN8" s="292">
        <v>922.6</v>
      </c>
      <c r="LO8" s="96" t="s">
        <v>652</v>
      </c>
      <c r="LP8" s="72">
        <v>42</v>
      </c>
      <c r="LQ8" s="627">
        <f>LP8*LN8</f>
        <v>38749.200000000004</v>
      </c>
      <c r="LS8" s="62"/>
      <c r="LT8" s="108"/>
      <c r="LU8" s="15">
        <v>1</v>
      </c>
      <c r="LV8" s="93">
        <v>882.2</v>
      </c>
      <c r="LW8" s="341">
        <v>44559</v>
      </c>
      <c r="LX8" s="93">
        <v>882.2</v>
      </c>
      <c r="LY8" s="96" t="s">
        <v>650</v>
      </c>
      <c r="LZ8" s="72">
        <v>42</v>
      </c>
      <c r="MA8" s="627">
        <f>LZ8*LX8</f>
        <v>37052.400000000001</v>
      </c>
      <c r="MB8" s="627"/>
      <c r="MC8" s="62"/>
      <c r="MD8" s="108"/>
      <c r="ME8" s="15">
        <v>1</v>
      </c>
      <c r="MF8" s="399">
        <v>924.9</v>
      </c>
      <c r="MG8" s="341">
        <v>44560</v>
      </c>
      <c r="MH8" s="399">
        <v>924.9</v>
      </c>
      <c r="MI8" s="96" t="s">
        <v>660</v>
      </c>
      <c r="MJ8" s="72">
        <v>43</v>
      </c>
      <c r="MK8" s="72">
        <f>MJ8*MH8</f>
        <v>39770.699999999997</v>
      </c>
      <c r="MM8" s="62"/>
      <c r="MN8" s="108"/>
      <c r="MO8" s="15">
        <v>1</v>
      </c>
      <c r="MP8" s="93">
        <v>948.93</v>
      </c>
      <c r="MQ8" s="341">
        <v>44560</v>
      </c>
      <c r="MR8" s="93">
        <v>948.93</v>
      </c>
      <c r="MS8" s="96" t="s">
        <v>665</v>
      </c>
      <c r="MT8" s="72">
        <v>43</v>
      </c>
      <c r="MU8" s="72">
        <f>MT8*MR8</f>
        <v>40803.99</v>
      </c>
      <c r="MW8" s="62"/>
      <c r="MX8" s="108"/>
      <c r="MY8" s="15">
        <v>1</v>
      </c>
      <c r="MZ8" s="93">
        <v>936.2</v>
      </c>
      <c r="NA8" s="341">
        <v>44561</v>
      </c>
      <c r="NB8" s="93">
        <v>936.2</v>
      </c>
      <c r="NC8" s="96" t="s">
        <v>672</v>
      </c>
      <c r="ND8" s="72">
        <v>40</v>
      </c>
      <c r="NE8" s="72">
        <f>ND8*NB8</f>
        <v>37448</v>
      </c>
      <c r="NG8" s="62"/>
      <c r="NH8" s="108"/>
      <c r="NI8" s="15">
        <v>1</v>
      </c>
      <c r="NJ8" s="410">
        <v>911.3</v>
      </c>
      <c r="NK8" s="341"/>
      <c r="NL8" s="410"/>
      <c r="NM8" s="96"/>
      <c r="NN8" s="72"/>
      <c r="NO8" s="72">
        <f>NN8*NL8</f>
        <v>0</v>
      </c>
      <c r="NQ8" s="62"/>
      <c r="NR8" s="108"/>
      <c r="NS8" s="15">
        <v>1</v>
      </c>
      <c r="NT8" s="93">
        <v>870.4</v>
      </c>
      <c r="NU8" s="341">
        <v>44563</v>
      </c>
      <c r="NV8" s="93">
        <v>870.4</v>
      </c>
      <c r="NW8" s="96" t="s">
        <v>681</v>
      </c>
      <c r="NX8" s="72">
        <v>34</v>
      </c>
      <c r="NY8" s="72">
        <f>NX8*NV8</f>
        <v>29593.599999999999</v>
      </c>
      <c r="OA8" s="62"/>
      <c r="OB8" s="108"/>
      <c r="OC8" s="15">
        <v>1</v>
      </c>
      <c r="OD8" s="410"/>
      <c r="OE8" s="341"/>
      <c r="OF8" s="410"/>
      <c r="OG8" s="96"/>
      <c r="OH8" s="72"/>
      <c r="OI8" s="72">
        <f>OH8*OF8</f>
        <v>0</v>
      </c>
      <c r="OK8" s="62"/>
      <c r="OL8" s="108"/>
      <c r="OM8" s="15">
        <v>1</v>
      </c>
      <c r="ON8" s="93"/>
      <c r="OO8" s="341"/>
      <c r="OP8" s="93"/>
      <c r="OQ8" s="96"/>
      <c r="OR8" s="72"/>
      <c r="OS8" s="72">
        <f>OR8*OP8</f>
        <v>0</v>
      </c>
      <c r="OU8" s="62"/>
      <c r="OV8" s="108"/>
      <c r="OW8" s="15">
        <v>1</v>
      </c>
      <c r="OX8" s="292"/>
      <c r="OY8" s="346"/>
      <c r="OZ8" s="292"/>
      <c r="PA8" s="334"/>
      <c r="PB8" s="279"/>
      <c r="PC8" s="279">
        <f>PB8*OZ8</f>
        <v>0</v>
      </c>
      <c r="PE8" s="62"/>
      <c r="PF8" s="95"/>
      <c r="PG8" s="15">
        <v>1</v>
      </c>
      <c r="PH8" s="410"/>
      <c r="PI8" s="341"/>
      <c r="PJ8" s="410"/>
      <c r="PK8" s="96"/>
      <c r="PL8" s="72"/>
      <c r="PM8" s="72">
        <f>PL8*PJ8</f>
        <v>0</v>
      </c>
      <c r="PO8" s="62"/>
      <c r="PP8" s="108"/>
      <c r="PQ8" s="15">
        <v>1</v>
      </c>
      <c r="PR8" s="93"/>
      <c r="PS8" s="341"/>
      <c r="PT8" s="93"/>
      <c r="PU8" s="96"/>
      <c r="PV8" s="72"/>
      <c r="PX8" s="62"/>
      <c r="PY8" s="108"/>
      <c r="PZ8" s="15">
        <v>1</v>
      </c>
      <c r="QA8" s="93"/>
      <c r="QB8" s="141"/>
      <c r="QC8" s="93"/>
      <c r="QD8" s="96"/>
      <c r="QE8" s="72"/>
      <c r="QG8" s="62"/>
      <c r="QH8" s="108"/>
      <c r="QI8" s="15">
        <v>1</v>
      </c>
      <c r="QJ8" s="93"/>
      <c r="QK8" s="341"/>
      <c r="QL8" s="93"/>
      <c r="QM8" s="96"/>
      <c r="QN8" s="72"/>
      <c r="QP8" s="62"/>
      <c r="QQ8" s="108"/>
      <c r="QR8" s="15">
        <v>1</v>
      </c>
      <c r="QS8" s="93"/>
      <c r="QT8" s="341"/>
      <c r="QU8" s="93"/>
      <c r="QV8" s="96"/>
      <c r="QW8" s="72"/>
      <c r="QY8" s="62"/>
      <c r="QZ8" s="108"/>
      <c r="RA8" s="15">
        <v>1</v>
      </c>
      <c r="RB8" s="93"/>
      <c r="RC8" s="341"/>
      <c r="RD8" s="93"/>
      <c r="RE8" s="96"/>
      <c r="RF8" s="72"/>
      <c r="RH8" s="62"/>
      <c r="RI8" s="95"/>
      <c r="RJ8" s="15">
        <v>1</v>
      </c>
      <c r="RK8" s="93"/>
      <c r="RL8" s="341"/>
      <c r="RM8" s="93"/>
      <c r="RN8" s="96"/>
      <c r="RO8" s="400"/>
      <c r="RR8" s="108"/>
      <c r="RS8" s="15">
        <v>1</v>
      </c>
      <c r="RT8" s="93"/>
      <c r="RU8" s="141"/>
      <c r="RV8" s="93"/>
      <c r="RW8" s="96"/>
      <c r="RX8" s="72"/>
      <c r="SA8" s="108"/>
      <c r="SB8" s="15">
        <v>1</v>
      </c>
      <c r="SC8" s="93"/>
      <c r="SD8" s="80"/>
      <c r="SE8" s="93"/>
      <c r="SF8" s="96"/>
      <c r="SG8" s="72"/>
      <c r="SJ8" s="108"/>
      <c r="SK8" s="15">
        <v>1</v>
      </c>
      <c r="SL8" s="93"/>
      <c r="SM8" s="80"/>
      <c r="SN8" s="93"/>
      <c r="SO8" s="96"/>
      <c r="SP8" s="72"/>
      <c r="SS8" s="108"/>
      <c r="ST8" s="15"/>
      <c r="SU8" s="93"/>
      <c r="SV8" s="80"/>
      <c r="SW8" s="93"/>
      <c r="SX8" s="96"/>
      <c r="SY8" s="72"/>
      <c r="TB8" s="108"/>
      <c r="TC8" s="15">
        <v>1</v>
      </c>
      <c r="TD8" s="93"/>
      <c r="TE8" s="411"/>
      <c r="TF8" s="189"/>
      <c r="TG8" s="404"/>
      <c r="TH8" s="403"/>
      <c r="TK8" s="108"/>
      <c r="TL8" s="15">
        <v>1</v>
      </c>
      <c r="TM8" s="93"/>
      <c r="TN8" s="80"/>
      <c r="TO8" s="93"/>
      <c r="TP8" s="96"/>
      <c r="TQ8" s="72"/>
      <c r="TT8" s="108"/>
      <c r="TU8" s="15">
        <v>1</v>
      </c>
      <c r="TV8" s="93"/>
      <c r="TW8" s="80"/>
      <c r="TX8" s="93"/>
      <c r="TY8" s="96"/>
      <c r="TZ8" s="72"/>
      <c r="UC8" s="108"/>
      <c r="UD8" s="15">
        <v>1</v>
      </c>
      <c r="UE8" s="93"/>
      <c r="UF8" s="80"/>
      <c r="UG8" s="93"/>
      <c r="UH8" s="96"/>
      <c r="UI8" s="72"/>
      <c r="UL8" s="108"/>
      <c r="UM8" s="15">
        <v>1</v>
      </c>
      <c r="UN8" s="93"/>
      <c r="UO8" s="80"/>
      <c r="UP8" s="93"/>
      <c r="UQ8" s="96"/>
      <c r="UR8" s="72"/>
      <c r="UU8" s="108"/>
      <c r="UV8" s="15">
        <v>1</v>
      </c>
      <c r="UW8" s="93"/>
      <c r="UX8" s="80"/>
      <c r="UY8" s="93"/>
      <c r="UZ8" s="96"/>
      <c r="VA8" s="72"/>
      <c r="VC8" s="62" t="s">
        <v>32</v>
      </c>
      <c r="VD8" s="108"/>
      <c r="VE8" s="15">
        <v>1</v>
      </c>
      <c r="VF8" s="93"/>
      <c r="VG8" s="80"/>
      <c r="VH8" s="93"/>
      <c r="VI8" s="96"/>
      <c r="VJ8" s="72"/>
      <c r="VL8" s="62" t="s">
        <v>32</v>
      </c>
      <c r="VM8" s="108"/>
      <c r="VN8" s="15">
        <v>1</v>
      </c>
      <c r="VO8" s="93"/>
      <c r="VP8" s="80"/>
      <c r="VQ8" s="93"/>
      <c r="VR8" s="96"/>
      <c r="VS8" s="72"/>
      <c r="VU8" s="62" t="s">
        <v>32</v>
      </c>
      <c r="VV8" s="108"/>
      <c r="VW8" s="15">
        <v>1</v>
      </c>
      <c r="VX8" s="93"/>
      <c r="VY8" s="80"/>
      <c r="VZ8" s="93"/>
      <c r="WA8" s="96"/>
      <c r="WB8" s="72"/>
      <c r="WD8" s="62" t="s">
        <v>32</v>
      </c>
      <c r="WE8" s="108"/>
      <c r="WF8" s="15">
        <v>1</v>
      </c>
      <c r="WG8" s="93"/>
      <c r="WH8" s="80"/>
      <c r="WI8" s="93"/>
      <c r="WJ8" s="96"/>
      <c r="WK8" s="72"/>
      <c r="WM8" s="62" t="s">
        <v>32</v>
      </c>
      <c r="WN8" s="108"/>
      <c r="WO8" s="15">
        <v>1</v>
      </c>
      <c r="WP8" s="93"/>
      <c r="WQ8" s="80"/>
      <c r="WR8" s="93"/>
      <c r="WS8" s="96"/>
      <c r="WT8" s="72"/>
      <c r="WV8" s="62" t="s">
        <v>32</v>
      </c>
      <c r="WW8" s="108"/>
      <c r="WX8" s="15">
        <v>1</v>
      </c>
      <c r="WY8" s="93"/>
      <c r="WZ8" s="80"/>
      <c r="XA8" s="93"/>
      <c r="XB8" s="96"/>
      <c r="XC8" s="72"/>
      <c r="XE8" s="62" t="s">
        <v>32</v>
      </c>
      <c r="XF8" s="108"/>
      <c r="XG8" s="15">
        <v>1</v>
      </c>
      <c r="XH8" s="93"/>
      <c r="XI8" s="80"/>
      <c r="XJ8" s="93"/>
      <c r="XK8" s="96"/>
      <c r="XL8" s="72"/>
      <c r="XN8" s="62" t="s">
        <v>32</v>
      </c>
      <c r="XO8" s="108"/>
      <c r="XP8" s="15">
        <v>1</v>
      </c>
      <c r="XQ8" s="93"/>
      <c r="XR8" s="80"/>
      <c r="XS8" s="93"/>
      <c r="XT8" s="96"/>
      <c r="XU8" s="72"/>
      <c r="XW8" s="62" t="s">
        <v>32</v>
      </c>
      <c r="XX8" s="108"/>
      <c r="XY8" s="15">
        <v>1</v>
      </c>
      <c r="XZ8" s="93"/>
      <c r="YA8" s="80"/>
      <c r="YB8" s="93"/>
      <c r="YC8" s="96"/>
      <c r="YD8" s="72"/>
      <c r="YF8" s="62" t="s">
        <v>32</v>
      </c>
      <c r="YG8" s="108"/>
      <c r="YH8" s="15">
        <v>1</v>
      </c>
      <c r="YI8" s="93"/>
      <c r="YJ8" s="80"/>
      <c r="YK8" s="93"/>
      <c r="YL8" s="96"/>
      <c r="YM8" s="72"/>
      <c r="YO8" s="62" t="s">
        <v>32</v>
      </c>
      <c r="YP8" s="108"/>
      <c r="YQ8" s="15">
        <v>1</v>
      </c>
      <c r="YR8" s="93"/>
      <c r="YS8" s="80"/>
      <c r="YT8" s="93"/>
      <c r="YU8" s="96"/>
      <c r="YV8" s="72"/>
      <c r="YX8" s="62" t="s">
        <v>32</v>
      </c>
      <c r="YY8" s="108"/>
      <c r="YZ8" s="15">
        <v>1</v>
      </c>
      <c r="ZA8" s="93"/>
      <c r="ZB8" s="80"/>
      <c r="ZC8" s="93"/>
      <c r="ZD8" s="96"/>
      <c r="ZE8" s="72"/>
      <c r="ZG8" s="62" t="s">
        <v>32</v>
      </c>
      <c r="ZH8" s="108"/>
      <c r="ZI8" s="15">
        <v>1</v>
      </c>
      <c r="ZJ8" s="93"/>
      <c r="ZK8" s="80"/>
      <c r="ZL8" s="93"/>
      <c r="ZM8" s="96"/>
      <c r="ZN8" s="72"/>
      <c r="ZP8" s="62" t="s">
        <v>32</v>
      </c>
      <c r="ZQ8" s="108"/>
      <c r="ZR8" s="15">
        <v>1</v>
      </c>
      <c r="ZS8" s="93"/>
      <c r="ZT8" s="80"/>
      <c r="ZU8" s="93"/>
      <c r="ZV8" s="96"/>
      <c r="ZW8" s="72"/>
      <c r="ZY8" s="62" t="s">
        <v>32</v>
      </c>
      <c r="ZZ8" s="108"/>
      <c r="AAA8" s="15">
        <v>1</v>
      </c>
      <c r="AAB8" s="93"/>
      <c r="AAC8" s="80"/>
      <c r="AAD8" s="93"/>
      <c r="AAE8" s="96"/>
      <c r="AAF8" s="72"/>
      <c r="AAH8" s="62" t="s">
        <v>32</v>
      </c>
      <c r="AAI8" s="108"/>
      <c r="AAJ8" s="15">
        <v>1</v>
      </c>
      <c r="AAK8" s="93"/>
      <c r="AAL8" s="80"/>
      <c r="AAM8" s="93"/>
      <c r="AAN8" s="96"/>
      <c r="AAO8" s="72"/>
      <c r="AAQ8" s="62" t="s">
        <v>32</v>
      </c>
      <c r="AAR8" s="108"/>
      <c r="AAS8" s="15">
        <v>1</v>
      </c>
      <c r="AAT8" s="93"/>
      <c r="AAU8" s="80"/>
      <c r="AAV8" s="93"/>
      <c r="AAW8" s="96"/>
      <c r="AAX8" s="72"/>
      <c r="AAZ8" s="62" t="s">
        <v>32</v>
      </c>
      <c r="ABA8" s="108"/>
      <c r="ABB8" s="15">
        <v>1</v>
      </c>
      <c r="ABC8" s="93"/>
      <c r="ABD8" s="80"/>
      <c r="ABE8" s="93"/>
      <c r="ABF8" s="96"/>
      <c r="ABG8" s="72"/>
      <c r="ABI8" s="62" t="s">
        <v>32</v>
      </c>
      <c r="ABJ8" s="108"/>
      <c r="ABK8" s="15">
        <v>1</v>
      </c>
      <c r="ABL8" s="93"/>
      <c r="ABM8" s="80"/>
      <c r="ABN8" s="93"/>
      <c r="ABO8" s="96"/>
      <c r="ABP8" s="72"/>
      <c r="ABR8" s="62" t="s">
        <v>32</v>
      </c>
      <c r="ABS8" s="108"/>
      <c r="ABT8" s="15">
        <v>1</v>
      </c>
      <c r="ABU8" s="93"/>
      <c r="ABV8" s="80"/>
      <c r="ABW8" s="93"/>
      <c r="ABX8" s="96"/>
      <c r="ABY8" s="72"/>
      <c r="ACA8" s="62" t="s">
        <v>32</v>
      </c>
      <c r="ACB8" s="108"/>
      <c r="ACC8" s="15">
        <v>1</v>
      </c>
      <c r="ACD8" s="93"/>
      <c r="ACE8" s="80"/>
      <c r="ACF8" s="93"/>
      <c r="ACG8" s="96"/>
      <c r="ACH8" s="72"/>
      <c r="ACJ8" s="62" t="s">
        <v>32</v>
      </c>
      <c r="ACK8" s="108"/>
      <c r="ACL8" s="15">
        <v>1</v>
      </c>
      <c r="ACM8" s="93"/>
      <c r="ACN8" s="80"/>
      <c r="ACO8" s="93"/>
      <c r="ACP8" s="96"/>
      <c r="ACQ8" s="72"/>
      <c r="ACS8" s="62" t="s">
        <v>32</v>
      </c>
      <c r="ACT8" s="108"/>
      <c r="ACU8" s="15">
        <v>1</v>
      </c>
      <c r="ACV8" s="93"/>
      <c r="ACW8" s="80"/>
      <c r="ACX8" s="93"/>
      <c r="ACY8" s="96"/>
      <c r="ACZ8" s="72"/>
      <c r="ADB8" s="62" t="s">
        <v>32</v>
      </c>
      <c r="ADC8" s="108"/>
      <c r="ADD8" s="15">
        <v>1</v>
      </c>
      <c r="ADE8" s="93"/>
      <c r="ADF8" s="80"/>
      <c r="ADG8" s="93"/>
      <c r="ADH8" s="96"/>
      <c r="ADI8" s="72"/>
      <c r="ADK8" s="62" t="s">
        <v>32</v>
      </c>
      <c r="ADL8" s="108"/>
      <c r="ADM8" s="15">
        <v>1</v>
      </c>
      <c r="ADN8" s="93"/>
      <c r="ADO8" s="80"/>
      <c r="ADP8" s="93"/>
      <c r="ADQ8" s="96"/>
      <c r="ADR8" s="72"/>
      <c r="ADT8" s="62" t="s">
        <v>32</v>
      </c>
      <c r="ADU8" s="108"/>
      <c r="ADV8" s="15">
        <v>1</v>
      </c>
      <c r="ADW8" s="93"/>
      <c r="ADX8" s="80"/>
      <c r="ADY8" s="93"/>
      <c r="ADZ8" s="96"/>
      <c r="AEA8" s="72"/>
      <c r="AEC8" s="62" t="s">
        <v>32</v>
      </c>
      <c r="AED8" s="108"/>
      <c r="AEE8" s="15">
        <v>1</v>
      </c>
      <c r="AEF8" s="93"/>
      <c r="AEG8" s="80"/>
      <c r="AEH8" s="93"/>
      <c r="AEI8" s="96"/>
      <c r="AEJ8" s="72"/>
      <c r="AEL8" s="62" t="s">
        <v>32</v>
      </c>
      <c r="AEM8" s="108"/>
      <c r="AEN8" s="15">
        <v>1</v>
      </c>
      <c r="AEO8" s="93"/>
      <c r="AEP8" s="80"/>
      <c r="AEQ8" s="93"/>
      <c r="AER8" s="96"/>
      <c r="AES8" s="72"/>
    </row>
    <row r="9" spans="1:825" ht="16.5" thickBot="1" x14ac:dyDescent="0.3">
      <c r="A9" s="143">
        <v>6</v>
      </c>
      <c r="B9" s="76" t="str">
        <f>BI5</f>
        <v>DISTRIBUIDORA ASGAR S DE RL</v>
      </c>
      <c r="C9" s="76" t="str">
        <f t="shared" ref="C9:H9" si="5">BJ5</f>
        <v>SWIFT</v>
      </c>
      <c r="D9" s="104" t="str">
        <f t="shared" si="5"/>
        <v>PED. 74627061</v>
      </c>
      <c r="E9" s="141">
        <f t="shared" si="5"/>
        <v>44510</v>
      </c>
      <c r="F9" s="87">
        <f t="shared" si="5"/>
        <v>18330.04</v>
      </c>
      <c r="G9" s="74">
        <f t="shared" si="5"/>
        <v>20</v>
      </c>
      <c r="H9" s="48">
        <f t="shared" si="5"/>
        <v>18375.900000000001</v>
      </c>
      <c r="I9" s="107">
        <f>BP5</f>
        <v>-45.860000000000582</v>
      </c>
      <c r="L9" s="95"/>
      <c r="M9" s="15">
        <v>2</v>
      </c>
      <c r="N9" s="93">
        <v>929.9</v>
      </c>
      <c r="O9" s="341">
        <v>44537</v>
      </c>
      <c r="P9" s="93">
        <v>929.9</v>
      </c>
      <c r="Q9" s="96" t="s">
        <v>454</v>
      </c>
      <c r="R9" s="72">
        <v>37</v>
      </c>
      <c r="S9" s="627">
        <f t="shared" ref="S9:S29" si="6">R9*P9</f>
        <v>34406.299999999996</v>
      </c>
      <c r="T9" s="255"/>
      <c r="V9" s="95"/>
      <c r="W9" s="15">
        <v>2</v>
      </c>
      <c r="X9" s="292">
        <v>870.9</v>
      </c>
      <c r="Y9" s="346">
        <v>44538</v>
      </c>
      <c r="Z9" s="292">
        <v>870.9</v>
      </c>
      <c r="AA9" s="406" t="s">
        <v>468</v>
      </c>
      <c r="AB9" s="279">
        <v>37</v>
      </c>
      <c r="AC9" s="338">
        <f t="shared" ref="AC9:AC29" si="7">Z9*AB9</f>
        <v>32223.3</v>
      </c>
      <c r="AF9" s="95"/>
      <c r="AG9" s="15">
        <v>2</v>
      </c>
      <c r="AH9" s="93">
        <v>937.6</v>
      </c>
      <c r="AI9" s="341">
        <v>44537</v>
      </c>
      <c r="AJ9" s="93">
        <v>937.6</v>
      </c>
      <c r="AK9" s="96" t="s">
        <v>457</v>
      </c>
      <c r="AL9" s="72">
        <v>37</v>
      </c>
      <c r="AM9" s="630">
        <f t="shared" ref="AM9:AM29" si="8">AL9*AJ9</f>
        <v>34691.200000000004</v>
      </c>
      <c r="AP9" s="95"/>
      <c r="AQ9" s="15">
        <v>2</v>
      </c>
      <c r="AR9" s="335">
        <v>939.38</v>
      </c>
      <c r="AS9" s="346">
        <v>44538</v>
      </c>
      <c r="AT9" s="335">
        <v>939.38</v>
      </c>
      <c r="AU9" s="334" t="s">
        <v>481</v>
      </c>
      <c r="AV9" s="279">
        <v>37</v>
      </c>
      <c r="AW9" s="338">
        <f t="shared" ref="AW9:AW29" si="9">AV9*AT9</f>
        <v>34757.06</v>
      </c>
      <c r="AZ9" s="108"/>
      <c r="BA9" s="15">
        <v>2</v>
      </c>
      <c r="BB9" s="93">
        <v>933.94</v>
      </c>
      <c r="BC9" s="141">
        <v>44539</v>
      </c>
      <c r="BD9" s="93">
        <v>933.94</v>
      </c>
      <c r="BE9" s="96" t="s">
        <v>492</v>
      </c>
      <c r="BF9" s="400">
        <v>36</v>
      </c>
      <c r="BG9" s="646">
        <f t="shared" ref="BG9:BG29" si="10">BF9*BD9</f>
        <v>33621.840000000004</v>
      </c>
      <c r="BJ9" s="108"/>
      <c r="BK9" s="15">
        <v>2</v>
      </c>
      <c r="BL9" s="93">
        <v>924.4</v>
      </c>
      <c r="BM9" s="141">
        <v>44540</v>
      </c>
      <c r="BN9" s="93">
        <v>924.4</v>
      </c>
      <c r="BO9" s="96" t="s">
        <v>501</v>
      </c>
      <c r="BP9" s="400">
        <v>36</v>
      </c>
      <c r="BQ9" s="857">
        <f t="shared" ref="BQ9:BQ29" si="11">BP9*BN9</f>
        <v>33278.400000000001</v>
      </c>
      <c r="BT9" s="108"/>
      <c r="BU9" s="15">
        <v>2</v>
      </c>
      <c r="BV9" s="93">
        <v>919</v>
      </c>
      <c r="BW9" s="401">
        <v>44541</v>
      </c>
      <c r="BX9" s="93">
        <v>919</v>
      </c>
      <c r="BY9" s="402" t="s">
        <v>461</v>
      </c>
      <c r="BZ9" s="403">
        <v>36</v>
      </c>
      <c r="CA9" s="627">
        <f t="shared" ref="CA9:CA28" si="12">BZ9*BX9</f>
        <v>33084</v>
      </c>
      <c r="CD9" s="909"/>
      <c r="CE9" s="15">
        <v>2</v>
      </c>
      <c r="CF9" s="93">
        <v>915.8</v>
      </c>
      <c r="CG9" s="401">
        <v>44542</v>
      </c>
      <c r="CH9" s="93">
        <v>915.8</v>
      </c>
      <c r="CI9" s="404" t="s">
        <v>494</v>
      </c>
      <c r="CJ9" s="403">
        <v>36</v>
      </c>
      <c r="CK9" s="627">
        <f t="shared" ref="CK9:CK29" si="13">CJ9*CH9</f>
        <v>32968.799999999996</v>
      </c>
      <c r="CN9" s="95"/>
      <c r="CO9" s="15">
        <v>2</v>
      </c>
      <c r="CP9" s="93">
        <v>924.4</v>
      </c>
      <c r="CQ9" s="401">
        <v>44545</v>
      </c>
      <c r="CR9" s="93">
        <v>924.4</v>
      </c>
      <c r="CS9" s="404" t="s">
        <v>524</v>
      </c>
      <c r="CT9" s="403">
        <v>38</v>
      </c>
      <c r="CU9" s="635">
        <f>CT9*CR9</f>
        <v>35127.199999999997</v>
      </c>
      <c r="CX9" s="95"/>
      <c r="CY9" s="15">
        <v>2</v>
      </c>
      <c r="CZ9" s="93">
        <v>894.5</v>
      </c>
      <c r="DA9" s="341">
        <v>44544</v>
      </c>
      <c r="DB9" s="93">
        <v>894.5</v>
      </c>
      <c r="DC9" s="96" t="s">
        <v>517</v>
      </c>
      <c r="DD9" s="72">
        <v>38</v>
      </c>
      <c r="DE9" s="627">
        <f t="shared" ref="DE9:DE29" si="14">DD9*DB9</f>
        <v>33991</v>
      </c>
      <c r="DH9" s="95"/>
      <c r="DI9" s="15">
        <v>2</v>
      </c>
      <c r="DJ9" s="93">
        <v>903.6</v>
      </c>
      <c r="DK9" s="401">
        <v>44544</v>
      </c>
      <c r="DL9" s="93">
        <v>903.6</v>
      </c>
      <c r="DM9" s="404" t="s">
        <v>476</v>
      </c>
      <c r="DN9" s="403">
        <v>38</v>
      </c>
      <c r="DO9" s="635">
        <f t="shared" ref="DO9:DO29" si="15">DN9*DL9</f>
        <v>34336.800000000003</v>
      </c>
      <c r="DR9" s="95"/>
      <c r="DS9" s="15">
        <v>2</v>
      </c>
      <c r="DT9" s="93">
        <v>922.6</v>
      </c>
      <c r="DU9" s="401">
        <v>44545</v>
      </c>
      <c r="DV9" s="93">
        <v>922.6</v>
      </c>
      <c r="DW9" s="404" t="s">
        <v>477</v>
      </c>
      <c r="DX9" s="403">
        <v>38</v>
      </c>
      <c r="DY9" s="627">
        <f t="shared" ref="DY9:DY29" si="16">DX9*DV9</f>
        <v>35058.800000000003</v>
      </c>
      <c r="EB9" s="95"/>
      <c r="EC9" s="15">
        <v>2</v>
      </c>
      <c r="ED9" s="70">
        <v>910.4</v>
      </c>
      <c r="EE9" s="357">
        <v>44546</v>
      </c>
      <c r="EF9" s="70">
        <v>910.4</v>
      </c>
      <c r="EG9" s="71" t="s">
        <v>533</v>
      </c>
      <c r="EH9" s="72">
        <v>38</v>
      </c>
      <c r="EI9" s="627">
        <f t="shared" ref="EI9:EI28" si="17">EH9*EF9</f>
        <v>34595.199999999997</v>
      </c>
      <c r="EL9" s="452"/>
      <c r="EM9" s="15">
        <v>2</v>
      </c>
      <c r="EN9" s="292">
        <v>937.6</v>
      </c>
      <c r="EO9" s="346">
        <v>44546</v>
      </c>
      <c r="EP9" s="292">
        <v>937.6</v>
      </c>
      <c r="EQ9" s="278" t="s">
        <v>530</v>
      </c>
      <c r="ER9" s="279">
        <v>38</v>
      </c>
      <c r="ES9" s="627">
        <f t="shared" ref="ES9:ES29" si="18">ER9*EP9</f>
        <v>35628.800000000003</v>
      </c>
      <c r="EV9" s="95"/>
      <c r="EW9" s="15">
        <v>2</v>
      </c>
      <c r="EX9" s="70">
        <v>942.1</v>
      </c>
      <c r="EY9" s="357">
        <v>44549</v>
      </c>
      <c r="EZ9" s="70">
        <v>942.1</v>
      </c>
      <c r="FA9" s="278" t="s">
        <v>550</v>
      </c>
      <c r="FB9" s="72">
        <v>38</v>
      </c>
      <c r="FC9" s="338">
        <f t="shared" ref="FC9:FC29" si="19">FB9*EZ9</f>
        <v>35799.800000000003</v>
      </c>
      <c r="FF9" s="452"/>
      <c r="FG9" s="15">
        <v>2</v>
      </c>
      <c r="FH9" s="292">
        <v>909.4</v>
      </c>
      <c r="FI9" s="346">
        <v>44548</v>
      </c>
      <c r="FJ9" s="292">
        <v>909.4</v>
      </c>
      <c r="FK9" s="278" t="s">
        <v>539</v>
      </c>
      <c r="FL9" s="279">
        <v>38</v>
      </c>
      <c r="FM9" s="627">
        <f t="shared" ref="FM9:FM29" si="20">FL9*FJ9</f>
        <v>34557.199999999997</v>
      </c>
      <c r="FP9" s="95" t="s">
        <v>41</v>
      </c>
      <c r="FQ9" s="15">
        <v>2</v>
      </c>
      <c r="FR9" s="93">
        <v>919.9</v>
      </c>
      <c r="FS9" s="341">
        <v>44548</v>
      </c>
      <c r="FT9" s="93">
        <v>919.9</v>
      </c>
      <c r="FU9" s="71" t="s">
        <v>544</v>
      </c>
      <c r="FV9" s="72">
        <v>38</v>
      </c>
      <c r="FW9" s="627">
        <f t="shared" ref="FW9:FW29" si="21">FV9*FT9</f>
        <v>34956.199999999997</v>
      </c>
      <c r="FZ9" s="95"/>
      <c r="GA9" s="15">
        <v>2</v>
      </c>
      <c r="GB9" s="277">
        <v>879.5</v>
      </c>
      <c r="GC9" s="545">
        <v>44551</v>
      </c>
      <c r="GD9" s="277">
        <v>879.5</v>
      </c>
      <c r="GE9" s="278" t="s">
        <v>564</v>
      </c>
      <c r="GF9" s="279">
        <v>39</v>
      </c>
      <c r="GG9" s="338">
        <f t="shared" ref="GG9:GG29" si="22">GF9*GD9</f>
        <v>34300.5</v>
      </c>
      <c r="GJ9" s="95"/>
      <c r="GK9" s="15">
        <v>2</v>
      </c>
      <c r="GL9" s="523">
        <v>906.7</v>
      </c>
      <c r="GM9" s="341">
        <v>44551</v>
      </c>
      <c r="GN9" s="523">
        <v>906.7</v>
      </c>
      <c r="GO9" s="96" t="s">
        <v>567</v>
      </c>
      <c r="GP9" s="72">
        <v>39</v>
      </c>
      <c r="GQ9" s="627">
        <f t="shared" ref="GQ9:GQ29" si="23">GP9*GN9</f>
        <v>35361.300000000003</v>
      </c>
      <c r="GT9" s="95"/>
      <c r="GU9" s="15">
        <v>2</v>
      </c>
      <c r="GV9" s="288">
        <v>894.5</v>
      </c>
      <c r="GW9" s="346">
        <v>44551</v>
      </c>
      <c r="GX9" s="288">
        <v>894.5</v>
      </c>
      <c r="GY9" s="334" t="s">
        <v>569</v>
      </c>
      <c r="GZ9" s="279">
        <v>39</v>
      </c>
      <c r="HA9" s="627">
        <f t="shared" ref="HA9:HA28" si="24">GZ9*GX9</f>
        <v>34885.5</v>
      </c>
      <c r="HD9" s="95"/>
      <c r="HE9" s="15">
        <v>2</v>
      </c>
      <c r="HF9" s="93">
        <v>939.8</v>
      </c>
      <c r="HG9" s="341">
        <v>44552</v>
      </c>
      <c r="HH9" s="93">
        <v>939.8</v>
      </c>
      <c r="HI9" s="96" t="s">
        <v>581</v>
      </c>
      <c r="HJ9" s="72">
        <v>41</v>
      </c>
      <c r="HK9" s="627">
        <f t="shared" ref="HK9:HK28" si="25">HJ9*HH9</f>
        <v>38531.799999999996</v>
      </c>
      <c r="HN9" s="95"/>
      <c r="HO9" s="15">
        <v>2</v>
      </c>
      <c r="HP9" s="292">
        <v>965.24</v>
      </c>
      <c r="HQ9" s="346">
        <v>44552</v>
      </c>
      <c r="HR9" s="292">
        <v>965.24</v>
      </c>
      <c r="HS9" s="406" t="s">
        <v>578</v>
      </c>
      <c r="HT9" s="279">
        <v>41</v>
      </c>
      <c r="HU9" s="627">
        <f t="shared" ref="HU9:HU29" si="26">HT9*HR9</f>
        <v>39574.840000000004</v>
      </c>
      <c r="HX9" s="108"/>
      <c r="HY9" s="15">
        <v>2</v>
      </c>
      <c r="HZ9" s="70">
        <v>929.41</v>
      </c>
      <c r="IA9" s="357">
        <v>44553</v>
      </c>
      <c r="IB9" s="70">
        <v>929.41</v>
      </c>
      <c r="IC9" s="71" t="s">
        <v>591</v>
      </c>
      <c r="ID9" s="72">
        <v>42</v>
      </c>
      <c r="IE9" s="627">
        <f t="shared" ref="IE9:IE29" si="27">ID9*IB9</f>
        <v>39035.22</v>
      </c>
      <c r="IH9" s="108"/>
      <c r="II9" s="15">
        <v>2</v>
      </c>
      <c r="IJ9" s="70">
        <v>912.62</v>
      </c>
      <c r="IK9" s="357">
        <v>44553</v>
      </c>
      <c r="IL9" s="70">
        <v>912.62</v>
      </c>
      <c r="IM9" s="71" t="s">
        <v>598</v>
      </c>
      <c r="IN9" s="72">
        <v>41</v>
      </c>
      <c r="IO9" s="627">
        <f t="shared" ref="IO9:IO29" si="28">IN9*IL9</f>
        <v>37417.42</v>
      </c>
      <c r="IQ9" s="883"/>
      <c r="IR9" s="95"/>
      <c r="IS9" s="15">
        <v>2</v>
      </c>
      <c r="IT9" s="292">
        <v>913.5</v>
      </c>
      <c r="IU9" s="258">
        <v>44554</v>
      </c>
      <c r="IV9" s="292">
        <v>913.5</v>
      </c>
      <c r="IW9" s="552" t="s">
        <v>610</v>
      </c>
      <c r="IX9" s="279">
        <v>41</v>
      </c>
      <c r="IY9" s="338">
        <f t="shared" ref="IY9:IY29" si="29">IX9*IV9</f>
        <v>37453.5</v>
      </c>
      <c r="IZ9" s="93"/>
      <c r="JA9" s="93"/>
      <c r="JB9" s="95"/>
      <c r="JC9" s="15">
        <v>2</v>
      </c>
      <c r="JD9" s="93">
        <v>924.4</v>
      </c>
      <c r="JE9" s="357">
        <v>44554</v>
      </c>
      <c r="JF9" s="93">
        <v>924.4</v>
      </c>
      <c r="JG9" s="71" t="s">
        <v>612</v>
      </c>
      <c r="JH9" s="72">
        <v>41</v>
      </c>
      <c r="JI9" s="627">
        <f t="shared" ref="JI9:JI29" si="30">JH9*JF9</f>
        <v>37900.400000000001</v>
      </c>
      <c r="JJ9" s="70"/>
      <c r="JL9" s="95"/>
      <c r="JM9" s="15">
        <v>2</v>
      </c>
      <c r="JN9" s="93">
        <v>876.3</v>
      </c>
      <c r="JO9" s="341">
        <v>44554</v>
      </c>
      <c r="JP9" s="93">
        <v>876.3</v>
      </c>
      <c r="JQ9" s="71" t="s">
        <v>603</v>
      </c>
      <c r="JR9" s="72">
        <v>41</v>
      </c>
      <c r="JS9" s="627">
        <f t="shared" ref="JS9:JS27" si="31">JR9*JP9</f>
        <v>35928.299999999996</v>
      </c>
      <c r="JV9" s="108"/>
      <c r="JW9" s="15">
        <v>2</v>
      </c>
      <c r="JX9" s="70">
        <v>871.3</v>
      </c>
      <c r="JY9" s="357">
        <v>44554</v>
      </c>
      <c r="JZ9" s="70">
        <v>871.3</v>
      </c>
      <c r="KA9" s="71" t="s">
        <v>608</v>
      </c>
      <c r="KB9" s="72">
        <v>41</v>
      </c>
      <c r="KC9" s="627">
        <f t="shared" ref="KC9:KC28" si="32">KB9*JZ9</f>
        <v>35723.299999999996</v>
      </c>
      <c r="KF9" s="108"/>
      <c r="KG9" s="15">
        <v>2</v>
      </c>
      <c r="KH9" s="70">
        <v>936.2</v>
      </c>
      <c r="KI9" s="357">
        <v>44556</v>
      </c>
      <c r="KJ9" s="70">
        <v>936.2</v>
      </c>
      <c r="KK9" s="71" t="s">
        <v>617</v>
      </c>
      <c r="KL9" s="72">
        <v>41</v>
      </c>
      <c r="KM9" s="627">
        <f t="shared" ref="KM9:KM28" si="33">KL9*KJ9</f>
        <v>38384.200000000004</v>
      </c>
      <c r="KP9" s="108"/>
      <c r="KQ9" s="15">
        <v>2</v>
      </c>
      <c r="KR9" s="70">
        <v>907.6</v>
      </c>
      <c r="KS9" s="357">
        <v>44558</v>
      </c>
      <c r="KT9" s="70">
        <v>907.6</v>
      </c>
      <c r="KU9" s="71" t="s">
        <v>637</v>
      </c>
      <c r="KV9" s="72">
        <v>42</v>
      </c>
      <c r="KW9" s="627">
        <f t="shared" ref="KW9:KW28" si="34">KV9*KT9</f>
        <v>38119.200000000004</v>
      </c>
      <c r="KZ9" s="95"/>
      <c r="LA9" s="15">
        <v>2</v>
      </c>
      <c r="LB9" s="93">
        <v>875.43</v>
      </c>
      <c r="LC9" s="341">
        <v>44558</v>
      </c>
      <c r="LD9" s="93">
        <v>875.43</v>
      </c>
      <c r="LE9" s="96" t="s">
        <v>643</v>
      </c>
      <c r="LF9" s="72">
        <v>42</v>
      </c>
      <c r="LG9" s="627">
        <f t="shared" ref="LG9:LG28" si="35">LF9*LD9</f>
        <v>36768.06</v>
      </c>
      <c r="LJ9" s="95"/>
      <c r="LK9" s="15">
        <v>2</v>
      </c>
      <c r="LL9" s="93">
        <v>947.55</v>
      </c>
      <c r="LM9" s="341">
        <v>44559</v>
      </c>
      <c r="LN9" s="93">
        <v>947.55</v>
      </c>
      <c r="LO9" s="96" t="s">
        <v>652</v>
      </c>
      <c r="LP9" s="72">
        <v>42</v>
      </c>
      <c r="LQ9" s="627">
        <f t="shared" ref="LQ9:LQ29" si="36">LP9*LN9</f>
        <v>39797.1</v>
      </c>
      <c r="LT9" s="95"/>
      <c r="LU9" s="15">
        <v>2</v>
      </c>
      <c r="LV9" s="93">
        <v>919</v>
      </c>
      <c r="LW9" s="341">
        <v>44559</v>
      </c>
      <c r="LX9" s="93">
        <v>919</v>
      </c>
      <c r="LY9" s="96" t="s">
        <v>650</v>
      </c>
      <c r="LZ9" s="72">
        <v>42</v>
      </c>
      <c r="MA9" s="627">
        <f t="shared" ref="MA9:MA29" si="37">LZ9*LX9</f>
        <v>38598</v>
      </c>
      <c r="MB9" s="627"/>
      <c r="MD9" s="95"/>
      <c r="ME9" s="15">
        <v>2</v>
      </c>
      <c r="MF9" s="412">
        <v>896.3</v>
      </c>
      <c r="MG9" s="341">
        <v>44560</v>
      </c>
      <c r="MH9" s="412">
        <v>896.3</v>
      </c>
      <c r="MI9" s="96" t="s">
        <v>660</v>
      </c>
      <c r="MJ9" s="72">
        <v>43</v>
      </c>
      <c r="MK9" s="72">
        <f t="shared" ref="MK9:MK28" si="38">MJ9*MH9</f>
        <v>38540.9</v>
      </c>
      <c r="MN9" s="95"/>
      <c r="MO9" s="15">
        <v>2</v>
      </c>
      <c r="MP9" s="93">
        <v>911.74</v>
      </c>
      <c r="MQ9" s="341">
        <v>44560</v>
      </c>
      <c r="MR9" s="93">
        <v>911.74</v>
      </c>
      <c r="MS9" s="96" t="s">
        <v>665</v>
      </c>
      <c r="MT9" s="72">
        <v>43</v>
      </c>
      <c r="MU9" s="72">
        <f t="shared" ref="MU9:MU28" si="39">MT9*MR9</f>
        <v>39204.82</v>
      </c>
      <c r="MX9" s="95"/>
      <c r="MY9" s="15">
        <v>2</v>
      </c>
      <c r="MZ9" s="93">
        <v>924</v>
      </c>
      <c r="NA9" s="341">
        <v>44561</v>
      </c>
      <c r="NB9" s="93">
        <v>924</v>
      </c>
      <c r="NC9" s="96" t="s">
        <v>672</v>
      </c>
      <c r="ND9" s="72">
        <v>40</v>
      </c>
      <c r="NE9" s="72">
        <f t="shared" ref="NE9:NE28" si="40">ND9*NB9</f>
        <v>36960</v>
      </c>
      <c r="NH9" s="95"/>
      <c r="NI9" s="15">
        <v>2</v>
      </c>
      <c r="NJ9" s="413">
        <v>869.5</v>
      </c>
      <c r="NK9" s="341"/>
      <c r="NL9" s="413"/>
      <c r="NM9" s="96"/>
      <c r="NN9" s="72"/>
      <c r="NO9" s="72">
        <f t="shared" ref="NO9:NO28" si="41">NN9*NL9</f>
        <v>0</v>
      </c>
      <c r="NR9" s="95"/>
      <c r="NS9" s="15">
        <v>2</v>
      </c>
      <c r="NT9" s="93">
        <v>938</v>
      </c>
      <c r="NU9" s="341">
        <v>44563</v>
      </c>
      <c r="NV9" s="93">
        <v>938</v>
      </c>
      <c r="NW9" s="96" t="s">
        <v>681</v>
      </c>
      <c r="NX9" s="72">
        <v>34</v>
      </c>
      <c r="NY9" s="72">
        <f t="shared" ref="NY9:NY28" si="42">NX9*NV9</f>
        <v>31892</v>
      </c>
      <c r="OB9" s="95"/>
      <c r="OC9" s="15">
        <v>2</v>
      </c>
      <c r="OD9" s="413"/>
      <c r="OE9" s="341"/>
      <c r="OF9" s="413"/>
      <c r="OG9" s="96"/>
      <c r="OH9" s="72"/>
      <c r="OI9" s="72">
        <f t="shared" ref="OI9:OI29" si="43">OH9*OF9</f>
        <v>0</v>
      </c>
      <c r="OL9" s="95"/>
      <c r="OM9" s="15">
        <v>2</v>
      </c>
      <c r="ON9" s="93"/>
      <c r="OO9" s="341"/>
      <c r="OP9" s="93"/>
      <c r="OQ9" s="96"/>
      <c r="OR9" s="72"/>
      <c r="OS9" s="72">
        <f t="shared" ref="OS9:OS28" si="44">OR9*OP9</f>
        <v>0</v>
      </c>
      <c r="OV9" s="95"/>
      <c r="OW9" s="15">
        <v>2</v>
      </c>
      <c r="OX9" s="292"/>
      <c r="OY9" s="346"/>
      <c r="OZ9" s="292"/>
      <c r="PA9" s="334"/>
      <c r="PB9" s="279"/>
      <c r="PC9" s="279">
        <f t="shared" ref="PC9:PC28" si="45">PB9*OZ9</f>
        <v>0</v>
      </c>
      <c r="PF9" s="95"/>
      <c r="PG9" s="15">
        <v>2</v>
      </c>
      <c r="PH9" s="413"/>
      <c r="PI9" s="341"/>
      <c r="PJ9" s="413"/>
      <c r="PK9" s="96"/>
      <c r="PL9" s="72"/>
      <c r="PM9" s="72">
        <f t="shared" ref="PM9:PM28" si="46">PL9*PJ9</f>
        <v>0</v>
      </c>
      <c r="PP9" s="108"/>
      <c r="PQ9" s="15">
        <v>2</v>
      </c>
      <c r="PR9" s="93"/>
      <c r="PS9" s="341"/>
      <c r="PT9" s="93"/>
      <c r="PU9" s="96"/>
      <c r="PV9" s="72"/>
      <c r="PY9" s="108"/>
      <c r="PZ9" s="15">
        <v>2</v>
      </c>
      <c r="QA9" s="93"/>
      <c r="QB9" s="141"/>
      <c r="QC9" s="93"/>
      <c r="QD9" s="96"/>
      <c r="QE9" s="72"/>
      <c r="QH9" s="108"/>
      <c r="QI9" s="15">
        <v>2</v>
      </c>
      <c r="QJ9" s="93"/>
      <c r="QK9" s="341"/>
      <c r="QL9" s="93"/>
      <c r="QM9" s="96"/>
      <c r="QN9" s="72"/>
      <c r="QQ9" s="108"/>
      <c r="QR9" s="15">
        <v>2</v>
      </c>
      <c r="QS9" s="93"/>
      <c r="QT9" s="341"/>
      <c r="QU9" s="93"/>
      <c r="QV9" s="96"/>
      <c r="QW9" s="72"/>
      <c r="QZ9" s="108"/>
      <c r="RA9" s="15">
        <v>2</v>
      </c>
      <c r="RB9" s="93"/>
      <c r="RC9" s="341"/>
      <c r="RD9" s="93"/>
      <c r="RE9" s="96"/>
      <c r="RF9" s="72"/>
      <c r="RI9" s="108"/>
      <c r="RJ9" s="15">
        <v>2</v>
      </c>
      <c r="RK9" s="93"/>
      <c r="RL9" s="341"/>
      <c r="RM9" s="93"/>
      <c r="RN9" s="96"/>
      <c r="RO9" s="72"/>
      <c r="RQ9" s="62"/>
      <c r="RR9" s="108"/>
      <c r="RS9" s="15">
        <v>2</v>
      </c>
      <c r="RT9" s="93"/>
      <c r="RU9" s="141"/>
      <c r="RV9" s="93"/>
      <c r="RW9" s="96"/>
      <c r="RX9" s="72"/>
      <c r="RZ9" s="62"/>
      <c r="SA9" s="108"/>
      <c r="SB9" s="15">
        <v>2</v>
      </c>
      <c r="SC9" s="93"/>
      <c r="SD9" s="80"/>
      <c r="SE9" s="93"/>
      <c r="SF9" s="96"/>
      <c r="SG9" s="72"/>
      <c r="SI9" s="62"/>
      <c r="SJ9" s="108"/>
      <c r="SK9" s="15">
        <v>2</v>
      </c>
      <c r="SL9" s="93"/>
      <c r="SM9" s="80"/>
      <c r="SN9" s="93"/>
      <c r="SO9" s="96"/>
      <c r="SP9" s="72"/>
      <c r="SR9" s="62"/>
      <c r="SS9" s="108"/>
      <c r="ST9" s="15"/>
      <c r="SU9" s="93"/>
      <c r="SV9" s="80"/>
      <c r="SW9" s="93"/>
      <c r="SX9" s="96"/>
      <c r="SY9" s="72"/>
      <c r="TA9" s="62"/>
      <c r="TB9" s="108"/>
      <c r="TC9" s="15">
        <v>2</v>
      </c>
      <c r="TD9" s="93"/>
      <c r="TE9" s="411"/>
      <c r="TF9" s="189"/>
      <c r="TG9" s="404"/>
      <c r="TH9" s="403"/>
      <c r="TJ9" s="62"/>
      <c r="TK9" s="108"/>
      <c r="TL9" s="15">
        <v>2</v>
      </c>
      <c r="TM9" s="93"/>
      <c r="TN9" s="80"/>
      <c r="TO9" s="93"/>
      <c r="TP9" s="96"/>
      <c r="TQ9" s="72"/>
      <c r="TS9" s="62" t="s">
        <v>32</v>
      </c>
      <c r="TT9" s="108"/>
      <c r="TU9" s="15">
        <v>2</v>
      </c>
      <c r="TV9" s="93"/>
      <c r="TW9" s="80"/>
      <c r="TX9" s="93"/>
      <c r="TY9" s="96"/>
      <c r="TZ9" s="72"/>
      <c r="UB9" s="62"/>
      <c r="UC9" s="108"/>
      <c r="UD9" s="15">
        <v>2</v>
      </c>
      <c r="UE9" s="93"/>
      <c r="UF9" s="80"/>
      <c r="UG9" s="93"/>
      <c r="UH9" s="96"/>
      <c r="UI9" s="72"/>
      <c r="UK9" s="62" t="s">
        <v>32</v>
      </c>
      <c r="UL9" s="108"/>
      <c r="UM9" s="15">
        <v>2</v>
      </c>
      <c r="UN9" s="93"/>
      <c r="UO9" s="80"/>
      <c r="UP9" s="93"/>
      <c r="UQ9" s="96"/>
      <c r="UR9" s="72"/>
      <c r="UT9" s="62" t="s">
        <v>32</v>
      </c>
      <c r="UU9" s="108"/>
      <c r="UV9" s="15">
        <v>2</v>
      </c>
      <c r="UW9" s="93"/>
      <c r="UX9" s="80"/>
      <c r="UY9" s="93"/>
      <c r="UZ9" s="96"/>
      <c r="VA9" s="72"/>
      <c r="VD9" s="108"/>
      <c r="VE9" s="15">
        <v>2</v>
      </c>
      <c r="VF9" s="93"/>
      <c r="VG9" s="80"/>
      <c r="VH9" s="93"/>
      <c r="VI9" s="96"/>
      <c r="VJ9" s="72"/>
      <c r="VM9" s="108"/>
      <c r="VN9" s="15">
        <v>2</v>
      </c>
      <c r="VO9" s="93"/>
      <c r="VP9" s="80"/>
      <c r="VQ9" s="93"/>
      <c r="VR9" s="96"/>
      <c r="VS9" s="72"/>
      <c r="VV9" s="108"/>
      <c r="VW9" s="15">
        <v>2</v>
      </c>
      <c r="VX9" s="93"/>
      <c r="VY9" s="80"/>
      <c r="VZ9" s="93"/>
      <c r="WA9" s="96"/>
      <c r="WB9" s="72"/>
      <c r="WE9" s="108"/>
      <c r="WF9" s="15">
        <v>2</v>
      </c>
      <c r="WG9" s="93"/>
      <c r="WH9" s="80"/>
      <c r="WI9" s="93"/>
      <c r="WJ9" s="96"/>
      <c r="WK9" s="72"/>
      <c r="WN9" s="108"/>
      <c r="WO9" s="15">
        <v>2</v>
      </c>
      <c r="WP9" s="93"/>
      <c r="WQ9" s="80"/>
      <c r="WR9" s="93"/>
      <c r="WS9" s="96"/>
      <c r="WT9" s="72"/>
      <c r="WW9" s="108"/>
      <c r="WX9" s="15">
        <v>2</v>
      </c>
      <c r="WY9" s="93"/>
      <c r="WZ9" s="80"/>
      <c r="XA9" s="93"/>
      <c r="XB9" s="96"/>
      <c r="XC9" s="72"/>
      <c r="XF9" s="108"/>
      <c r="XG9" s="15">
        <v>2</v>
      </c>
      <c r="XH9" s="93"/>
      <c r="XI9" s="80"/>
      <c r="XJ9" s="93"/>
      <c r="XK9" s="96"/>
      <c r="XL9" s="72"/>
      <c r="XO9" s="108"/>
      <c r="XP9" s="15">
        <v>2</v>
      </c>
      <c r="XQ9" s="93"/>
      <c r="XR9" s="80"/>
      <c r="XS9" s="93"/>
      <c r="XT9" s="96"/>
      <c r="XU9" s="72"/>
      <c r="XX9" s="108"/>
      <c r="XY9" s="15">
        <v>2</v>
      </c>
      <c r="XZ9" s="93"/>
      <c r="YA9" s="80"/>
      <c r="YB9" s="93"/>
      <c r="YC9" s="96"/>
      <c r="YD9" s="72"/>
      <c r="YG9" s="108"/>
      <c r="YH9" s="15">
        <v>2</v>
      </c>
      <c r="YI9" s="93"/>
      <c r="YJ9" s="80"/>
      <c r="YK9" s="93"/>
      <c r="YL9" s="96"/>
      <c r="YM9" s="72"/>
      <c r="YP9" s="108"/>
      <c r="YQ9" s="15">
        <v>2</v>
      </c>
      <c r="YR9" s="93"/>
      <c r="YS9" s="80"/>
      <c r="YT9" s="93"/>
      <c r="YU9" s="96"/>
      <c r="YV9" s="72"/>
      <c r="YY9" s="108"/>
      <c r="YZ9" s="15">
        <v>2</v>
      </c>
      <c r="ZA9" s="93"/>
      <c r="ZB9" s="80"/>
      <c r="ZC9" s="93"/>
      <c r="ZD9" s="96"/>
      <c r="ZE9" s="72"/>
      <c r="ZH9" s="108"/>
      <c r="ZI9" s="15">
        <v>2</v>
      </c>
      <c r="ZJ9" s="93"/>
      <c r="ZK9" s="80"/>
      <c r="ZL9" s="93"/>
      <c r="ZM9" s="96"/>
      <c r="ZN9" s="72"/>
      <c r="ZQ9" s="108"/>
      <c r="ZR9" s="15">
        <v>2</v>
      </c>
      <c r="ZS9" s="93"/>
      <c r="ZT9" s="80"/>
      <c r="ZU9" s="93"/>
      <c r="ZV9" s="96"/>
      <c r="ZW9" s="72"/>
      <c r="ZZ9" s="108"/>
      <c r="AAA9" s="15">
        <v>2</v>
      </c>
      <c r="AAB9" s="93"/>
      <c r="AAC9" s="80"/>
      <c r="AAD9" s="93"/>
      <c r="AAE9" s="96"/>
      <c r="AAF9" s="72"/>
      <c r="AAI9" s="108"/>
      <c r="AAJ9" s="15">
        <v>2</v>
      </c>
      <c r="AAK9" s="93"/>
      <c r="AAL9" s="80"/>
      <c r="AAM9" s="93"/>
      <c r="AAN9" s="96"/>
      <c r="AAO9" s="72"/>
      <c r="AAR9" s="108"/>
      <c r="AAS9" s="15">
        <v>2</v>
      </c>
      <c r="AAT9" s="93"/>
      <c r="AAU9" s="80"/>
      <c r="AAV9" s="93"/>
      <c r="AAW9" s="96"/>
      <c r="AAX9" s="72"/>
      <c r="ABA9" s="108"/>
      <c r="ABB9" s="15">
        <v>2</v>
      </c>
      <c r="ABC9" s="93"/>
      <c r="ABD9" s="80"/>
      <c r="ABE9" s="93"/>
      <c r="ABF9" s="96"/>
      <c r="ABG9" s="72"/>
      <c r="ABJ9" s="108"/>
      <c r="ABK9" s="15">
        <v>2</v>
      </c>
      <c r="ABL9" s="93"/>
      <c r="ABM9" s="80"/>
      <c r="ABN9" s="93"/>
      <c r="ABO9" s="96"/>
      <c r="ABP9" s="72"/>
      <c r="ABS9" s="108"/>
      <c r="ABT9" s="15">
        <v>2</v>
      </c>
      <c r="ABU9" s="93"/>
      <c r="ABV9" s="80"/>
      <c r="ABW9" s="93"/>
      <c r="ABX9" s="96"/>
      <c r="ABY9" s="72"/>
      <c r="ACB9" s="108"/>
      <c r="ACC9" s="15">
        <v>2</v>
      </c>
      <c r="ACD9" s="93"/>
      <c r="ACE9" s="80"/>
      <c r="ACF9" s="93"/>
      <c r="ACG9" s="96"/>
      <c r="ACH9" s="72"/>
      <c r="ACK9" s="108"/>
      <c r="ACL9" s="15">
        <v>2</v>
      </c>
      <c r="ACM9" s="93"/>
      <c r="ACN9" s="80"/>
      <c r="ACO9" s="93"/>
      <c r="ACP9" s="96"/>
      <c r="ACQ9" s="72"/>
      <c r="ACT9" s="108"/>
      <c r="ACU9" s="15">
        <v>2</v>
      </c>
      <c r="ACV9" s="93"/>
      <c r="ACW9" s="80"/>
      <c r="ACX9" s="93"/>
      <c r="ACY9" s="96"/>
      <c r="ACZ9" s="72"/>
      <c r="ADC9" s="95"/>
      <c r="ADD9" s="15">
        <v>2</v>
      </c>
      <c r="ADE9" s="93"/>
      <c r="ADF9" s="80"/>
      <c r="ADG9" s="93"/>
      <c r="ADH9" s="96"/>
      <c r="ADI9" s="72"/>
      <c r="ADL9" s="108"/>
      <c r="ADM9" s="15">
        <v>2</v>
      </c>
      <c r="ADN9" s="93"/>
      <c r="ADO9" s="80"/>
      <c r="ADP9" s="93"/>
      <c r="ADQ9" s="96"/>
      <c r="ADR9" s="72"/>
      <c r="ADU9" s="108"/>
      <c r="ADV9" s="15">
        <v>2</v>
      </c>
      <c r="ADW9" s="93"/>
      <c r="ADX9" s="80"/>
      <c r="ADY9" s="93"/>
      <c r="ADZ9" s="96"/>
      <c r="AEA9" s="72"/>
      <c r="AED9" s="108"/>
      <c r="AEE9" s="15">
        <v>2</v>
      </c>
      <c r="AEF9" s="93"/>
      <c r="AEG9" s="80"/>
      <c r="AEH9" s="93"/>
      <c r="AEI9" s="96"/>
      <c r="AEJ9" s="72"/>
      <c r="AEM9" s="108"/>
      <c r="AEN9" s="15">
        <v>2</v>
      </c>
      <c r="AEO9" s="93"/>
      <c r="AEP9" s="80"/>
      <c r="AEQ9" s="93"/>
      <c r="AER9" s="96"/>
      <c r="AES9" s="72"/>
    </row>
    <row r="10" spans="1:825" ht="16.5" thickTop="1" x14ac:dyDescent="0.25">
      <c r="A10" s="143">
        <v>7</v>
      </c>
      <c r="B10" s="76" t="str">
        <f t="shared" ref="B10:I10" si="47">BS5</f>
        <v>SEABOARD FOODS</v>
      </c>
      <c r="C10" s="76" t="str">
        <f t="shared" si="47"/>
        <v>Seaboard</v>
      </c>
      <c r="D10" s="104" t="str">
        <f t="shared" si="47"/>
        <v>PED. 74810581</v>
      </c>
      <c r="E10" s="141">
        <f t="shared" si="47"/>
        <v>44541</v>
      </c>
      <c r="F10" s="87">
        <f t="shared" si="47"/>
        <v>18880.55</v>
      </c>
      <c r="G10" s="74">
        <f t="shared" si="47"/>
        <v>21</v>
      </c>
      <c r="H10" s="48">
        <f t="shared" si="47"/>
        <v>19005</v>
      </c>
      <c r="I10" s="107">
        <f t="shared" si="47"/>
        <v>-124.45000000000073</v>
      </c>
      <c r="L10" s="95"/>
      <c r="M10" s="15">
        <v>3</v>
      </c>
      <c r="N10" s="93">
        <v>898.6</v>
      </c>
      <c r="O10" s="341">
        <v>44537</v>
      </c>
      <c r="P10" s="93">
        <v>898.6</v>
      </c>
      <c r="Q10" s="96" t="s">
        <v>454</v>
      </c>
      <c r="R10" s="72">
        <v>37</v>
      </c>
      <c r="S10" s="627">
        <f t="shared" si="6"/>
        <v>33248.200000000004</v>
      </c>
      <c r="T10" s="255"/>
      <c r="V10" s="95"/>
      <c r="W10" s="15">
        <v>3</v>
      </c>
      <c r="X10" s="292">
        <v>912.2</v>
      </c>
      <c r="Y10" s="346">
        <v>44538</v>
      </c>
      <c r="Z10" s="292">
        <v>912.2</v>
      </c>
      <c r="AA10" s="406" t="s">
        <v>468</v>
      </c>
      <c r="AB10" s="279">
        <v>37</v>
      </c>
      <c r="AC10" s="338">
        <f t="shared" si="7"/>
        <v>33751.4</v>
      </c>
      <c r="AF10" s="95"/>
      <c r="AG10" s="15">
        <v>3</v>
      </c>
      <c r="AH10" s="93">
        <v>928.5</v>
      </c>
      <c r="AI10" s="341">
        <v>44537</v>
      </c>
      <c r="AJ10" s="93">
        <v>928.5</v>
      </c>
      <c r="AK10" s="96" t="s">
        <v>457</v>
      </c>
      <c r="AL10" s="72">
        <v>37</v>
      </c>
      <c r="AM10" s="630">
        <f t="shared" si="8"/>
        <v>34354.5</v>
      </c>
      <c r="AP10" s="95"/>
      <c r="AQ10" s="15">
        <v>3</v>
      </c>
      <c r="AR10" s="335">
        <v>917.16</v>
      </c>
      <c r="AS10" s="346">
        <v>44538</v>
      </c>
      <c r="AT10" s="335">
        <v>917.16</v>
      </c>
      <c r="AU10" s="334" t="s">
        <v>481</v>
      </c>
      <c r="AV10" s="279">
        <v>37</v>
      </c>
      <c r="AW10" s="338">
        <f t="shared" si="9"/>
        <v>33934.92</v>
      </c>
      <c r="AZ10" s="108"/>
      <c r="BA10" s="15">
        <v>3</v>
      </c>
      <c r="BB10" s="93">
        <v>911.72</v>
      </c>
      <c r="BC10" s="141">
        <v>44539</v>
      </c>
      <c r="BD10" s="93">
        <v>911.72</v>
      </c>
      <c r="BE10" s="96" t="s">
        <v>492</v>
      </c>
      <c r="BF10" s="400">
        <v>36</v>
      </c>
      <c r="BG10" s="646">
        <f t="shared" si="10"/>
        <v>32821.919999999998</v>
      </c>
      <c r="BJ10" s="108"/>
      <c r="BK10" s="15">
        <v>3</v>
      </c>
      <c r="BL10" s="93">
        <v>925.8</v>
      </c>
      <c r="BM10" s="141">
        <v>44540</v>
      </c>
      <c r="BN10" s="93">
        <v>925.8</v>
      </c>
      <c r="BO10" s="96" t="s">
        <v>501</v>
      </c>
      <c r="BP10" s="400">
        <v>36</v>
      </c>
      <c r="BQ10" s="857">
        <f t="shared" si="11"/>
        <v>33328.799999999996</v>
      </c>
      <c r="BT10" s="108"/>
      <c r="BU10" s="15">
        <v>3</v>
      </c>
      <c r="BV10" s="93">
        <v>932.1</v>
      </c>
      <c r="BW10" s="401">
        <v>44541</v>
      </c>
      <c r="BX10" s="93">
        <v>932.1</v>
      </c>
      <c r="BY10" s="402" t="s">
        <v>461</v>
      </c>
      <c r="BZ10" s="403">
        <v>36</v>
      </c>
      <c r="CA10" s="627">
        <f t="shared" si="12"/>
        <v>33555.599999999999</v>
      </c>
      <c r="CD10" s="909"/>
      <c r="CE10" s="15">
        <v>3</v>
      </c>
      <c r="CF10" s="93">
        <v>912.6</v>
      </c>
      <c r="CG10" s="401">
        <v>44542</v>
      </c>
      <c r="CH10" s="93">
        <v>912.6</v>
      </c>
      <c r="CI10" s="404" t="s">
        <v>494</v>
      </c>
      <c r="CJ10" s="403">
        <v>36</v>
      </c>
      <c r="CK10" s="627">
        <f t="shared" si="13"/>
        <v>32853.599999999999</v>
      </c>
      <c r="CN10" s="95"/>
      <c r="CO10" s="15">
        <v>3</v>
      </c>
      <c r="CP10" s="93">
        <v>918.5</v>
      </c>
      <c r="CQ10" s="401">
        <v>44545</v>
      </c>
      <c r="CR10" s="93">
        <v>918.5</v>
      </c>
      <c r="CS10" s="404" t="s">
        <v>524</v>
      </c>
      <c r="CT10" s="403">
        <v>38</v>
      </c>
      <c r="CU10" s="635">
        <f t="shared" ref="CU10:CU30" si="48">CT10*CR10</f>
        <v>34903</v>
      </c>
      <c r="CX10" s="95"/>
      <c r="CY10" s="15">
        <v>3</v>
      </c>
      <c r="CZ10" s="93">
        <v>906.3</v>
      </c>
      <c r="DA10" s="341">
        <v>44544</v>
      </c>
      <c r="DB10" s="93">
        <v>906.3</v>
      </c>
      <c r="DC10" s="96" t="s">
        <v>517</v>
      </c>
      <c r="DD10" s="72">
        <v>38</v>
      </c>
      <c r="DE10" s="627">
        <f t="shared" si="14"/>
        <v>34439.4</v>
      </c>
      <c r="DH10" s="95"/>
      <c r="DI10" s="15">
        <v>3</v>
      </c>
      <c r="DJ10" s="93">
        <v>864.5</v>
      </c>
      <c r="DK10" s="401">
        <v>44544</v>
      </c>
      <c r="DL10" s="93">
        <v>864.5</v>
      </c>
      <c r="DM10" s="404" t="s">
        <v>476</v>
      </c>
      <c r="DN10" s="403">
        <v>38</v>
      </c>
      <c r="DO10" s="635">
        <f t="shared" si="15"/>
        <v>32851</v>
      </c>
      <c r="DR10" s="95"/>
      <c r="DS10" s="15">
        <v>3</v>
      </c>
      <c r="DT10" s="93">
        <v>920.33</v>
      </c>
      <c r="DU10" s="401">
        <v>44545</v>
      </c>
      <c r="DV10" s="93">
        <v>920.33</v>
      </c>
      <c r="DW10" s="404" t="s">
        <v>477</v>
      </c>
      <c r="DX10" s="403">
        <v>38</v>
      </c>
      <c r="DY10" s="627">
        <f t="shared" si="16"/>
        <v>34972.54</v>
      </c>
      <c r="EB10" s="95"/>
      <c r="EC10" s="15">
        <v>3</v>
      </c>
      <c r="ED10" s="70">
        <v>901.3</v>
      </c>
      <c r="EE10" s="357">
        <v>44546</v>
      </c>
      <c r="EF10" s="70">
        <v>901.3</v>
      </c>
      <c r="EG10" s="71" t="s">
        <v>533</v>
      </c>
      <c r="EH10" s="72">
        <v>38</v>
      </c>
      <c r="EI10" s="627">
        <f t="shared" si="17"/>
        <v>34249.4</v>
      </c>
      <c r="EL10" s="452"/>
      <c r="EM10" s="15">
        <v>3</v>
      </c>
      <c r="EN10" s="292">
        <v>870.4</v>
      </c>
      <c r="EO10" s="346">
        <v>44546</v>
      </c>
      <c r="EP10" s="292">
        <v>870.4</v>
      </c>
      <c r="EQ10" s="278" t="s">
        <v>530</v>
      </c>
      <c r="ER10" s="279">
        <v>38</v>
      </c>
      <c r="ES10" s="627">
        <f t="shared" si="18"/>
        <v>33075.199999999997</v>
      </c>
      <c r="EV10" s="95"/>
      <c r="EW10" s="15">
        <v>3</v>
      </c>
      <c r="EX10" s="70">
        <v>890.4</v>
      </c>
      <c r="EY10" s="357">
        <v>44548</v>
      </c>
      <c r="EZ10" s="70">
        <v>890.4</v>
      </c>
      <c r="FA10" s="278" t="s">
        <v>541</v>
      </c>
      <c r="FB10" s="72">
        <v>38</v>
      </c>
      <c r="FC10" s="338">
        <f t="shared" si="19"/>
        <v>33835.199999999997</v>
      </c>
      <c r="FF10" s="452"/>
      <c r="FG10" s="15">
        <v>3</v>
      </c>
      <c r="FH10" s="292">
        <v>910.4</v>
      </c>
      <c r="FI10" s="346">
        <v>44548</v>
      </c>
      <c r="FJ10" s="292">
        <v>910.4</v>
      </c>
      <c r="FK10" s="278" t="s">
        <v>539</v>
      </c>
      <c r="FL10" s="279">
        <v>38</v>
      </c>
      <c r="FM10" s="627">
        <f t="shared" si="20"/>
        <v>34595.199999999997</v>
      </c>
      <c r="FP10" s="95"/>
      <c r="FQ10" s="15">
        <v>3</v>
      </c>
      <c r="FR10" s="93">
        <v>940.7</v>
      </c>
      <c r="FS10" s="341">
        <v>44548</v>
      </c>
      <c r="FT10" s="93">
        <v>940.7</v>
      </c>
      <c r="FU10" s="71" t="s">
        <v>544</v>
      </c>
      <c r="FV10" s="72">
        <v>38</v>
      </c>
      <c r="FW10" s="627">
        <f t="shared" si="21"/>
        <v>35746.6</v>
      </c>
      <c r="FZ10" s="95"/>
      <c r="GA10" s="15">
        <v>3</v>
      </c>
      <c r="GB10" s="277">
        <v>908.5</v>
      </c>
      <c r="GC10" s="545">
        <v>44551</v>
      </c>
      <c r="GD10" s="277">
        <v>908.5</v>
      </c>
      <c r="GE10" s="278" t="s">
        <v>564</v>
      </c>
      <c r="GF10" s="279">
        <v>39</v>
      </c>
      <c r="GG10" s="338">
        <f t="shared" si="22"/>
        <v>35431.5</v>
      </c>
      <c r="GJ10" s="95"/>
      <c r="GK10" s="15">
        <v>3</v>
      </c>
      <c r="GL10" s="523">
        <v>931.7</v>
      </c>
      <c r="GM10" s="341">
        <v>44551</v>
      </c>
      <c r="GN10" s="523">
        <v>931.7</v>
      </c>
      <c r="GO10" s="96" t="s">
        <v>566</v>
      </c>
      <c r="GP10" s="72">
        <v>39</v>
      </c>
      <c r="GQ10" s="627">
        <f t="shared" si="23"/>
        <v>36336.300000000003</v>
      </c>
      <c r="GT10" s="95"/>
      <c r="GU10" s="15">
        <v>3</v>
      </c>
      <c r="GV10" s="292">
        <v>908.5</v>
      </c>
      <c r="GW10" s="346">
        <v>44551</v>
      </c>
      <c r="GX10" s="292">
        <v>908.5</v>
      </c>
      <c r="GY10" s="334" t="s">
        <v>568</v>
      </c>
      <c r="GZ10" s="279">
        <v>39</v>
      </c>
      <c r="HA10" s="627">
        <f t="shared" si="24"/>
        <v>35431.5</v>
      </c>
      <c r="HD10" s="95"/>
      <c r="HE10" s="15">
        <v>3</v>
      </c>
      <c r="HF10" s="93">
        <v>888.6</v>
      </c>
      <c r="HG10" s="341">
        <v>44552</v>
      </c>
      <c r="HH10" s="93">
        <v>888.6</v>
      </c>
      <c r="HI10" s="96" t="s">
        <v>581</v>
      </c>
      <c r="HJ10" s="72">
        <v>41</v>
      </c>
      <c r="HK10" s="627">
        <f t="shared" si="25"/>
        <v>36432.6</v>
      </c>
      <c r="HN10" s="95"/>
      <c r="HO10" s="15">
        <v>3</v>
      </c>
      <c r="HP10" s="292">
        <v>941.65</v>
      </c>
      <c r="HQ10" s="346">
        <v>44552</v>
      </c>
      <c r="HR10" s="292">
        <v>941.65</v>
      </c>
      <c r="HS10" s="406" t="s">
        <v>578</v>
      </c>
      <c r="HT10" s="279">
        <v>41</v>
      </c>
      <c r="HU10" s="627">
        <f t="shared" si="26"/>
        <v>38607.65</v>
      </c>
      <c r="HX10" s="108"/>
      <c r="HY10" s="15">
        <v>3</v>
      </c>
      <c r="HZ10" s="70">
        <v>877.24</v>
      </c>
      <c r="IA10" s="357">
        <v>44553</v>
      </c>
      <c r="IB10" s="70">
        <v>877.24</v>
      </c>
      <c r="IC10" s="71" t="s">
        <v>591</v>
      </c>
      <c r="ID10" s="72">
        <v>42</v>
      </c>
      <c r="IE10" s="627">
        <f t="shared" si="27"/>
        <v>36844.080000000002</v>
      </c>
      <c r="IH10" s="108"/>
      <c r="II10" s="15">
        <v>3</v>
      </c>
      <c r="IJ10" s="70">
        <v>933.94</v>
      </c>
      <c r="IK10" s="357">
        <v>44553</v>
      </c>
      <c r="IL10" s="70">
        <v>933.94</v>
      </c>
      <c r="IM10" s="71" t="s">
        <v>598</v>
      </c>
      <c r="IN10" s="72">
        <v>41</v>
      </c>
      <c r="IO10" s="627">
        <f t="shared" si="28"/>
        <v>38291.54</v>
      </c>
      <c r="IQ10" s="884"/>
      <c r="IR10" s="95"/>
      <c r="IS10" s="15">
        <v>3</v>
      </c>
      <c r="IT10" s="292">
        <v>890.9</v>
      </c>
      <c r="IU10" s="258">
        <v>44554</v>
      </c>
      <c r="IV10" s="292">
        <v>890.9</v>
      </c>
      <c r="IW10" s="552" t="s">
        <v>610</v>
      </c>
      <c r="IX10" s="279">
        <v>41</v>
      </c>
      <c r="IY10" s="338">
        <f t="shared" si="29"/>
        <v>36526.9</v>
      </c>
      <c r="IZ10" s="93"/>
      <c r="JA10" s="70"/>
      <c r="JB10" s="95"/>
      <c r="JC10" s="15">
        <v>3</v>
      </c>
      <c r="JD10" s="93">
        <v>905.4</v>
      </c>
      <c r="JE10" s="357">
        <v>44554</v>
      </c>
      <c r="JF10" s="93">
        <v>905.4</v>
      </c>
      <c r="JG10" s="71" t="s">
        <v>612</v>
      </c>
      <c r="JH10" s="72">
        <v>41</v>
      </c>
      <c r="JI10" s="627">
        <f t="shared" si="30"/>
        <v>37121.4</v>
      </c>
      <c r="JJ10" s="70"/>
      <c r="JL10" s="95"/>
      <c r="JM10" s="15">
        <v>3</v>
      </c>
      <c r="JN10" s="93">
        <v>924</v>
      </c>
      <c r="JO10" s="341">
        <v>44554</v>
      </c>
      <c r="JP10" s="93">
        <v>924</v>
      </c>
      <c r="JQ10" s="71" t="s">
        <v>603</v>
      </c>
      <c r="JR10" s="72">
        <v>41</v>
      </c>
      <c r="JS10" s="627">
        <f t="shared" si="31"/>
        <v>37884</v>
      </c>
      <c r="JV10" s="108"/>
      <c r="JW10" s="15">
        <v>3</v>
      </c>
      <c r="JX10" s="70">
        <v>921.7</v>
      </c>
      <c r="JY10" s="357">
        <v>44554</v>
      </c>
      <c r="JZ10" s="70">
        <v>921.7</v>
      </c>
      <c r="KA10" s="71" t="s">
        <v>608</v>
      </c>
      <c r="KB10" s="72">
        <v>41</v>
      </c>
      <c r="KC10" s="627">
        <f t="shared" si="32"/>
        <v>37789.700000000004</v>
      </c>
      <c r="KF10" s="108"/>
      <c r="KG10" s="15">
        <v>3</v>
      </c>
      <c r="KH10" s="70">
        <v>869.5</v>
      </c>
      <c r="KI10" s="357">
        <v>44556</v>
      </c>
      <c r="KJ10" s="70">
        <v>869.5</v>
      </c>
      <c r="KK10" s="71" t="s">
        <v>617</v>
      </c>
      <c r="KL10" s="72">
        <v>41</v>
      </c>
      <c r="KM10" s="627">
        <f t="shared" si="33"/>
        <v>35649.5</v>
      </c>
      <c r="KP10" s="108"/>
      <c r="KQ10" s="15">
        <v>3</v>
      </c>
      <c r="KR10" s="70">
        <v>953</v>
      </c>
      <c r="KS10" s="357">
        <v>44558</v>
      </c>
      <c r="KT10" s="70">
        <v>953</v>
      </c>
      <c r="KU10" s="71" t="s">
        <v>637</v>
      </c>
      <c r="KV10" s="72">
        <v>42</v>
      </c>
      <c r="KW10" s="627">
        <f t="shared" si="34"/>
        <v>40026</v>
      </c>
      <c r="KZ10" s="95"/>
      <c r="LA10" s="15">
        <v>3</v>
      </c>
      <c r="LB10" s="93">
        <v>970.68</v>
      </c>
      <c r="LC10" s="341">
        <v>44558</v>
      </c>
      <c r="LD10" s="93">
        <v>970.68</v>
      </c>
      <c r="LE10" s="96" t="s">
        <v>643</v>
      </c>
      <c r="LF10" s="72">
        <v>42</v>
      </c>
      <c r="LG10" s="627">
        <f t="shared" si="35"/>
        <v>40768.559999999998</v>
      </c>
      <c r="LJ10" s="95"/>
      <c r="LK10" s="15">
        <v>3</v>
      </c>
      <c r="LL10" s="93">
        <v>943.47</v>
      </c>
      <c r="LM10" s="341">
        <v>44559</v>
      </c>
      <c r="LN10" s="93">
        <v>943.47</v>
      </c>
      <c r="LO10" s="96" t="s">
        <v>652</v>
      </c>
      <c r="LP10" s="72">
        <v>42</v>
      </c>
      <c r="LQ10" s="627">
        <f t="shared" si="36"/>
        <v>39625.74</v>
      </c>
      <c r="LT10" s="95"/>
      <c r="LU10" s="15">
        <v>3</v>
      </c>
      <c r="LV10" s="93">
        <v>864.5</v>
      </c>
      <c r="LW10" s="341">
        <v>44559</v>
      </c>
      <c r="LX10" s="93">
        <v>864.5</v>
      </c>
      <c r="LY10" s="96" t="s">
        <v>650</v>
      </c>
      <c r="LZ10" s="72">
        <v>42</v>
      </c>
      <c r="MA10" s="627">
        <f t="shared" si="37"/>
        <v>36309</v>
      </c>
      <c r="MB10" s="627"/>
      <c r="MD10" s="95"/>
      <c r="ME10" s="15">
        <v>3</v>
      </c>
      <c r="MF10" s="412">
        <v>894</v>
      </c>
      <c r="MG10" s="341">
        <v>44560</v>
      </c>
      <c r="MH10" s="412">
        <v>894</v>
      </c>
      <c r="MI10" s="96" t="s">
        <v>660</v>
      </c>
      <c r="MJ10" s="72">
        <v>43</v>
      </c>
      <c r="MK10" s="72">
        <f t="shared" si="38"/>
        <v>38442</v>
      </c>
      <c r="MN10" s="95"/>
      <c r="MO10" s="15">
        <v>3</v>
      </c>
      <c r="MP10" s="93">
        <v>879.08</v>
      </c>
      <c r="MQ10" s="341">
        <v>44560</v>
      </c>
      <c r="MR10" s="93">
        <v>879.08</v>
      </c>
      <c r="MS10" s="96" t="s">
        <v>665</v>
      </c>
      <c r="MT10" s="72">
        <v>43</v>
      </c>
      <c r="MU10" s="72">
        <f t="shared" si="39"/>
        <v>37800.44</v>
      </c>
      <c r="MX10" s="95"/>
      <c r="MY10" s="15">
        <v>3</v>
      </c>
      <c r="MZ10" s="93">
        <v>867.3</v>
      </c>
      <c r="NA10" s="341">
        <v>44561</v>
      </c>
      <c r="NB10" s="93">
        <v>867.3</v>
      </c>
      <c r="NC10" s="96" t="s">
        <v>672</v>
      </c>
      <c r="ND10" s="72">
        <v>40</v>
      </c>
      <c r="NE10" s="72">
        <f t="shared" si="40"/>
        <v>34692</v>
      </c>
      <c r="NH10" s="95"/>
      <c r="NI10" s="15">
        <v>3</v>
      </c>
      <c r="NJ10" s="93">
        <v>888.1</v>
      </c>
      <c r="NK10" s="341"/>
      <c r="NL10" s="93"/>
      <c r="NM10" s="96"/>
      <c r="NN10" s="72"/>
      <c r="NO10" s="72">
        <f t="shared" si="41"/>
        <v>0</v>
      </c>
      <c r="NR10" s="95"/>
      <c r="NS10" s="15">
        <v>3</v>
      </c>
      <c r="NT10" s="93">
        <v>896.3</v>
      </c>
      <c r="NU10" s="341">
        <v>44563</v>
      </c>
      <c r="NV10" s="93">
        <v>896.3</v>
      </c>
      <c r="NW10" s="96" t="s">
        <v>681</v>
      </c>
      <c r="NX10" s="72">
        <v>34</v>
      </c>
      <c r="NY10" s="72">
        <f t="shared" si="42"/>
        <v>30474.199999999997</v>
      </c>
      <c r="OB10" s="95"/>
      <c r="OC10" s="15">
        <v>3</v>
      </c>
      <c r="OD10" s="93"/>
      <c r="OE10" s="341"/>
      <c r="OF10" s="93"/>
      <c r="OG10" s="96"/>
      <c r="OH10" s="72"/>
      <c r="OI10" s="72">
        <f t="shared" si="43"/>
        <v>0</v>
      </c>
      <c r="OL10" s="95"/>
      <c r="OM10" s="15">
        <v>3</v>
      </c>
      <c r="ON10" s="93"/>
      <c r="OO10" s="341"/>
      <c r="OP10" s="93"/>
      <c r="OQ10" s="96"/>
      <c r="OR10" s="72"/>
      <c r="OS10" s="72">
        <f t="shared" si="44"/>
        <v>0</v>
      </c>
      <c r="OV10" s="95"/>
      <c r="OW10" s="15">
        <v>3</v>
      </c>
      <c r="OX10" s="292"/>
      <c r="OY10" s="346"/>
      <c r="OZ10" s="292"/>
      <c r="PA10" s="334"/>
      <c r="PB10" s="279"/>
      <c r="PC10" s="279">
        <f t="shared" si="45"/>
        <v>0</v>
      </c>
      <c r="PF10" s="95"/>
      <c r="PG10" s="15">
        <v>3</v>
      </c>
      <c r="PH10" s="93"/>
      <c r="PI10" s="341"/>
      <c r="PJ10" s="93"/>
      <c r="PK10" s="96"/>
      <c r="PL10" s="72"/>
      <c r="PM10" s="72">
        <f t="shared" si="46"/>
        <v>0</v>
      </c>
      <c r="PP10" s="108"/>
      <c r="PQ10" s="15">
        <v>3</v>
      </c>
      <c r="PR10" s="93"/>
      <c r="PS10" s="341"/>
      <c r="PT10" s="93"/>
      <c r="PU10" s="96"/>
      <c r="PV10" s="72"/>
      <c r="PY10" s="108"/>
      <c r="PZ10" s="15">
        <v>3</v>
      </c>
      <c r="QA10" s="93"/>
      <c r="QB10" s="141"/>
      <c r="QC10" s="93"/>
      <c r="QD10" s="96"/>
      <c r="QE10" s="72"/>
      <c r="QH10" s="108"/>
      <c r="QI10" s="15">
        <v>3</v>
      </c>
      <c r="QJ10" s="93"/>
      <c r="QK10" s="341"/>
      <c r="QL10" s="93"/>
      <c r="QM10" s="96"/>
      <c r="QN10" s="72"/>
      <c r="QQ10" s="108"/>
      <c r="QR10" s="15">
        <v>3</v>
      </c>
      <c r="QS10" s="93"/>
      <c r="QT10" s="341"/>
      <c r="QU10" s="93"/>
      <c r="QV10" s="96"/>
      <c r="QW10" s="72"/>
      <c r="QZ10" s="108"/>
      <c r="RA10" s="15">
        <v>3</v>
      </c>
      <c r="RB10" s="93"/>
      <c r="RC10" s="341"/>
      <c r="RD10" s="93"/>
      <c r="RE10" s="96"/>
      <c r="RF10" s="72"/>
      <c r="RI10" s="108"/>
      <c r="RJ10" s="15">
        <v>3</v>
      </c>
      <c r="RK10" s="93"/>
      <c r="RL10" s="341"/>
      <c r="RM10" s="93"/>
      <c r="RN10" s="96"/>
      <c r="RO10" s="72"/>
      <c r="RR10" s="108"/>
      <c r="RS10" s="15">
        <v>3</v>
      </c>
      <c r="RT10" s="93"/>
      <c r="RU10" s="141"/>
      <c r="RV10" s="93"/>
      <c r="RW10" s="96"/>
      <c r="RX10" s="72"/>
      <c r="SA10" s="108"/>
      <c r="SB10" s="15">
        <v>3</v>
      </c>
      <c r="SC10" s="93"/>
      <c r="SD10" s="80"/>
      <c r="SE10" s="93"/>
      <c r="SF10" s="96"/>
      <c r="SG10" s="72"/>
      <c r="SJ10" s="108"/>
      <c r="SK10" s="15">
        <v>3</v>
      </c>
      <c r="SL10" s="93"/>
      <c r="SM10" s="80"/>
      <c r="SN10" s="93"/>
      <c r="SO10" s="96"/>
      <c r="SP10" s="72"/>
      <c r="SS10" s="108"/>
      <c r="ST10" s="15"/>
      <c r="SU10" s="93"/>
      <c r="SV10" s="80"/>
      <c r="SW10" s="93"/>
      <c r="SX10" s="96"/>
      <c r="SY10" s="72"/>
      <c r="TB10" s="108"/>
      <c r="TC10" s="15">
        <v>3</v>
      </c>
      <c r="TD10" s="93"/>
      <c r="TE10" s="411"/>
      <c r="TF10" s="189"/>
      <c r="TG10" s="404"/>
      <c r="TH10" s="403"/>
      <c r="TK10" s="108"/>
      <c r="TL10" s="15">
        <v>3</v>
      </c>
      <c r="TM10" s="93"/>
      <c r="TN10" s="80"/>
      <c r="TO10" s="93"/>
      <c r="TP10" s="96"/>
      <c r="TQ10" s="72"/>
      <c r="TT10" s="108"/>
      <c r="TU10" s="15">
        <v>3</v>
      </c>
      <c r="TV10" s="93"/>
      <c r="TW10" s="80"/>
      <c r="TX10" s="93"/>
      <c r="TY10" s="96"/>
      <c r="TZ10" s="72"/>
      <c r="UC10" s="108"/>
      <c r="UD10" s="15">
        <v>3</v>
      </c>
      <c r="UE10" s="93"/>
      <c r="UF10" s="80"/>
      <c r="UG10" s="93"/>
      <c r="UH10" s="96"/>
      <c r="UI10" s="72"/>
      <c r="UL10" s="108"/>
      <c r="UM10" s="15">
        <v>3</v>
      </c>
      <c r="UN10" s="93"/>
      <c r="UO10" s="80"/>
      <c r="UP10" s="93"/>
      <c r="UQ10" s="96"/>
      <c r="UR10" s="72"/>
      <c r="UU10" s="108"/>
      <c r="UV10" s="15">
        <v>3</v>
      </c>
      <c r="UW10" s="93"/>
      <c r="UX10" s="80"/>
      <c r="UY10" s="93"/>
      <c r="UZ10" s="96"/>
      <c r="VA10" s="72"/>
      <c r="VD10" s="108"/>
      <c r="VE10" s="15">
        <v>3</v>
      </c>
      <c r="VF10" s="93"/>
      <c r="VG10" s="80"/>
      <c r="VH10" s="93"/>
      <c r="VI10" s="96"/>
      <c r="VJ10" s="72"/>
      <c r="VM10" s="108"/>
      <c r="VN10" s="15">
        <v>3</v>
      </c>
      <c r="VO10" s="93"/>
      <c r="VP10" s="80"/>
      <c r="VQ10" s="93"/>
      <c r="VR10" s="96"/>
      <c r="VS10" s="72"/>
      <c r="VV10" s="108"/>
      <c r="VW10" s="15">
        <v>3</v>
      </c>
      <c r="VX10" s="93"/>
      <c r="VY10" s="80"/>
      <c r="VZ10" s="93"/>
      <c r="WA10" s="96"/>
      <c r="WB10" s="72"/>
      <c r="WE10" s="108"/>
      <c r="WF10" s="15">
        <v>3</v>
      </c>
      <c r="WG10" s="93"/>
      <c r="WH10" s="80"/>
      <c r="WI10" s="93"/>
      <c r="WJ10" s="96"/>
      <c r="WK10" s="72"/>
      <c r="WN10" s="108"/>
      <c r="WO10" s="15">
        <v>3</v>
      </c>
      <c r="WP10" s="93"/>
      <c r="WQ10" s="80"/>
      <c r="WR10" s="93"/>
      <c r="WS10" s="96"/>
      <c r="WT10" s="72"/>
      <c r="WW10" s="108"/>
      <c r="WX10" s="15">
        <v>3</v>
      </c>
      <c r="WY10" s="93"/>
      <c r="WZ10" s="80"/>
      <c r="XA10" s="93"/>
      <c r="XB10" s="96"/>
      <c r="XC10" s="72"/>
      <c r="XF10" s="108"/>
      <c r="XG10" s="15">
        <v>3</v>
      </c>
      <c r="XH10" s="93"/>
      <c r="XI10" s="80"/>
      <c r="XJ10" s="93"/>
      <c r="XK10" s="96"/>
      <c r="XL10" s="72"/>
      <c r="XO10" s="108"/>
      <c r="XP10" s="15">
        <v>3</v>
      </c>
      <c r="XQ10" s="93"/>
      <c r="XR10" s="80"/>
      <c r="XS10" s="93"/>
      <c r="XT10" s="96"/>
      <c r="XU10" s="72"/>
      <c r="XX10" s="108"/>
      <c r="XY10" s="15">
        <v>3</v>
      </c>
      <c r="XZ10" s="93"/>
      <c r="YA10" s="80"/>
      <c r="YB10" s="93"/>
      <c r="YC10" s="96"/>
      <c r="YD10" s="72"/>
      <c r="YG10" s="108"/>
      <c r="YH10" s="15">
        <v>3</v>
      </c>
      <c r="YI10" s="93"/>
      <c r="YJ10" s="80"/>
      <c r="YK10" s="93"/>
      <c r="YL10" s="96"/>
      <c r="YM10" s="72"/>
      <c r="YP10" s="108"/>
      <c r="YQ10" s="15">
        <v>3</v>
      </c>
      <c r="YR10" s="93"/>
      <c r="YS10" s="80"/>
      <c r="YT10" s="93"/>
      <c r="YU10" s="96"/>
      <c r="YV10" s="72"/>
      <c r="YY10" s="108"/>
      <c r="YZ10" s="15">
        <v>3</v>
      </c>
      <c r="ZA10" s="93"/>
      <c r="ZB10" s="80"/>
      <c r="ZC10" s="93"/>
      <c r="ZD10" s="96"/>
      <c r="ZE10" s="72"/>
      <c r="ZH10" s="108"/>
      <c r="ZI10" s="15">
        <v>3</v>
      </c>
      <c r="ZJ10" s="93"/>
      <c r="ZK10" s="80"/>
      <c r="ZL10" s="93"/>
      <c r="ZM10" s="96"/>
      <c r="ZN10" s="72"/>
      <c r="ZQ10" s="108"/>
      <c r="ZR10" s="15">
        <v>3</v>
      </c>
      <c r="ZS10" s="93"/>
      <c r="ZT10" s="80"/>
      <c r="ZU10" s="93"/>
      <c r="ZV10" s="96"/>
      <c r="ZW10" s="72"/>
      <c r="ZZ10" s="108"/>
      <c r="AAA10" s="15">
        <v>3</v>
      </c>
      <c r="AAB10" s="93"/>
      <c r="AAC10" s="80"/>
      <c r="AAD10" s="93"/>
      <c r="AAE10" s="96"/>
      <c r="AAF10" s="72"/>
      <c r="AAI10" s="108"/>
      <c r="AAJ10" s="15">
        <v>3</v>
      </c>
      <c r="AAK10" s="93"/>
      <c r="AAL10" s="80"/>
      <c r="AAM10" s="93"/>
      <c r="AAN10" s="96"/>
      <c r="AAO10" s="72"/>
      <c r="AAR10" s="108"/>
      <c r="AAS10" s="15">
        <v>3</v>
      </c>
      <c r="AAT10" s="93"/>
      <c r="AAU10" s="80"/>
      <c r="AAV10" s="93"/>
      <c r="AAW10" s="96"/>
      <c r="AAX10" s="72"/>
      <c r="ABA10" s="108"/>
      <c r="ABB10" s="15">
        <v>3</v>
      </c>
      <c r="ABC10" s="93"/>
      <c r="ABD10" s="80"/>
      <c r="ABE10" s="93"/>
      <c r="ABF10" s="96"/>
      <c r="ABG10" s="72"/>
      <c r="ABJ10" s="108"/>
      <c r="ABK10" s="15">
        <v>3</v>
      </c>
      <c r="ABL10" s="93"/>
      <c r="ABM10" s="80"/>
      <c r="ABN10" s="93"/>
      <c r="ABO10" s="96"/>
      <c r="ABP10" s="72"/>
      <c r="ABS10" s="108"/>
      <c r="ABT10" s="15">
        <v>3</v>
      </c>
      <c r="ABU10" s="93"/>
      <c r="ABV10" s="80"/>
      <c r="ABW10" s="93"/>
      <c r="ABX10" s="96"/>
      <c r="ABY10" s="72"/>
      <c r="ACB10" s="108"/>
      <c r="ACC10" s="15">
        <v>3</v>
      </c>
      <c r="ACD10" s="93"/>
      <c r="ACE10" s="80"/>
      <c r="ACF10" s="93"/>
      <c r="ACG10" s="96"/>
      <c r="ACH10" s="72"/>
      <c r="ACK10" s="108"/>
      <c r="ACL10" s="15">
        <v>3</v>
      </c>
      <c r="ACM10" s="93"/>
      <c r="ACN10" s="80"/>
      <c r="ACO10" s="93"/>
      <c r="ACP10" s="96"/>
      <c r="ACQ10" s="72"/>
      <c r="ACT10" s="108"/>
      <c r="ACU10" s="15">
        <v>3</v>
      </c>
      <c r="ACV10" s="93"/>
      <c r="ACW10" s="80"/>
      <c r="ACX10" s="93"/>
      <c r="ACY10" s="96"/>
      <c r="ACZ10" s="72"/>
      <c r="ADC10" s="95"/>
      <c r="ADD10" s="15">
        <v>3</v>
      </c>
      <c r="ADE10" s="93"/>
      <c r="ADF10" s="80"/>
      <c r="ADG10" s="93"/>
      <c r="ADH10" s="96"/>
      <c r="ADI10" s="72"/>
      <c r="ADL10" s="108"/>
      <c r="ADM10" s="15">
        <v>3</v>
      </c>
      <c r="ADN10" s="93"/>
      <c r="ADO10" s="80"/>
      <c r="ADP10" s="93"/>
      <c r="ADQ10" s="96"/>
      <c r="ADR10" s="72"/>
      <c r="ADU10" s="108"/>
      <c r="ADV10" s="15">
        <v>3</v>
      </c>
      <c r="ADW10" s="93"/>
      <c r="ADX10" s="80"/>
      <c r="ADY10" s="93"/>
      <c r="ADZ10" s="96"/>
      <c r="AEA10" s="72"/>
      <c r="AED10" s="108"/>
      <c r="AEE10" s="15">
        <v>3</v>
      </c>
      <c r="AEF10" s="93"/>
      <c r="AEG10" s="80"/>
      <c r="AEH10" s="93"/>
      <c r="AEI10" s="96"/>
      <c r="AEJ10" s="72"/>
      <c r="AEM10" s="108"/>
      <c r="AEN10" s="15">
        <v>3</v>
      </c>
      <c r="AEO10" s="93"/>
      <c r="AEP10" s="80"/>
      <c r="AEQ10" s="93"/>
      <c r="AER10" s="96"/>
      <c r="AES10" s="72"/>
    </row>
    <row r="11" spans="1:825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74836354</v>
      </c>
      <c r="E11" s="141">
        <f t="shared" si="49"/>
        <v>44541</v>
      </c>
      <c r="F11" s="87">
        <f t="shared" si="49"/>
        <v>19120.43</v>
      </c>
      <c r="G11" s="74">
        <f t="shared" si="49"/>
        <v>21</v>
      </c>
      <c r="H11" s="48">
        <f t="shared" si="49"/>
        <v>19204.5</v>
      </c>
      <c r="I11" s="107">
        <f t="shared" si="49"/>
        <v>-84.069999999999709</v>
      </c>
      <c r="K11" s="62"/>
      <c r="L11" s="108"/>
      <c r="M11" s="15">
        <v>4</v>
      </c>
      <c r="N11" s="93">
        <v>892.2</v>
      </c>
      <c r="O11" s="341">
        <v>44537</v>
      </c>
      <c r="P11" s="93">
        <v>892.2</v>
      </c>
      <c r="Q11" s="96" t="s">
        <v>454</v>
      </c>
      <c r="R11" s="72">
        <v>37</v>
      </c>
      <c r="S11" s="627">
        <f t="shared" si="6"/>
        <v>33011.4</v>
      </c>
      <c r="T11" s="255"/>
      <c r="U11" s="62"/>
      <c r="V11" s="108"/>
      <c r="W11" s="15">
        <v>4</v>
      </c>
      <c r="X11" s="292">
        <v>877.2</v>
      </c>
      <c r="Y11" s="346">
        <v>44538</v>
      </c>
      <c r="Z11" s="292">
        <v>877.2</v>
      </c>
      <c r="AA11" s="406" t="s">
        <v>468</v>
      </c>
      <c r="AB11" s="279">
        <v>37</v>
      </c>
      <c r="AC11" s="338">
        <f t="shared" si="7"/>
        <v>32456.400000000001</v>
      </c>
      <c r="AE11" s="62"/>
      <c r="AF11" s="108"/>
      <c r="AG11" s="15">
        <v>4</v>
      </c>
      <c r="AH11" s="93">
        <v>909.9</v>
      </c>
      <c r="AI11" s="341">
        <v>44537</v>
      </c>
      <c r="AJ11" s="93">
        <v>909.9</v>
      </c>
      <c r="AK11" s="96" t="s">
        <v>457</v>
      </c>
      <c r="AL11" s="72">
        <v>37</v>
      </c>
      <c r="AM11" s="630">
        <f t="shared" si="8"/>
        <v>33666.299999999996</v>
      </c>
      <c r="AO11" s="62"/>
      <c r="AP11" s="108"/>
      <c r="AQ11" s="15">
        <v>4</v>
      </c>
      <c r="AR11" s="335">
        <v>934.85</v>
      </c>
      <c r="AS11" s="346">
        <v>44538</v>
      </c>
      <c r="AT11" s="335">
        <v>934.85</v>
      </c>
      <c r="AU11" s="334" t="s">
        <v>481</v>
      </c>
      <c r="AV11" s="279">
        <v>37</v>
      </c>
      <c r="AW11" s="338">
        <f t="shared" si="9"/>
        <v>34589.450000000004</v>
      </c>
      <c r="AY11" s="62"/>
      <c r="AZ11" s="108"/>
      <c r="BA11" s="15">
        <v>4</v>
      </c>
      <c r="BB11" s="93">
        <v>914.89</v>
      </c>
      <c r="BC11" s="141">
        <v>44539</v>
      </c>
      <c r="BD11" s="93">
        <v>914.89</v>
      </c>
      <c r="BE11" s="96" t="s">
        <v>492</v>
      </c>
      <c r="BF11" s="400">
        <v>36</v>
      </c>
      <c r="BG11" s="646">
        <f t="shared" si="10"/>
        <v>32936.04</v>
      </c>
      <c r="BI11" s="62"/>
      <c r="BJ11" s="108"/>
      <c r="BK11" s="15">
        <v>4</v>
      </c>
      <c r="BL11" s="93">
        <v>964.8</v>
      </c>
      <c r="BM11" s="141">
        <v>44540</v>
      </c>
      <c r="BN11" s="93">
        <v>964.8</v>
      </c>
      <c r="BO11" s="96" t="s">
        <v>501</v>
      </c>
      <c r="BP11" s="400">
        <v>36</v>
      </c>
      <c r="BQ11" s="857">
        <f t="shared" si="11"/>
        <v>34732.799999999996</v>
      </c>
      <c r="BS11" s="62"/>
      <c r="BT11" s="108"/>
      <c r="BU11" s="276">
        <v>4</v>
      </c>
      <c r="BV11" s="292">
        <v>936.2</v>
      </c>
      <c r="BW11" s="401">
        <v>44541</v>
      </c>
      <c r="BX11" s="292">
        <v>936.2</v>
      </c>
      <c r="BY11" s="402" t="s">
        <v>461</v>
      </c>
      <c r="BZ11" s="403">
        <v>36</v>
      </c>
      <c r="CA11" s="627">
        <f t="shared" si="12"/>
        <v>33703.200000000004</v>
      </c>
      <c r="CC11" s="62"/>
      <c r="CD11" s="909"/>
      <c r="CE11" s="15">
        <v>4</v>
      </c>
      <c r="CF11" s="93">
        <v>911.3</v>
      </c>
      <c r="CG11" s="401">
        <v>44542</v>
      </c>
      <c r="CH11" s="93">
        <v>911.3</v>
      </c>
      <c r="CI11" s="404" t="s">
        <v>494</v>
      </c>
      <c r="CJ11" s="403">
        <v>36</v>
      </c>
      <c r="CK11" s="627">
        <f t="shared" si="13"/>
        <v>32806.799999999996</v>
      </c>
      <c r="CM11" s="62"/>
      <c r="CN11" s="95"/>
      <c r="CO11" s="15">
        <v>4</v>
      </c>
      <c r="CP11" s="93">
        <v>934.4</v>
      </c>
      <c r="CQ11" s="401">
        <v>44545</v>
      </c>
      <c r="CR11" s="93">
        <v>934.4</v>
      </c>
      <c r="CS11" s="404" t="s">
        <v>524</v>
      </c>
      <c r="CT11" s="403">
        <v>38</v>
      </c>
      <c r="CU11" s="635">
        <f t="shared" si="48"/>
        <v>35507.199999999997</v>
      </c>
      <c r="CW11" s="62"/>
      <c r="CX11" s="108"/>
      <c r="CY11" s="15">
        <v>4</v>
      </c>
      <c r="CZ11" s="93">
        <v>886.8</v>
      </c>
      <c r="DA11" s="341">
        <v>44544</v>
      </c>
      <c r="DB11" s="93">
        <v>886.8</v>
      </c>
      <c r="DC11" s="96" t="s">
        <v>517</v>
      </c>
      <c r="DD11" s="72">
        <v>38</v>
      </c>
      <c r="DE11" s="627">
        <f t="shared" si="14"/>
        <v>33698.400000000001</v>
      </c>
      <c r="DG11" s="62"/>
      <c r="DH11" s="108"/>
      <c r="DI11" s="15">
        <v>4</v>
      </c>
      <c r="DJ11" s="93">
        <v>900.8</v>
      </c>
      <c r="DK11" s="401">
        <v>44544</v>
      </c>
      <c r="DL11" s="93">
        <v>900.8</v>
      </c>
      <c r="DM11" s="404" t="s">
        <v>476</v>
      </c>
      <c r="DN11" s="403">
        <v>38</v>
      </c>
      <c r="DO11" s="635">
        <f t="shared" si="15"/>
        <v>34230.400000000001</v>
      </c>
      <c r="DQ11" s="62"/>
      <c r="DR11" s="108"/>
      <c r="DS11" s="15">
        <v>4</v>
      </c>
      <c r="DT11" s="93">
        <v>952.09</v>
      </c>
      <c r="DU11" s="401">
        <v>44545</v>
      </c>
      <c r="DV11" s="93">
        <v>952.09</v>
      </c>
      <c r="DW11" s="404" t="s">
        <v>477</v>
      </c>
      <c r="DX11" s="403">
        <v>38</v>
      </c>
      <c r="DY11" s="627">
        <f t="shared" si="16"/>
        <v>36179.42</v>
      </c>
      <c r="EA11" s="62"/>
      <c r="EB11" s="108"/>
      <c r="EC11" s="15">
        <v>4</v>
      </c>
      <c r="ED11" s="70">
        <v>927.1</v>
      </c>
      <c r="EE11" s="357">
        <v>44546</v>
      </c>
      <c r="EF11" s="70">
        <v>927.1</v>
      </c>
      <c r="EG11" s="71" t="s">
        <v>533</v>
      </c>
      <c r="EH11" s="72">
        <v>38</v>
      </c>
      <c r="EI11" s="627">
        <f t="shared" si="17"/>
        <v>35229.800000000003</v>
      </c>
      <c r="EK11" s="1020"/>
      <c r="EL11" s="452"/>
      <c r="EM11" s="15">
        <v>4</v>
      </c>
      <c r="EN11" s="292">
        <v>903.1</v>
      </c>
      <c r="EO11" s="346">
        <v>44546</v>
      </c>
      <c r="EP11" s="292">
        <v>903.1</v>
      </c>
      <c r="EQ11" s="278" t="s">
        <v>530</v>
      </c>
      <c r="ER11" s="279">
        <v>38</v>
      </c>
      <c r="ES11" s="627">
        <f t="shared" si="18"/>
        <v>34317.800000000003</v>
      </c>
      <c r="EU11" s="62"/>
      <c r="EV11" s="108"/>
      <c r="EW11" s="15">
        <v>4</v>
      </c>
      <c r="EX11" s="70">
        <v>947.5</v>
      </c>
      <c r="EY11" s="357">
        <v>44548</v>
      </c>
      <c r="EZ11" s="70">
        <v>947.5</v>
      </c>
      <c r="FA11" s="278" t="s">
        <v>541</v>
      </c>
      <c r="FB11" s="72">
        <v>38</v>
      </c>
      <c r="FC11" s="338">
        <f t="shared" si="19"/>
        <v>36005</v>
      </c>
      <c r="FE11" s="62"/>
      <c r="FF11" s="452"/>
      <c r="FG11" s="15">
        <v>4</v>
      </c>
      <c r="FH11" s="292">
        <v>887.7</v>
      </c>
      <c r="FI11" s="346">
        <v>44548</v>
      </c>
      <c r="FJ11" s="292">
        <v>887.7</v>
      </c>
      <c r="FK11" s="278" t="s">
        <v>539</v>
      </c>
      <c r="FL11" s="279">
        <v>38</v>
      </c>
      <c r="FM11" s="627">
        <f t="shared" si="20"/>
        <v>33732.6</v>
      </c>
      <c r="FO11" s="62"/>
      <c r="FP11" s="108"/>
      <c r="FQ11" s="15">
        <v>4</v>
      </c>
      <c r="FR11" s="93">
        <v>933.5</v>
      </c>
      <c r="FS11" s="341">
        <v>44548</v>
      </c>
      <c r="FT11" s="93">
        <v>933.5</v>
      </c>
      <c r="FU11" s="71" t="s">
        <v>544</v>
      </c>
      <c r="FV11" s="72">
        <v>38</v>
      </c>
      <c r="FW11" s="627">
        <f t="shared" si="21"/>
        <v>35473</v>
      </c>
      <c r="FY11" s="62"/>
      <c r="FZ11" s="108"/>
      <c r="GA11" s="15">
        <v>4</v>
      </c>
      <c r="GB11" s="277">
        <v>904.9</v>
      </c>
      <c r="GC11" s="545">
        <v>44551</v>
      </c>
      <c r="GD11" s="277">
        <v>904.9</v>
      </c>
      <c r="GE11" s="278" t="s">
        <v>564</v>
      </c>
      <c r="GF11" s="279">
        <v>39</v>
      </c>
      <c r="GG11" s="338">
        <f t="shared" si="22"/>
        <v>35291.1</v>
      </c>
      <c r="GI11" s="62"/>
      <c r="GJ11" s="108"/>
      <c r="GK11" s="15">
        <v>4</v>
      </c>
      <c r="GL11" s="523">
        <v>890.9</v>
      </c>
      <c r="GM11" s="341">
        <v>44551</v>
      </c>
      <c r="GN11" s="523">
        <v>890.9</v>
      </c>
      <c r="GO11" s="96" t="s">
        <v>567</v>
      </c>
      <c r="GP11" s="72">
        <v>39</v>
      </c>
      <c r="GQ11" s="627">
        <f t="shared" si="23"/>
        <v>34745.1</v>
      </c>
      <c r="GS11" s="62"/>
      <c r="GT11" s="108"/>
      <c r="GU11" s="15">
        <v>4</v>
      </c>
      <c r="GV11" s="292">
        <v>936.7</v>
      </c>
      <c r="GW11" s="346">
        <v>44551</v>
      </c>
      <c r="GX11" s="292">
        <v>936.7</v>
      </c>
      <c r="GY11" s="334" t="s">
        <v>568</v>
      </c>
      <c r="GZ11" s="279">
        <v>39</v>
      </c>
      <c r="HA11" s="627">
        <f t="shared" si="24"/>
        <v>36531.300000000003</v>
      </c>
      <c r="HC11" s="62"/>
      <c r="HD11" s="108"/>
      <c r="HE11" s="15">
        <v>4</v>
      </c>
      <c r="HF11" s="93">
        <v>867.7</v>
      </c>
      <c r="HG11" s="341">
        <v>44552</v>
      </c>
      <c r="HH11" s="93">
        <v>867.7</v>
      </c>
      <c r="HI11" s="96" t="s">
        <v>581</v>
      </c>
      <c r="HJ11" s="72">
        <v>41</v>
      </c>
      <c r="HK11" s="627">
        <f t="shared" si="25"/>
        <v>35575.700000000004</v>
      </c>
      <c r="HM11" s="62"/>
      <c r="HN11" s="108"/>
      <c r="HO11" s="15">
        <v>4</v>
      </c>
      <c r="HP11" s="292">
        <v>932.13</v>
      </c>
      <c r="HQ11" s="346">
        <v>44552</v>
      </c>
      <c r="HR11" s="292">
        <v>932.13</v>
      </c>
      <c r="HS11" s="406" t="s">
        <v>578</v>
      </c>
      <c r="HT11" s="279">
        <v>41</v>
      </c>
      <c r="HU11" s="627">
        <f t="shared" si="26"/>
        <v>38217.33</v>
      </c>
      <c r="HW11" s="62"/>
      <c r="HX11" s="108"/>
      <c r="HY11" s="15">
        <v>4</v>
      </c>
      <c r="HZ11" s="70">
        <v>866.81</v>
      </c>
      <c r="IA11" s="357">
        <v>44553</v>
      </c>
      <c r="IB11" s="70">
        <v>866.81</v>
      </c>
      <c r="IC11" s="71" t="s">
        <v>591</v>
      </c>
      <c r="ID11" s="72">
        <v>42</v>
      </c>
      <c r="IE11" s="627">
        <f t="shared" si="27"/>
        <v>36406.019999999997</v>
      </c>
      <c r="IG11" s="62"/>
      <c r="IH11" s="108"/>
      <c r="II11" s="15">
        <v>4</v>
      </c>
      <c r="IJ11" s="70">
        <v>913.53</v>
      </c>
      <c r="IK11" s="357">
        <v>44553</v>
      </c>
      <c r="IL11" s="70">
        <v>913.53</v>
      </c>
      <c r="IM11" s="71" t="s">
        <v>598</v>
      </c>
      <c r="IN11" s="72">
        <v>41</v>
      </c>
      <c r="IO11" s="627">
        <f t="shared" si="28"/>
        <v>37454.729999999996</v>
      </c>
      <c r="IQ11" s="885"/>
      <c r="IR11" s="108"/>
      <c r="IS11" s="15">
        <v>4</v>
      </c>
      <c r="IT11" s="292">
        <v>883.6</v>
      </c>
      <c r="IU11" s="258">
        <v>44554</v>
      </c>
      <c r="IV11" s="292">
        <v>883.6</v>
      </c>
      <c r="IW11" s="552" t="s">
        <v>610</v>
      </c>
      <c r="IX11" s="279">
        <v>41</v>
      </c>
      <c r="IY11" s="338">
        <f t="shared" si="29"/>
        <v>36227.599999999999</v>
      </c>
      <c r="IZ11" s="93"/>
      <c r="JA11" s="70"/>
      <c r="JB11" s="108"/>
      <c r="JC11" s="15">
        <v>4</v>
      </c>
      <c r="JD11" s="93">
        <v>875.4</v>
      </c>
      <c r="JE11" s="357">
        <v>44554</v>
      </c>
      <c r="JF11" s="93">
        <v>875.4</v>
      </c>
      <c r="JG11" s="71" t="s">
        <v>612</v>
      </c>
      <c r="JH11" s="72">
        <v>41</v>
      </c>
      <c r="JI11" s="627">
        <f t="shared" si="30"/>
        <v>35891.4</v>
      </c>
      <c r="JJ11" s="70"/>
      <c r="JK11" s="62"/>
      <c r="JL11" s="108"/>
      <c r="JM11" s="15">
        <v>4</v>
      </c>
      <c r="JN11" s="93">
        <v>891.3</v>
      </c>
      <c r="JO11" s="341">
        <v>44554</v>
      </c>
      <c r="JP11" s="93">
        <v>891.3</v>
      </c>
      <c r="JQ11" s="71" t="s">
        <v>603</v>
      </c>
      <c r="JR11" s="72">
        <v>41</v>
      </c>
      <c r="JS11" s="627">
        <f t="shared" si="31"/>
        <v>36543.299999999996</v>
      </c>
      <c r="JU11" s="62"/>
      <c r="JV11" s="108"/>
      <c r="JW11" s="15">
        <v>4</v>
      </c>
      <c r="JX11" s="70">
        <v>881.8</v>
      </c>
      <c r="JY11" s="357">
        <v>44554</v>
      </c>
      <c r="JZ11" s="70">
        <v>881.8</v>
      </c>
      <c r="KA11" s="71" t="s">
        <v>608</v>
      </c>
      <c r="KB11" s="72">
        <v>41</v>
      </c>
      <c r="KC11" s="627">
        <f t="shared" si="32"/>
        <v>36153.799999999996</v>
      </c>
      <c r="KE11" s="62"/>
      <c r="KF11" s="108"/>
      <c r="KG11" s="15">
        <v>4</v>
      </c>
      <c r="KH11" s="70">
        <v>933.9</v>
      </c>
      <c r="KI11" s="357">
        <v>44556</v>
      </c>
      <c r="KJ11" s="70">
        <v>933.9</v>
      </c>
      <c r="KK11" s="71" t="s">
        <v>617</v>
      </c>
      <c r="KL11" s="72">
        <v>41</v>
      </c>
      <c r="KM11" s="627">
        <f t="shared" si="33"/>
        <v>38289.9</v>
      </c>
      <c r="KO11" s="62"/>
      <c r="KP11" s="108"/>
      <c r="KQ11" s="15">
        <v>4</v>
      </c>
      <c r="KR11" s="70">
        <v>894</v>
      </c>
      <c r="KS11" s="357">
        <v>44558</v>
      </c>
      <c r="KT11" s="70">
        <v>894</v>
      </c>
      <c r="KU11" s="71" t="s">
        <v>637</v>
      </c>
      <c r="KV11" s="72">
        <v>42</v>
      </c>
      <c r="KW11" s="627">
        <f t="shared" si="34"/>
        <v>37548</v>
      </c>
      <c r="KY11" s="62"/>
      <c r="KZ11" s="108"/>
      <c r="LA11" s="15">
        <v>4</v>
      </c>
      <c r="LB11" s="93">
        <v>945.28</v>
      </c>
      <c r="LC11" s="341">
        <v>44558</v>
      </c>
      <c r="LD11" s="93">
        <v>945.28</v>
      </c>
      <c r="LE11" s="96" t="s">
        <v>643</v>
      </c>
      <c r="LF11" s="72">
        <v>42</v>
      </c>
      <c r="LG11" s="627">
        <f t="shared" si="35"/>
        <v>39701.760000000002</v>
      </c>
      <c r="LI11" s="62"/>
      <c r="LJ11" s="108"/>
      <c r="LK11" s="15">
        <v>4</v>
      </c>
      <c r="LL11" s="93">
        <v>934.85</v>
      </c>
      <c r="LM11" s="341">
        <v>44559</v>
      </c>
      <c r="LN11" s="93">
        <v>934.85</v>
      </c>
      <c r="LO11" s="96" t="s">
        <v>652</v>
      </c>
      <c r="LP11" s="72">
        <v>42</v>
      </c>
      <c r="LQ11" s="627">
        <f t="shared" si="36"/>
        <v>39263.700000000004</v>
      </c>
      <c r="LS11" s="62"/>
      <c r="LT11" s="108"/>
      <c r="LU11" s="15">
        <v>4</v>
      </c>
      <c r="LV11" s="93">
        <v>866.4</v>
      </c>
      <c r="LW11" s="341">
        <v>44559</v>
      </c>
      <c r="LX11" s="93">
        <v>866.4</v>
      </c>
      <c r="LY11" s="96" t="s">
        <v>650</v>
      </c>
      <c r="LZ11" s="72">
        <v>42</v>
      </c>
      <c r="MA11" s="627">
        <f t="shared" si="37"/>
        <v>36388.799999999996</v>
      </c>
      <c r="MB11" s="627"/>
      <c r="MC11" s="62"/>
      <c r="MD11" s="108"/>
      <c r="ME11" s="15">
        <v>4</v>
      </c>
      <c r="MF11" s="412">
        <v>870.9</v>
      </c>
      <c r="MG11" s="341">
        <v>44560</v>
      </c>
      <c r="MH11" s="412">
        <v>870.9</v>
      </c>
      <c r="MI11" s="96" t="s">
        <v>660</v>
      </c>
      <c r="MJ11" s="72">
        <v>43</v>
      </c>
      <c r="MK11" s="72">
        <f t="shared" si="38"/>
        <v>37448.699999999997</v>
      </c>
      <c r="MM11" s="62"/>
      <c r="MN11" s="108"/>
      <c r="MO11" s="15">
        <v>4</v>
      </c>
      <c r="MP11" s="93">
        <v>882.25</v>
      </c>
      <c r="MQ11" s="341">
        <v>44560</v>
      </c>
      <c r="MR11" s="93">
        <v>882.25</v>
      </c>
      <c r="MS11" s="96" t="s">
        <v>665</v>
      </c>
      <c r="MT11" s="72">
        <v>43</v>
      </c>
      <c r="MU11" s="72">
        <f t="shared" si="39"/>
        <v>37936.75</v>
      </c>
      <c r="MW11" s="62"/>
      <c r="MX11" s="108"/>
      <c r="MY11" s="15">
        <v>4</v>
      </c>
      <c r="MZ11" s="93">
        <v>863.2</v>
      </c>
      <c r="NA11" s="341">
        <v>44561</v>
      </c>
      <c r="NB11" s="93">
        <v>863.2</v>
      </c>
      <c r="NC11" s="96" t="s">
        <v>672</v>
      </c>
      <c r="ND11" s="72">
        <v>40</v>
      </c>
      <c r="NE11" s="72">
        <f t="shared" si="40"/>
        <v>34528</v>
      </c>
      <c r="NG11" s="62"/>
      <c r="NH11" s="108"/>
      <c r="NI11" s="15">
        <v>4</v>
      </c>
      <c r="NJ11" s="413">
        <v>934.4</v>
      </c>
      <c r="NK11" s="341"/>
      <c r="NL11" s="413"/>
      <c r="NM11" s="96"/>
      <c r="NN11" s="72"/>
      <c r="NO11" s="72">
        <f t="shared" si="41"/>
        <v>0</v>
      </c>
      <c r="NQ11" s="62"/>
      <c r="NR11" s="108"/>
      <c r="NS11" s="15">
        <v>4</v>
      </c>
      <c r="NT11" s="93">
        <v>921.2</v>
      </c>
      <c r="NU11" s="341">
        <v>44563</v>
      </c>
      <c r="NV11" s="93">
        <v>921.2</v>
      </c>
      <c r="NW11" s="96" t="s">
        <v>681</v>
      </c>
      <c r="NX11" s="72">
        <v>34</v>
      </c>
      <c r="NY11" s="72">
        <f t="shared" si="42"/>
        <v>31320.800000000003</v>
      </c>
      <c r="OA11" s="62"/>
      <c r="OB11" s="108"/>
      <c r="OC11" s="15">
        <v>4</v>
      </c>
      <c r="OD11" s="413"/>
      <c r="OE11" s="341"/>
      <c r="OF11" s="413"/>
      <c r="OG11" s="96"/>
      <c r="OH11" s="72"/>
      <c r="OI11" s="72">
        <f t="shared" si="43"/>
        <v>0</v>
      </c>
      <c r="OK11" s="62"/>
      <c r="OL11" s="108"/>
      <c r="OM11" s="15">
        <v>4</v>
      </c>
      <c r="ON11" s="93"/>
      <c r="OO11" s="341"/>
      <c r="OP11" s="93"/>
      <c r="OQ11" s="96"/>
      <c r="OR11" s="72"/>
      <c r="OS11" s="72">
        <f t="shared" si="44"/>
        <v>0</v>
      </c>
      <c r="OU11" s="62"/>
      <c r="OV11" s="108"/>
      <c r="OW11" s="15">
        <v>4</v>
      </c>
      <c r="OX11" s="292"/>
      <c r="OY11" s="346"/>
      <c r="OZ11" s="292"/>
      <c r="PA11" s="334"/>
      <c r="PB11" s="279"/>
      <c r="PC11" s="279">
        <f t="shared" si="45"/>
        <v>0</v>
      </c>
      <c r="PE11" s="62"/>
      <c r="PF11" s="95"/>
      <c r="PG11" s="15">
        <v>4</v>
      </c>
      <c r="PH11" s="413"/>
      <c r="PI11" s="341"/>
      <c r="PJ11" s="413"/>
      <c r="PK11" s="96"/>
      <c r="PL11" s="72"/>
      <c r="PM11" s="72">
        <f t="shared" si="46"/>
        <v>0</v>
      </c>
      <c r="PO11" s="62"/>
      <c r="PP11" s="108"/>
      <c r="PQ11" s="15">
        <v>4</v>
      </c>
      <c r="PR11" s="93"/>
      <c r="PS11" s="341"/>
      <c r="PT11" s="93"/>
      <c r="PU11" s="96"/>
      <c r="PV11" s="72"/>
      <c r="PX11" s="62"/>
      <c r="PY11" s="108"/>
      <c r="PZ11" s="15">
        <v>4</v>
      </c>
      <c r="QA11" s="93"/>
      <c r="QB11" s="141"/>
      <c r="QC11" s="93"/>
      <c r="QD11" s="96"/>
      <c r="QE11" s="72"/>
      <c r="QG11" s="62"/>
      <c r="QH11" s="108"/>
      <c r="QI11" s="15">
        <v>4</v>
      </c>
      <c r="QJ11" s="93"/>
      <c r="QK11" s="341"/>
      <c r="QL11" s="93"/>
      <c r="QM11" s="96"/>
      <c r="QN11" s="72"/>
      <c r="QP11" s="62"/>
      <c r="QQ11" s="108"/>
      <c r="QR11" s="15">
        <v>4</v>
      </c>
      <c r="QS11" s="93"/>
      <c r="QT11" s="341"/>
      <c r="QU11" s="93"/>
      <c r="QV11" s="96"/>
      <c r="QW11" s="72"/>
      <c r="QY11" s="62"/>
      <c r="QZ11" s="108"/>
      <c r="RA11" s="15">
        <v>4</v>
      </c>
      <c r="RB11" s="93"/>
      <c r="RC11" s="341"/>
      <c r="RD11" s="93"/>
      <c r="RE11" s="96"/>
      <c r="RF11" s="72"/>
      <c r="RH11" s="62"/>
      <c r="RI11" s="108"/>
      <c r="RJ11" s="15">
        <v>4</v>
      </c>
      <c r="RK11" s="93"/>
      <c r="RL11" s="341"/>
      <c r="RM11" s="93"/>
      <c r="RN11" s="96"/>
      <c r="RO11" s="72"/>
      <c r="RR11" s="108"/>
      <c r="RS11" s="15">
        <v>4</v>
      </c>
      <c r="RT11" s="93"/>
      <c r="RU11" s="141"/>
      <c r="RV11" s="93"/>
      <c r="RW11" s="96"/>
      <c r="RX11" s="72"/>
      <c r="SA11" s="108"/>
      <c r="SB11" s="15">
        <v>4</v>
      </c>
      <c r="SC11" s="93"/>
      <c r="SD11" s="80"/>
      <c r="SE11" s="93"/>
      <c r="SF11" s="96"/>
      <c r="SG11" s="72"/>
      <c r="SJ11" s="108"/>
      <c r="SK11" s="15">
        <v>4</v>
      </c>
      <c r="SL11" s="93"/>
      <c r="SM11" s="80"/>
      <c r="SN11" s="93"/>
      <c r="SO11" s="96"/>
      <c r="SP11" s="72"/>
      <c r="SS11" s="108"/>
      <c r="ST11" s="15"/>
      <c r="SU11" s="93"/>
      <c r="SV11" s="80"/>
      <c r="SW11" s="93"/>
      <c r="SX11" s="96"/>
      <c r="SY11" s="72"/>
      <c r="TB11" s="108"/>
      <c r="TC11" s="15">
        <v>4</v>
      </c>
      <c r="TD11" s="93"/>
      <c r="TE11" s="411"/>
      <c r="TF11" s="189"/>
      <c r="TG11" s="404"/>
      <c r="TH11" s="403"/>
      <c r="TK11" s="108"/>
      <c r="TL11" s="15">
        <v>4</v>
      </c>
      <c r="TM11" s="93"/>
      <c r="TN11" s="80"/>
      <c r="TO11" s="93"/>
      <c r="TP11" s="96"/>
      <c r="TQ11" s="72"/>
      <c r="TT11" s="108"/>
      <c r="TU11" s="15">
        <v>4</v>
      </c>
      <c r="TV11" s="93"/>
      <c r="TW11" s="80"/>
      <c r="TX11" s="93"/>
      <c r="TY11" s="96"/>
      <c r="TZ11" s="72"/>
      <c r="UC11" s="108"/>
      <c r="UD11" s="15">
        <v>4</v>
      </c>
      <c r="UE11" s="93"/>
      <c r="UF11" s="80"/>
      <c r="UG11" s="93"/>
      <c r="UH11" s="96"/>
      <c r="UI11" s="72"/>
      <c r="UL11" s="108"/>
      <c r="UM11" s="15">
        <v>4</v>
      </c>
      <c r="UN11" s="93"/>
      <c r="UO11" s="80"/>
      <c r="UP11" s="93"/>
      <c r="UQ11" s="96"/>
      <c r="UR11" s="72"/>
      <c r="UU11" s="108"/>
      <c r="UV11" s="15">
        <v>4</v>
      </c>
      <c r="UW11" s="93"/>
      <c r="UX11" s="80"/>
      <c r="UY11" s="93"/>
      <c r="UZ11" s="96"/>
      <c r="VA11" s="72"/>
      <c r="VC11" s="62" t="s">
        <v>33</v>
      </c>
      <c r="VD11" s="108"/>
      <c r="VE11" s="15">
        <v>4</v>
      </c>
      <c r="VF11" s="93"/>
      <c r="VG11" s="80"/>
      <c r="VH11" s="93"/>
      <c r="VI11" s="96"/>
      <c r="VJ11" s="72"/>
      <c r="VL11" s="62" t="s">
        <v>33</v>
      </c>
      <c r="VM11" s="108"/>
      <c r="VN11" s="15">
        <v>4</v>
      </c>
      <c r="VO11" s="93"/>
      <c r="VP11" s="80"/>
      <c r="VQ11" s="93"/>
      <c r="VR11" s="96"/>
      <c r="VS11" s="72"/>
      <c r="VU11" s="62" t="s">
        <v>33</v>
      </c>
      <c r="VV11" s="108"/>
      <c r="VW11" s="15">
        <v>4</v>
      </c>
      <c r="VX11" s="93"/>
      <c r="VY11" s="80"/>
      <c r="VZ11" s="93"/>
      <c r="WA11" s="96"/>
      <c r="WB11" s="72"/>
      <c r="WD11" s="62" t="s">
        <v>33</v>
      </c>
      <c r="WE11" s="108"/>
      <c r="WF11" s="15">
        <v>4</v>
      </c>
      <c r="WG11" s="93"/>
      <c r="WH11" s="80"/>
      <c r="WI11" s="93"/>
      <c r="WJ11" s="96"/>
      <c r="WK11" s="72"/>
      <c r="WM11" s="62" t="s">
        <v>33</v>
      </c>
      <c r="WN11" s="108"/>
      <c r="WO11" s="15">
        <v>4</v>
      </c>
      <c r="WP11" s="93"/>
      <c r="WQ11" s="80"/>
      <c r="WR11" s="93"/>
      <c r="WS11" s="96"/>
      <c r="WT11" s="72"/>
      <c r="WV11" s="62" t="s">
        <v>33</v>
      </c>
      <c r="WW11" s="108"/>
      <c r="WX11" s="15">
        <v>4</v>
      </c>
      <c r="WY11" s="93"/>
      <c r="WZ11" s="80"/>
      <c r="XA11" s="93"/>
      <c r="XB11" s="96"/>
      <c r="XC11" s="72"/>
      <c r="XE11" s="62" t="s">
        <v>33</v>
      </c>
      <c r="XF11" s="108"/>
      <c r="XG11" s="15">
        <v>4</v>
      </c>
      <c r="XH11" s="93"/>
      <c r="XI11" s="80"/>
      <c r="XJ11" s="93"/>
      <c r="XK11" s="96"/>
      <c r="XL11" s="72"/>
      <c r="XN11" s="62" t="s">
        <v>33</v>
      </c>
      <c r="XO11" s="108"/>
      <c r="XP11" s="15">
        <v>4</v>
      </c>
      <c r="XQ11" s="93"/>
      <c r="XR11" s="80"/>
      <c r="XS11" s="93"/>
      <c r="XT11" s="96"/>
      <c r="XU11" s="72"/>
      <c r="XW11" s="62" t="s">
        <v>33</v>
      </c>
      <c r="XX11" s="108"/>
      <c r="XY11" s="15">
        <v>4</v>
      </c>
      <c r="XZ11" s="93"/>
      <c r="YA11" s="80"/>
      <c r="YB11" s="93"/>
      <c r="YC11" s="96"/>
      <c r="YD11" s="72"/>
      <c r="YF11" s="62" t="s">
        <v>33</v>
      </c>
      <c r="YG11" s="108"/>
      <c r="YH11" s="15">
        <v>4</v>
      </c>
      <c r="YI11" s="93"/>
      <c r="YJ11" s="80"/>
      <c r="YK11" s="93"/>
      <c r="YL11" s="96"/>
      <c r="YM11" s="72"/>
      <c r="YO11" s="62" t="s">
        <v>33</v>
      </c>
      <c r="YP11" s="108"/>
      <c r="YQ11" s="15">
        <v>4</v>
      </c>
      <c r="YR11" s="93"/>
      <c r="YS11" s="80"/>
      <c r="YT11" s="93"/>
      <c r="YU11" s="96"/>
      <c r="YV11" s="72"/>
      <c r="YX11" s="62" t="s">
        <v>33</v>
      </c>
      <c r="YY11" s="108"/>
      <c r="YZ11" s="15">
        <v>4</v>
      </c>
      <c r="ZA11" s="93"/>
      <c r="ZB11" s="80"/>
      <c r="ZC11" s="93"/>
      <c r="ZD11" s="96"/>
      <c r="ZE11" s="72"/>
      <c r="ZG11" s="62" t="s">
        <v>33</v>
      </c>
      <c r="ZH11" s="108"/>
      <c r="ZI11" s="15">
        <v>4</v>
      </c>
      <c r="ZJ11" s="93"/>
      <c r="ZK11" s="80"/>
      <c r="ZL11" s="93"/>
      <c r="ZM11" s="96"/>
      <c r="ZN11" s="72"/>
      <c r="ZP11" s="62" t="s">
        <v>33</v>
      </c>
      <c r="ZQ11" s="108"/>
      <c r="ZR11" s="15">
        <v>4</v>
      </c>
      <c r="ZS11" s="93"/>
      <c r="ZT11" s="80"/>
      <c r="ZU11" s="93"/>
      <c r="ZV11" s="96"/>
      <c r="ZW11" s="72"/>
      <c r="ZY11" s="62" t="s">
        <v>33</v>
      </c>
      <c r="ZZ11" s="108"/>
      <c r="AAA11" s="15">
        <v>4</v>
      </c>
      <c r="AAB11" s="93"/>
      <c r="AAC11" s="80"/>
      <c r="AAD11" s="93"/>
      <c r="AAE11" s="96"/>
      <c r="AAF11" s="72"/>
      <c r="AAH11" s="62" t="s">
        <v>33</v>
      </c>
      <c r="AAI11" s="108"/>
      <c r="AAJ11" s="15">
        <v>4</v>
      </c>
      <c r="AAK11" s="93"/>
      <c r="AAL11" s="80"/>
      <c r="AAM11" s="93"/>
      <c r="AAN11" s="96"/>
      <c r="AAO11" s="72"/>
      <c r="AAQ11" s="62" t="s">
        <v>33</v>
      </c>
      <c r="AAR11" s="108"/>
      <c r="AAS11" s="15">
        <v>4</v>
      </c>
      <c r="AAT11" s="93"/>
      <c r="AAU11" s="80"/>
      <c r="AAV11" s="93"/>
      <c r="AAW11" s="96"/>
      <c r="AAX11" s="72"/>
      <c r="AAZ11" s="62" t="s">
        <v>33</v>
      </c>
      <c r="ABA11" s="108"/>
      <c r="ABB11" s="15">
        <v>4</v>
      </c>
      <c r="ABC11" s="93"/>
      <c r="ABD11" s="80"/>
      <c r="ABE11" s="93"/>
      <c r="ABF11" s="96"/>
      <c r="ABG11" s="72"/>
      <c r="ABI11" s="62" t="s">
        <v>33</v>
      </c>
      <c r="ABJ11" s="108"/>
      <c r="ABK11" s="15">
        <v>4</v>
      </c>
      <c r="ABL11" s="93"/>
      <c r="ABM11" s="80"/>
      <c r="ABN11" s="93"/>
      <c r="ABO11" s="96"/>
      <c r="ABP11" s="72"/>
      <c r="ABR11" s="62" t="s">
        <v>33</v>
      </c>
      <c r="ABS11" s="108"/>
      <c r="ABT11" s="15">
        <v>4</v>
      </c>
      <c r="ABU11" s="93"/>
      <c r="ABV11" s="80"/>
      <c r="ABW11" s="93"/>
      <c r="ABX11" s="96"/>
      <c r="ABY11" s="72"/>
      <c r="ACA11" s="62" t="s">
        <v>33</v>
      </c>
      <c r="ACB11" s="108"/>
      <c r="ACC11" s="15">
        <v>4</v>
      </c>
      <c r="ACD11" s="93"/>
      <c r="ACE11" s="80"/>
      <c r="ACF11" s="93"/>
      <c r="ACG11" s="96"/>
      <c r="ACH11" s="72"/>
      <c r="ACJ11" s="62" t="s">
        <v>33</v>
      </c>
      <c r="ACK11" s="108"/>
      <c r="ACL11" s="15">
        <v>4</v>
      </c>
      <c r="ACM11" s="93"/>
      <c r="ACN11" s="80"/>
      <c r="ACO11" s="93"/>
      <c r="ACP11" s="96"/>
      <c r="ACQ11" s="72"/>
      <c r="ACS11" s="62" t="s">
        <v>33</v>
      </c>
      <c r="ACT11" s="108"/>
      <c r="ACU11" s="15">
        <v>4</v>
      </c>
      <c r="ACV11" s="93"/>
      <c r="ACW11" s="80"/>
      <c r="ACX11" s="93"/>
      <c r="ACY11" s="96"/>
      <c r="ACZ11" s="72"/>
      <c r="ADB11" s="62" t="s">
        <v>33</v>
      </c>
      <c r="ADC11" s="108"/>
      <c r="ADD11" s="15">
        <v>4</v>
      </c>
      <c r="ADE11" s="93"/>
      <c r="ADF11" s="80"/>
      <c r="ADG11" s="93"/>
      <c r="ADH11" s="96"/>
      <c r="ADI11" s="72"/>
      <c r="ADK11" s="62" t="s">
        <v>33</v>
      </c>
      <c r="ADL11" s="108"/>
      <c r="ADM11" s="15">
        <v>4</v>
      </c>
      <c r="ADN11" s="93"/>
      <c r="ADO11" s="80"/>
      <c r="ADP11" s="93"/>
      <c r="ADQ11" s="96"/>
      <c r="ADR11" s="72"/>
      <c r="ADT11" s="62" t="s">
        <v>33</v>
      </c>
      <c r="ADU11" s="108"/>
      <c r="ADV11" s="15">
        <v>4</v>
      </c>
      <c r="ADW11" s="93"/>
      <c r="ADX11" s="80"/>
      <c r="ADY11" s="93"/>
      <c r="ADZ11" s="96"/>
      <c r="AEA11" s="72"/>
      <c r="AEC11" s="62" t="s">
        <v>33</v>
      </c>
      <c r="AED11" s="108"/>
      <c r="AEE11" s="15">
        <v>4</v>
      </c>
      <c r="AEF11" s="93"/>
      <c r="AEG11" s="80"/>
      <c r="AEH11" s="93"/>
      <c r="AEI11" s="96"/>
      <c r="AEJ11" s="72"/>
      <c r="AEL11" s="62" t="s">
        <v>33</v>
      </c>
      <c r="AEM11" s="108"/>
      <c r="AEN11" s="15">
        <v>4</v>
      </c>
      <c r="AEO11" s="93"/>
      <c r="AEP11" s="80"/>
      <c r="AEQ11" s="93"/>
      <c r="AER11" s="96"/>
      <c r="AES11" s="72"/>
    </row>
    <row r="12" spans="1:825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74887472</v>
      </c>
      <c r="E12" s="141">
        <f t="shared" si="50"/>
        <v>44544</v>
      </c>
      <c r="F12" s="87">
        <f t="shared" si="50"/>
        <v>19062.13</v>
      </c>
      <c r="G12" s="74">
        <f t="shared" si="50"/>
        <v>21</v>
      </c>
      <c r="H12" s="48">
        <f t="shared" si="50"/>
        <v>19061.900000000001</v>
      </c>
      <c r="I12" s="107">
        <f t="shared" si="50"/>
        <v>0.22999999999956344</v>
      </c>
      <c r="L12" s="108"/>
      <c r="M12" s="15">
        <v>5</v>
      </c>
      <c r="N12" s="93">
        <v>915.3</v>
      </c>
      <c r="O12" s="341">
        <v>44537</v>
      </c>
      <c r="P12" s="93">
        <v>915.3</v>
      </c>
      <c r="Q12" s="96" t="s">
        <v>454</v>
      </c>
      <c r="R12" s="72">
        <v>37</v>
      </c>
      <c r="S12" s="627">
        <f t="shared" si="6"/>
        <v>33866.1</v>
      </c>
      <c r="T12" s="255"/>
      <c r="V12" s="108"/>
      <c r="W12" s="15">
        <v>5</v>
      </c>
      <c r="X12" s="292">
        <v>937.6</v>
      </c>
      <c r="Y12" s="346">
        <v>44538</v>
      </c>
      <c r="Z12" s="292">
        <v>937.6</v>
      </c>
      <c r="AA12" s="406" t="s">
        <v>468</v>
      </c>
      <c r="AB12" s="279">
        <v>37</v>
      </c>
      <c r="AC12" s="338">
        <f t="shared" si="7"/>
        <v>34691.200000000004</v>
      </c>
      <c r="AF12" s="108"/>
      <c r="AG12" s="15">
        <v>5</v>
      </c>
      <c r="AH12" s="93">
        <v>923.1</v>
      </c>
      <c r="AI12" s="341">
        <v>44537</v>
      </c>
      <c r="AJ12" s="93">
        <v>923.1</v>
      </c>
      <c r="AK12" s="96" t="s">
        <v>457</v>
      </c>
      <c r="AL12" s="72">
        <v>37</v>
      </c>
      <c r="AM12" s="630">
        <f t="shared" si="8"/>
        <v>34154.700000000004</v>
      </c>
      <c r="AP12" s="108"/>
      <c r="AQ12" s="15">
        <v>5</v>
      </c>
      <c r="AR12" s="335">
        <v>912.17</v>
      </c>
      <c r="AS12" s="346">
        <v>44538</v>
      </c>
      <c r="AT12" s="335">
        <v>912.17</v>
      </c>
      <c r="AU12" s="334" t="s">
        <v>481</v>
      </c>
      <c r="AV12" s="279">
        <v>37</v>
      </c>
      <c r="AW12" s="338">
        <f t="shared" si="9"/>
        <v>33750.29</v>
      </c>
      <c r="AZ12" s="108"/>
      <c r="BA12" s="15">
        <v>5</v>
      </c>
      <c r="BB12" s="93">
        <v>960.25</v>
      </c>
      <c r="BC12" s="141">
        <v>44539</v>
      </c>
      <c r="BD12" s="93">
        <v>960.25</v>
      </c>
      <c r="BE12" s="96" t="s">
        <v>492</v>
      </c>
      <c r="BF12" s="400">
        <v>36</v>
      </c>
      <c r="BG12" s="646">
        <f t="shared" si="10"/>
        <v>34569</v>
      </c>
      <c r="BJ12" s="108"/>
      <c r="BK12" s="15">
        <v>5</v>
      </c>
      <c r="BL12" s="93">
        <v>880.9</v>
      </c>
      <c r="BM12" s="141">
        <v>44540</v>
      </c>
      <c r="BN12" s="93">
        <v>880.9</v>
      </c>
      <c r="BO12" s="96" t="s">
        <v>501</v>
      </c>
      <c r="BP12" s="400">
        <v>36</v>
      </c>
      <c r="BQ12" s="857">
        <f t="shared" si="11"/>
        <v>31712.399999999998</v>
      </c>
      <c r="BT12" s="108"/>
      <c r="BU12" s="276">
        <v>5</v>
      </c>
      <c r="BV12" s="292">
        <v>906.7</v>
      </c>
      <c r="BW12" s="401">
        <v>44541</v>
      </c>
      <c r="BX12" s="292">
        <v>906.7</v>
      </c>
      <c r="BY12" s="402" t="s">
        <v>461</v>
      </c>
      <c r="BZ12" s="403">
        <v>36</v>
      </c>
      <c r="CA12" s="627">
        <f t="shared" si="12"/>
        <v>32641.200000000001</v>
      </c>
      <c r="CD12" s="909"/>
      <c r="CE12" s="15">
        <v>5</v>
      </c>
      <c r="CF12" s="93">
        <v>936.2</v>
      </c>
      <c r="CG12" s="401">
        <v>44542</v>
      </c>
      <c r="CH12" s="93">
        <v>936.2</v>
      </c>
      <c r="CI12" s="404" t="s">
        <v>494</v>
      </c>
      <c r="CJ12" s="403">
        <v>36</v>
      </c>
      <c r="CK12" s="627">
        <f t="shared" si="13"/>
        <v>33703.200000000004</v>
      </c>
      <c r="CN12" s="95"/>
      <c r="CO12" s="15">
        <v>5</v>
      </c>
      <c r="CP12" s="93">
        <v>937.6</v>
      </c>
      <c r="CQ12" s="401">
        <v>44545</v>
      </c>
      <c r="CR12" s="93">
        <v>937.6</v>
      </c>
      <c r="CS12" s="404" t="s">
        <v>524</v>
      </c>
      <c r="CT12" s="403">
        <v>38</v>
      </c>
      <c r="CU12" s="635">
        <f t="shared" si="48"/>
        <v>35628.800000000003</v>
      </c>
      <c r="CX12" s="108"/>
      <c r="CY12" s="15">
        <v>5</v>
      </c>
      <c r="CZ12" s="93">
        <v>862.3</v>
      </c>
      <c r="DA12" s="341">
        <v>44544</v>
      </c>
      <c r="DB12" s="93">
        <v>862.3</v>
      </c>
      <c r="DC12" s="96" t="s">
        <v>517</v>
      </c>
      <c r="DD12" s="72">
        <v>38</v>
      </c>
      <c r="DE12" s="627">
        <f t="shared" si="14"/>
        <v>32767.399999999998</v>
      </c>
      <c r="DH12" s="108"/>
      <c r="DI12" s="15">
        <v>5</v>
      </c>
      <c r="DJ12" s="93">
        <v>865.4</v>
      </c>
      <c r="DK12" s="401">
        <v>44544</v>
      </c>
      <c r="DL12" s="93">
        <v>865.4</v>
      </c>
      <c r="DM12" s="404" t="s">
        <v>476</v>
      </c>
      <c r="DN12" s="403">
        <v>38</v>
      </c>
      <c r="DO12" s="635">
        <f t="shared" si="15"/>
        <v>32885.199999999997</v>
      </c>
      <c r="DR12" s="108"/>
      <c r="DS12" s="15">
        <v>5</v>
      </c>
      <c r="DT12" s="93">
        <v>966.15</v>
      </c>
      <c r="DU12" s="401">
        <v>44545</v>
      </c>
      <c r="DV12" s="93">
        <v>966.15</v>
      </c>
      <c r="DW12" s="404" t="s">
        <v>477</v>
      </c>
      <c r="DX12" s="403">
        <v>38</v>
      </c>
      <c r="DY12" s="627">
        <f t="shared" si="16"/>
        <v>36713.699999999997</v>
      </c>
      <c r="EB12" s="108"/>
      <c r="EC12" s="15">
        <v>5</v>
      </c>
      <c r="ED12" s="70">
        <v>909</v>
      </c>
      <c r="EE12" s="357">
        <v>44546</v>
      </c>
      <c r="EF12" s="70">
        <v>909</v>
      </c>
      <c r="EG12" s="71" t="s">
        <v>533</v>
      </c>
      <c r="EH12" s="72">
        <v>38</v>
      </c>
      <c r="EI12" s="627">
        <f t="shared" si="17"/>
        <v>34542</v>
      </c>
      <c r="EL12" s="452"/>
      <c r="EM12" s="15">
        <v>5</v>
      </c>
      <c r="EN12" s="292">
        <v>927.1</v>
      </c>
      <c r="EO12" s="346">
        <v>44546</v>
      </c>
      <c r="EP12" s="292">
        <v>927.1</v>
      </c>
      <c r="EQ12" s="278" t="s">
        <v>530</v>
      </c>
      <c r="ER12" s="279">
        <v>38</v>
      </c>
      <c r="ES12" s="627">
        <f t="shared" si="18"/>
        <v>35229.800000000003</v>
      </c>
      <c r="EV12" s="108"/>
      <c r="EW12" s="15">
        <v>5</v>
      </c>
      <c r="EX12" s="70">
        <v>900.4</v>
      </c>
      <c r="EY12" s="357">
        <v>44548</v>
      </c>
      <c r="EZ12" s="70">
        <v>900.4</v>
      </c>
      <c r="FA12" s="278" t="s">
        <v>541</v>
      </c>
      <c r="FB12" s="72">
        <v>38</v>
      </c>
      <c r="FC12" s="338">
        <f t="shared" si="19"/>
        <v>34215.199999999997</v>
      </c>
      <c r="FF12" s="452"/>
      <c r="FG12" s="15">
        <v>5</v>
      </c>
      <c r="FH12" s="292">
        <v>937.6</v>
      </c>
      <c r="FI12" s="346">
        <v>44548</v>
      </c>
      <c r="FJ12" s="292">
        <v>937.6</v>
      </c>
      <c r="FK12" s="278" t="s">
        <v>539</v>
      </c>
      <c r="FL12" s="279">
        <v>38</v>
      </c>
      <c r="FM12" s="627">
        <f t="shared" si="20"/>
        <v>35628.800000000003</v>
      </c>
      <c r="FN12" s="76" t="s">
        <v>41</v>
      </c>
      <c r="FP12" s="108"/>
      <c r="FQ12" s="15">
        <v>5</v>
      </c>
      <c r="FR12" s="93">
        <v>880</v>
      </c>
      <c r="FS12" s="341">
        <v>44548</v>
      </c>
      <c r="FT12" s="93">
        <v>880</v>
      </c>
      <c r="FU12" s="71" t="s">
        <v>544</v>
      </c>
      <c r="FV12" s="72">
        <v>38</v>
      </c>
      <c r="FW12" s="627">
        <f t="shared" si="21"/>
        <v>33440</v>
      </c>
      <c r="FZ12" s="108"/>
      <c r="GA12" s="15">
        <v>5</v>
      </c>
      <c r="GB12" s="277">
        <v>885.4</v>
      </c>
      <c r="GC12" s="545">
        <v>44551</v>
      </c>
      <c r="GD12" s="277">
        <v>885.4</v>
      </c>
      <c r="GE12" s="278" t="s">
        <v>564</v>
      </c>
      <c r="GF12" s="279">
        <v>39</v>
      </c>
      <c r="GG12" s="338">
        <f t="shared" si="22"/>
        <v>34530.6</v>
      </c>
      <c r="GJ12" s="108"/>
      <c r="GK12" s="15">
        <v>5</v>
      </c>
      <c r="GL12" s="523">
        <v>871.8</v>
      </c>
      <c r="GM12" s="341">
        <v>44551</v>
      </c>
      <c r="GN12" s="523">
        <v>871.8</v>
      </c>
      <c r="GO12" s="96" t="s">
        <v>567</v>
      </c>
      <c r="GP12" s="72">
        <v>39</v>
      </c>
      <c r="GQ12" s="627">
        <f t="shared" si="23"/>
        <v>34000.199999999997</v>
      </c>
      <c r="GT12" s="108"/>
      <c r="GU12" s="15">
        <v>5</v>
      </c>
      <c r="GV12" s="292">
        <v>936.2</v>
      </c>
      <c r="GW12" s="346">
        <v>44551</v>
      </c>
      <c r="GX12" s="292">
        <v>936.2</v>
      </c>
      <c r="GY12" s="334" t="s">
        <v>568</v>
      </c>
      <c r="GZ12" s="279">
        <v>39</v>
      </c>
      <c r="HA12" s="627">
        <f t="shared" si="24"/>
        <v>36511.800000000003</v>
      </c>
      <c r="HD12" s="108"/>
      <c r="HE12" s="15">
        <v>5</v>
      </c>
      <c r="HF12" s="93">
        <v>875</v>
      </c>
      <c r="HG12" s="341">
        <v>44552</v>
      </c>
      <c r="HH12" s="93">
        <v>875</v>
      </c>
      <c r="HI12" s="96" t="s">
        <v>581</v>
      </c>
      <c r="HJ12" s="72">
        <v>41</v>
      </c>
      <c r="HK12" s="627">
        <f t="shared" si="25"/>
        <v>35875</v>
      </c>
      <c r="HN12" s="108"/>
      <c r="HO12" s="15">
        <v>5</v>
      </c>
      <c r="HP12" s="292">
        <v>930.31</v>
      </c>
      <c r="HQ12" s="346">
        <v>44552</v>
      </c>
      <c r="HR12" s="292">
        <v>930.31</v>
      </c>
      <c r="HS12" s="406" t="s">
        <v>578</v>
      </c>
      <c r="HT12" s="279">
        <v>41</v>
      </c>
      <c r="HU12" s="627">
        <f t="shared" si="26"/>
        <v>38142.71</v>
      </c>
      <c r="HX12" s="108"/>
      <c r="HY12" s="15">
        <v>5</v>
      </c>
      <c r="HZ12" s="70">
        <v>905.37</v>
      </c>
      <c r="IA12" s="357">
        <v>44553</v>
      </c>
      <c r="IB12" s="70">
        <v>905.37</v>
      </c>
      <c r="IC12" s="71" t="s">
        <v>591</v>
      </c>
      <c r="ID12" s="72">
        <v>42</v>
      </c>
      <c r="IE12" s="627">
        <f t="shared" si="27"/>
        <v>38025.54</v>
      </c>
      <c r="IH12" s="108"/>
      <c r="II12" s="15">
        <v>5</v>
      </c>
      <c r="IJ12" s="70">
        <v>946.19</v>
      </c>
      <c r="IK12" s="357">
        <v>44553</v>
      </c>
      <c r="IL12" s="70">
        <v>946.19</v>
      </c>
      <c r="IM12" s="71" t="s">
        <v>598</v>
      </c>
      <c r="IN12" s="72">
        <v>41</v>
      </c>
      <c r="IO12" s="627">
        <f t="shared" si="28"/>
        <v>38793.79</v>
      </c>
      <c r="IQ12" s="884"/>
      <c r="IR12" s="108"/>
      <c r="IS12" s="15">
        <v>5</v>
      </c>
      <c r="IT12" s="292">
        <v>909.4</v>
      </c>
      <c r="IU12" s="258">
        <v>44554</v>
      </c>
      <c r="IV12" s="292">
        <v>909.4</v>
      </c>
      <c r="IW12" s="552" t="s">
        <v>610</v>
      </c>
      <c r="IX12" s="279">
        <v>41</v>
      </c>
      <c r="IY12" s="338">
        <f t="shared" si="29"/>
        <v>37285.4</v>
      </c>
      <c r="IZ12" s="93"/>
      <c r="JA12" s="70"/>
      <c r="JB12" s="108"/>
      <c r="JC12" s="15">
        <v>5</v>
      </c>
      <c r="JD12" s="93">
        <v>912.2</v>
      </c>
      <c r="JE12" s="357">
        <v>44554</v>
      </c>
      <c r="JF12" s="93">
        <v>912.2</v>
      </c>
      <c r="JG12" s="71" t="s">
        <v>612</v>
      </c>
      <c r="JH12" s="72">
        <v>41</v>
      </c>
      <c r="JI12" s="627">
        <f t="shared" si="30"/>
        <v>37400.200000000004</v>
      </c>
      <c r="JJ12" s="70"/>
      <c r="JL12" s="108"/>
      <c r="JM12" s="15">
        <v>5</v>
      </c>
      <c r="JN12" s="93">
        <v>934.8</v>
      </c>
      <c r="JO12" s="341">
        <v>44554</v>
      </c>
      <c r="JP12" s="93">
        <v>934.8</v>
      </c>
      <c r="JQ12" s="71" t="s">
        <v>603</v>
      </c>
      <c r="JR12" s="72">
        <v>41</v>
      </c>
      <c r="JS12" s="627">
        <f t="shared" si="31"/>
        <v>38326.799999999996</v>
      </c>
      <c r="JV12" s="108"/>
      <c r="JW12" s="15">
        <v>5</v>
      </c>
      <c r="JX12" s="70">
        <v>910.8</v>
      </c>
      <c r="JY12" s="357">
        <v>44554</v>
      </c>
      <c r="JZ12" s="70">
        <v>910.8</v>
      </c>
      <c r="KA12" s="71" t="s">
        <v>608</v>
      </c>
      <c r="KB12" s="72">
        <v>41</v>
      </c>
      <c r="KC12" s="627">
        <f t="shared" si="32"/>
        <v>37342.799999999996</v>
      </c>
      <c r="KF12" s="108"/>
      <c r="KG12" s="15">
        <v>5</v>
      </c>
      <c r="KH12" s="70">
        <v>870</v>
      </c>
      <c r="KI12" s="357">
        <v>44556</v>
      </c>
      <c r="KJ12" s="70">
        <v>870</v>
      </c>
      <c r="KK12" s="71" t="s">
        <v>617</v>
      </c>
      <c r="KL12" s="72">
        <v>41</v>
      </c>
      <c r="KM12" s="627">
        <f t="shared" si="33"/>
        <v>35670</v>
      </c>
      <c r="KP12" s="108"/>
      <c r="KQ12" s="15">
        <v>5</v>
      </c>
      <c r="KR12" s="70">
        <v>900.8</v>
      </c>
      <c r="KS12" s="357">
        <v>44558</v>
      </c>
      <c r="KT12" s="70">
        <v>900.8</v>
      </c>
      <c r="KU12" s="71" t="s">
        <v>637</v>
      </c>
      <c r="KV12" s="72">
        <v>42</v>
      </c>
      <c r="KW12" s="627">
        <f t="shared" si="34"/>
        <v>37833.599999999999</v>
      </c>
      <c r="KZ12" s="108"/>
      <c r="LA12" s="15">
        <v>5</v>
      </c>
      <c r="LB12" s="93">
        <v>938.02</v>
      </c>
      <c r="LC12" s="341">
        <v>44558</v>
      </c>
      <c r="LD12" s="93">
        <v>938.02</v>
      </c>
      <c r="LE12" s="96" t="s">
        <v>643</v>
      </c>
      <c r="LF12" s="72">
        <v>42</v>
      </c>
      <c r="LG12" s="627">
        <f t="shared" si="35"/>
        <v>39396.839999999997</v>
      </c>
      <c r="LJ12" s="108"/>
      <c r="LK12" s="15">
        <v>5</v>
      </c>
      <c r="LL12" s="93">
        <v>938.93</v>
      </c>
      <c r="LM12" s="341">
        <v>44559</v>
      </c>
      <c r="LN12" s="93">
        <v>938.93</v>
      </c>
      <c r="LO12" s="96" t="s">
        <v>652</v>
      </c>
      <c r="LP12" s="72">
        <v>42</v>
      </c>
      <c r="LQ12" s="627">
        <f t="shared" si="36"/>
        <v>39435.06</v>
      </c>
      <c r="LT12" s="108"/>
      <c r="LU12" s="15">
        <v>5</v>
      </c>
      <c r="LV12" s="93">
        <v>895.4</v>
      </c>
      <c r="LW12" s="341">
        <v>44559</v>
      </c>
      <c r="LX12" s="93">
        <v>895.4</v>
      </c>
      <c r="LY12" s="96" t="s">
        <v>650</v>
      </c>
      <c r="LZ12" s="72">
        <v>42</v>
      </c>
      <c r="MA12" s="627">
        <f t="shared" si="37"/>
        <v>37606.799999999996</v>
      </c>
      <c r="MB12" s="627"/>
      <c r="MD12" s="108"/>
      <c r="ME12" s="15">
        <v>5</v>
      </c>
      <c r="MF12" s="412">
        <v>886.3</v>
      </c>
      <c r="MG12" s="341">
        <v>44560</v>
      </c>
      <c r="MH12" s="412">
        <v>886.3</v>
      </c>
      <c r="MI12" s="96" t="s">
        <v>660</v>
      </c>
      <c r="MJ12" s="72">
        <v>43</v>
      </c>
      <c r="MK12" s="72">
        <f t="shared" si="38"/>
        <v>38110.9</v>
      </c>
      <c r="MN12" s="108"/>
      <c r="MO12" s="15">
        <v>5</v>
      </c>
      <c r="MP12" s="93">
        <v>911.28</v>
      </c>
      <c r="MQ12" s="341">
        <v>44560</v>
      </c>
      <c r="MR12" s="93">
        <v>911.28</v>
      </c>
      <c r="MS12" s="96" t="s">
        <v>665</v>
      </c>
      <c r="MT12" s="72">
        <v>43</v>
      </c>
      <c r="MU12" s="72">
        <f t="shared" si="39"/>
        <v>39185.040000000001</v>
      </c>
      <c r="MX12" s="108"/>
      <c r="MY12" s="15">
        <v>5</v>
      </c>
      <c r="MZ12" s="93">
        <v>884.5</v>
      </c>
      <c r="NA12" s="341">
        <v>44561</v>
      </c>
      <c r="NB12" s="93">
        <v>884.5</v>
      </c>
      <c r="NC12" s="96" t="s">
        <v>672</v>
      </c>
      <c r="ND12" s="72">
        <v>40</v>
      </c>
      <c r="NE12" s="72">
        <f t="shared" si="40"/>
        <v>35380</v>
      </c>
      <c r="NH12" s="108"/>
      <c r="NI12" s="15">
        <v>5</v>
      </c>
      <c r="NJ12" s="93">
        <v>922.1</v>
      </c>
      <c r="NK12" s="341"/>
      <c r="NL12" s="93"/>
      <c r="NM12" s="96"/>
      <c r="NN12" s="72"/>
      <c r="NO12" s="72">
        <f t="shared" si="41"/>
        <v>0</v>
      </c>
      <c r="NR12" s="108"/>
      <c r="NS12" s="15">
        <v>5</v>
      </c>
      <c r="NT12" s="93">
        <v>927.1</v>
      </c>
      <c r="NU12" s="341">
        <v>44563</v>
      </c>
      <c r="NV12" s="93">
        <v>927.1</v>
      </c>
      <c r="NW12" s="96" t="s">
        <v>681</v>
      </c>
      <c r="NX12" s="72">
        <v>34</v>
      </c>
      <c r="NY12" s="72">
        <f t="shared" si="42"/>
        <v>31521.4</v>
      </c>
      <c r="OB12" s="108"/>
      <c r="OC12" s="15">
        <v>5</v>
      </c>
      <c r="OD12" s="93"/>
      <c r="OE12" s="341"/>
      <c r="OF12" s="93"/>
      <c r="OG12" s="96"/>
      <c r="OH12" s="72"/>
      <c r="OI12" s="72">
        <f t="shared" si="43"/>
        <v>0</v>
      </c>
      <c r="OL12" s="108"/>
      <c r="OM12" s="15">
        <v>5</v>
      </c>
      <c r="ON12" s="93"/>
      <c r="OO12" s="341"/>
      <c r="OP12" s="93"/>
      <c r="OQ12" s="96"/>
      <c r="OR12" s="72"/>
      <c r="OS12" s="72">
        <f t="shared" si="44"/>
        <v>0</v>
      </c>
      <c r="OV12" s="108"/>
      <c r="OW12" s="15">
        <v>5</v>
      </c>
      <c r="OX12" s="292"/>
      <c r="OY12" s="346"/>
      <c r="OZ12" s="292"/>
      <c r="PA12" s="334"/>
      <c r="PB12" s="279"/>
      <c r="PC12" s="279">
        <f t="shared" si="45"/>
        <v>0</v>
      </c>
      <c r="PF12" s="95"/>
      <c r="PG12" s="15">
        <v>5</v>
      </c>
      <c r="PH12" s="93"/>
      <c r="PI12" s="341"/>
      <c r="PJ12" s="93"/>
      <c r="PK12" s="96"/>
      <c r="PL12" s="72"/>
      <c r="PM12" s="72">
        <f t="shared" si="46"/>
        <v>0</v>
      </c>
      <c r="PP12" s="108"/>
      <c r="PQ12" s="15">
        <v>5</v>
      </c>
      <c r="PR12" s="93"/>
      <c r="PS12" s="341"/>
      <c r="PT12" s="93"/>
      <c r="PU12" s="96"/>
      <c r="PV12" s="72"/>
      <c r="PY12" s="108"/>
      <c r="PZ12" s="15">
        <v>5</v>
      </c>
      <c r="QA12" s="93"/>
      <c r="QB12" s="141"/>
      <c r="QC12" s="93"/>
      <c r="QD12" s="96"/>
      <c r="QE12" s="72"/>
      <c r="QH12" s="108"/>
      <c r="QI12" s="15">
        <v>5</v>
      </c>
      <c r="QJ12" s="93"/>
      <c r="QK12" s="341"/>
      <c r="QL12" s="93"/>
      <c r="QM12" s="96"/>
      <c r="QN12" s="72"/>
      <c r="QQ12" s="108"/>
      <c r="QR12" s="15">
        <v>5</v>
      </c>
      <c r="QS12" s="93"/>
      <c r="QT12" s="341"/>
      <c r="QU12" s="93"/>
      <c r="QV12" s="96"/>
      <c r="QW12" s="72"/>
      <c r="QZ12" s="108"/>
      <c r="RA12" s="15">
        <v>5</v>
      </c>
      <c r="RB12" s="93"/>
      <c r="RC12" s="341"/>
      <c r="RD12" s="93"/>
      <c r="RE12" s="96"/>
      <c r="RF12" s="72"/>
      <c r="RI12" s="108"/>
      <c r="RJ12" s="15">
        <v>5</v>
      </c>
      <c r="RK12" s="93"/>
      <c r="RL12" s="341"/>
      <c r="RM12" s="93"/>
      <c r="RN12" s="96"/>
      <c r="RO12" s="72"/>
      <c r="RQ12" s="62"/>
      <c r="RR12" s="108"/>
      <c r="RS12" s="15">
        <v>5</v>
      </c>
      <c r="RT12" s="93"/>
      <c r="RU12" s="141"/>
      <c r="RV12" s="93"/>
      <c r="RW12" s="96"/>
      <c r="RX12" s="72"/>
      <c r="RZ12" s="62"/>
      <c r="SA12" s="108"/>
      <c r="SB12" s="15">
        <v>5</v>
      </c>
      <c r="SC12" s="93"/>
      <c r="SD12" s="80"/>
      <c r="SE12" s="93"/>
      <c r="SF12" s="96"/>
      <c r="SG12" s="72"/>
      <c r="SI12" s="62"/>
      <c r="SJ12" s="108"/>
      <c r="SK12" s="15">
        <v>5</v>
      </c>
      <c r="SL12" s="93"/>
      <c r="SM12" s="80"/>
      <c r="SN12" s="93"/>
      <c r="SO12" s="96"/>
      <c r="SP12" s="72"/>
      <c r="SR12" s="62"/>
      <c r="SS12" s="108"/>
      <c r="ST12" s="15"/>
      <c r="SU12" s="93"/>
      <c r="SV12" s="80"/>
      <c r="SW12" s="93"/>
      <c r="SX12" s="96"/>
      <c r="SY12" s="72"/>
      <c r="TA12" s="62"/>
      <c r="TB12" s="108"/>
      <c r="TC12" s="15">
        <v>5</v>
      </c>
      <c r="TD12" s="93"/>
      <c r="TE12" s="411"/>
      <c r="TF12" s="189"/>
      <c r="TG12" s="404"/>
      <c r="TH12" s="403"/>
      <c r="TJ12" s="62"/>
      <c r="TK12" s="108"/>
      <c r="TL12" s="15">
        <v>5</v>
      </c>
      <c r="TM12" s="93"/>
      <c r="TN12" s="80"/>
      <c r="TO12" s="93"/>
      <c r="TP12" s="96"/>
      <c r="TQ12" s="72"/>
      <c r="TS12" s="62" t="s">
        <v>33</v>
      </c>
      <c r="TT12" s="108"/>
      <c r="TU12" s="15">
        <v>5</v>
      </c>
      <c r="TV12" s="93"/>
      <c r="TW12" s="80"/>
      <c r="TX12" s="93"/>
      <c r="TY12" s="96"/>
      <c r="TZ12" s="72"/>
      <c r="UB12" s="62"/>
      <c r="UC12" s="108"/>
      <c r="UD12" s="15">
        <v>5</v>
      </c>
      <c r="UE12" s="93"/>
      <c r="UF12" s="80"/>
      <c r="UG12" s="93"/>
      <c r="UH12" s="96"/>
      <c r="UI12" s="72"/>
      <c r="UK12" s="62" t="s">
        <v>33</v>
      </c>
      <c r="UL12" s="108"/>
      <c r="UM12" s="15">
        <v>5</v>
      </c>
      <c r="UN12" s="93"/>
      <c r="UO12" s="80"/>
      <c r="UP12" s="93"/>
      <c r="UQ12" s="96"/>
      <c r="UR12" s="72"/>
      <c r="UT12" s="62" t="s">
        <v>33</v>
      </c>
      <c r="UU12" s="108"/>
      <c r="UV12" s="15">
        <v>5</v>
      </c>
      <c r="UW12" s="93"/>
      <c r="UX12" s="80"/>
      <c r="UY12" s="93"/>
      <c r="UZ12" s="96"/>
      <c r="VA12" s="72"/>
      <c r="VD12" s="108"/>
      <c r="VE12" s="15">
        <v>5</v>
      </c>
      <c r="VF12" s="93"/>
      <c r="VG12" s="80"/>
      <c r="VH12" s="93"/>
      <c r="VI12" s="96"/>
      <c r="VJ12" s="72"/>
      <c r="VM12" s="108"/>
      <c r="VN12" s="15">
        <v>5</v>
      </c>
      <c r="VO12" s="93"/>
      <c r="VP12" s="80"/>
      <c r="VQ12" s="93"/>
      <c r="VR12" s="96"/>
      <c r="VS12" s="72"/>
      <c r="VV12" s="108"/>
      <c r="VW12" s="15">
        <v>5</v>
      </c>
      <c r="VX12" s="93"/>
      <c r="VY12" s="80"/>
      <c r="VZ12" s="93"/>
      <c r="WA12" s="96"/>
      <c r="WB12" s="72"/>
      <c r="WE12" s="108"/>
      <c r="WF12" s="15">
        <v>5</v>
      </c>
      <c r="WG12" s="93"/>
      <c r="WH12" s="80"/>
      <c r="WI12" s="93"/>
      <c r="WJ12" s="96"/>
      <c r="WK12" s="72"/>
      <c r="WN12" s="108"/>
      <c r="WO12" s="15">
        <v>5</v>
      </c>
      <c r="WP12" s="93"/>
      <c r="WQ12" s="80"/>
      <c r="WR12" s="93"/>
      <c r="WS12" s="96"/>
      <c r="WT12" s="72"/>
      <c r="WW12" s="108"/>
      <c r="WX12" s="15">
        <v>5</v>
      </c>
      <c r="WY12" s="93"/>
      <c r="WZ12" s="80"/>
      <c r="XA12" s="93"/>
      <c r="XB12" s="96"/>
      <c r="XC12" s="72"/>
      <c r="XF12" s="108"/>
      <c r="XG12" s="15">
        <v>5</v>
      </c>
      <c r="XH12" s="93"/>
      <c r="XI12" s="80"/>
      <c r="XJ12" s="93"/>
      <c r="XK12" s="96"/>
      <c r="XL12" s="72"/>
      <c r="XO12" s="108"/>
      <c r="XP12" s="15">
        <v>5</v>
      </c>
      <c r="XQ12" s="93"/>
      <c r="XR12" s="80"/>
      <c r="XS12" s="93"/>
      <c r="XT12" s="96"/>
      <c r="XU12" s="72"/>
      <c r="XX12" s="108"/>
      <c r="XY12" s="15">
        <v>5</v>
      </c>
      <c r="XZ12" s="93"/>
      <c r="YA12" s="80"/>
      <c r="YB12" s="93"/>
      <c r="YC12" s="96"/>
      <c r="YD12" s="72"/>
      <c r="YG12" s="108"/>
      <c r="YH12" s="15">
        <v>5</v>
      </c>
      <c r="YI12" s="93"/>
      <c r="YJ12" s="80"/>
      <c r="YK12" s="93"/>
      <c r="YL12" s="96"/>
      <c r="YM12" s="72"/>
      <c r="YP12" s="108"/>
      <c r="YQ12" s="15">
        <v>5</v>
      </c>
      <c r="YR12" s="93"/>
      <c r="YS12" s="80"/>
      <c r="YT12" s="93"/>
      <c r="YU12" s="96"/>
      <c r="YV12" s="72"/>
      <c r="YY12" s="108"/>
      <c r="YZ12" s="15">
        <v>5</v>
      </c>
      <c r="ZA12" s="93"/>
      <c r="ZB12" s="80"/>
      <c r="ZC12" s="93"/>
      <c r="ZD12" s="96"/>
      <c r="ZE12" s="72"/>
      <c r="ZH12" s="108"/>
      <c r="ZI12" s="15">
        <v>5</v>
      </c>
      <c r="ZJ12" s="93"/>
      <c r="ZK12" s="80"/>
      <c r="ZL12" s="93"/>
      <c r="ZM12" s="96"/>
      <c r="ZN12" s="72"/>
      <c r="ZQ12" s="108"/>
      <c r="ZR12" s="15">
        <v>5</v>
      </c>
      <c r="ZS12" s="93"/>
      <c r="ZT12" s="80"/>
      <c r="ZU12" s="93"/>
      <c r="ZV12" s="96"/>
      <c r="ZW12" s="72"/>
      <c r="ZZ12" s="108"/>
      <c r="AAA12" s="15">
        <v>5</v>
      </c>
      <c r="AAB12" s="93"/>
      <c r="AAC12" s="80"/>
      <c r="AAD12" s="93"/>
      <c r="AAE12" s="96"/>
      <c r="AAF12" s="72"/>
      <c r="AAI12" s="108"/>
      <c r="AAJ12" s="15">
        <v>5</v>
      </c>
      <c r="AAK12" s="93"/>
      <c r="AAL12" s="80"/>
      <c r="AAM12" s="93"/>
      <c r="AAN12" s="96"/>
      <c r="AAO12" s="72"/>
      <c r="AAR12" s="108"/>
      <c r="AAS12" s="15">
        <v>5</v>
      </c>
      <c r="AAT12" s="93"/>
      <c r="AAU12" s="80"/>
      <c r="AAV12" s="93"/>
      <c r="AAW12" s="96"/>
      <c r="AAX12" s="72"/>
      <c r="ABA12" s="108"/>
      <c r="ABB12" s="15">
        <v>5</v>
      </c>
      <c r="ABC12" s="93"/>
      <c r="ABD12" s="80"/>
      <c r="ABE12" s="93"/>
      <c r="ABF12" s="96"/>
      <c r="ABG12" s="72"/>
      <c r="ABJ12" s="108"/>
      <c r="ABK12" s="15">
        <v>5</v>
      </c>
      <c r="ABL12" s="93"/>
      <c r="ABM12" s="80"/>
      <c r="ABN12" s="93"/>
      <c r="ABO12" s="96"/>
      <c r="ABP12" s="72"/>
      <c r="ABS12" s="108"/>
      <c r="ABT12" s="15">
        <v>5</v>
      </c>
      <c r="ABU12" s="93"/>
      <c r="ABV12" s="80"/>
      <c r="ABW12" s="93"/>
      <c r="ABX12" s="96"/>
      <c r="ABY12" s="72"/>
      <c r="ACB12" s="108"/>
      <c r="ACC12" s="15">
        <v>5</v>
      </c>
      <c r="ACD12" s="93"/>
      <c r="ACE12" s="80"/>
      <c r="ACF12" s="93"/>
      <c r="ACG12" s="96"/>
      <c r="ACH12" s="72"/>
      <c r="ACK12" s="108"/>
      <c r="ACL12" s="15">
        <v>5</v>
      </c>
      <c r="ACM12" s="93"/>
      <c r="ACN12" s="80"/>
      <c r="ACO12" s="93"/>
      <c r="ACP12" s="96"/>
      <c r="ACQ12" s="72"/>
      <c r="ACT12" s="108"/>
      <c r="ACU12" s="15">
        <v>5</v>
      </c>
      <c r="ACV12" s="93"/>
      <c r="ACW12" s="80"/>
      <c r="ACX12" s="93"/>
      <c r="ACY12" s="96"/>
      <c r="ACZ12" s="72"/>
      <c r="ADC12" s="108"/>
      <c r="ADD12" s="15">
        <v>5</v>
      </c>
      <c r="ADE12" s="93"/>
      <c r="ADF12" s="80"/>
      <c r="ADG12" s="93"/>
      <c r="ADH12" s="96"/>
      <c r="ADI12" s="72"/>
      <c r="ADL12" s="108"/>
      <c r="ADM12" s="15">
        <v>5</v>
      </c>
      <c r="ADN12" s="93"/>
      <c r="ADO12" s="80"/>
      <c r="ADP12" s="93"/>
      <c r="ADQ12" s="96"/>
      <c r="ADR12" s="72"/>
      <c r="ADU12" s="108"/>
      <c r="ADV12" s="15">
        <v>5</v>
      </c>
      <c r="ADW12" s="93"/>
      <c r="ADX12" s="80"/>
      <c r="ADY12" s="93"/>
      <c r="ADZ12" s="96"/>
      <c r="AEA12" s="72"/>
      <c r="AED12" s="108"/>
      <c r="AEE12" s="15">
        <v>5</v>
      </c>
      <c r="AEF12" s="93"/>
      <c r="AEG12" s="80"/>
      <c r="AEH12" s="93"/>
      <c r="AEI12" s="96"/>
      <c r="AEJ12" s="72"/>
      <c r="AEM12" s="108"/>
      <c r="AEN12" s="15">
        <v>5</v>
      </c>
      <c r="AEO12" s="93"/>
      <c r="AEP12" s="80"/>
      <c r="AEQ12" s="93"/>
      <c r="AER12" s="96"/>
      <c r="AES12" s="72"/>
    </row>
    <row r="13" spans="1:825" x14ac:dyDescent="0.25">
      <c r="A13" s="143">
        <v>10</v>
      </c>
      <c r="B13" s="76" t="str">
        <f t="shared" ref="B13:I13" si="51">CW5</f>
        <v>SEABOARD FOODS</v>
      </c>
      <c r="C13" s="76" t="str">
        <f t="shared" si="51"/>
        <v>Seaboard</v>
      </c>
      <c r="D13" s="104" t="str">
        <f t="shared" si="51"/>
        <v>PED. 74889620</v>
      </c>
      <c r="E13" s="141">
        <f t="shared" si="51"/>
        <v>44544</v>
      </c>
      <c r="F13" s="87">
        <f t="shared" si="51"/>
        <v>18870.150000000001</v>
      </c>
      <c r="G13" s="74">
        <f t="shared" si="51"/>
        <v>21</v>
      </c>
      <c r="H13" s="48">
        <f t="shared" si="51"/>
        <v>18841.400000000001</v>
      </c>
      <c r="I13" s="107">
        <f t="shared" si="51"/>
        <v>28.75</v>
      </c>
      <c r="L13" s="108"/>
      <c r="M13" s="15">
        <v>6</v>
      </c>
      <c r="N13" s="93">
        <v>899</v>
      </c>
      <c r="O13" s="341">
        <v>44537</v>
      </c>
      <c r="P13" s="93">
        <v>899</v>
      </c>
      <c r="Q13" s="96" t="s">
        <v>454</v>
      </c>
      <c r="R13" s="72">
        <v>37</v>
      </c>
      <c r="S13" s="627">
        <f t="shared" si="6"/>
        <v>33263</v>
      </c>
      <c r="T13" s="255"/>
      <c r="V13" s="108"/>
      <c r="W13" s="15">
        <v>6</v>
      </c>
      <c r="X13" s="292">
        <v>924.9</v>
      </c>
      <c r="Y13" s="346">
        <v>44538</v>
      </c>
      <c r="Z13" s="292">
        <v>924.9</v>
      </c>
      <c r="AA13" s="406" t="s">
        <v>468</v>
      </c>
      <c r="AB13" s="279">
        <v>37</v>
      </c>
      <c r="AC13" s="338">
        <f t="shared" si="7"/>
        <v>34221.299999999996</v>
      </c>
      <c r="AF13" s="108"/>
      <c r="AG13" s="15">
        <v>6</v>
      </c>
      <c r="AH13" s="93">
        <v>919.9</v>
      </c>
      <c r="AI13" s="341">
        <v>44537</v>
      </c>
      <c r="AJ13" s="93">
        <v>919.9</v>
      </c>
      <c r="AK13" s="96" t="s">
        <v>457</v>
      </c>
      <c r="AL13" s="72">
        <v>37</v>
      </c>
      <c r="AM13" s="630">
        <f t="shared" si="8"/>
        <v>34036.299999999996</v>
      </c>
      <c r="AP13" s="108"/>
      <c r="AQ13" s="15">
        <v>6</v>
      </c>
      <c r="AR13" s="335">
        <v>910.35</v>
      </c>
      <c r="AS13" s="346">
        <v>44538</v>
      </c>
      <c r="AT13" s="335">
        <v>910.35</v>
      </c>
      <c r="AU13" s="334" t="s">
        <v>481</v>
      </c>
      <c r="AV13" s="279">
        <v>37</v>
      </c>
      <c r="AW13" s="338">
        <f t="shared" si="9"/>
        <v>33682.950000000004</v>
      </c>
      <c r="AZ13" s="108"/>
      <c r="BA13" s="15">
        <v>6</v>
      </c>
      <c r="BB13" s="93">
        <v>913.53</v>
      </c>
      <c r="BC13" s="141">
        <v>44539</v>
      </c>
      <c r="BD13" s="93">
        <v>913.53</v>
      </c>
      <c r="BE13" s="96" t="s">
        <v>492</v>
      </c>
      <c r="BF13" s="400">
        <v>36</v>
      </c>
      <c r="BG13" s="646">
        <f t="shared" si="10"/>
        <v>32887.08</v>
      </c>
      <c r="BJ13" s="108"/>
      <c r="BK13" s="15">
        <v>6</v>
      </c>
      <c r="BL13" s="93">
        <v>877.7</v>
      </c>
      <c r="BM13" s="141">
        <v>44540</v>
      </c>
      <c r="BN13" s="93">
        <v>877.7</v>
      </c>
      <c r="BO13" s="96" t="s">
        <v>501</v>
      </c>
      <c r="BP13" s="400">
        <v>36</v>
      </c>
      <c r="BQ13" s="857">
        <f t="shared" si="11"/>
        <v>31597.200000000001</v>
      </c>
      <c r="BT13" s="108"/>
      <c r="BU13" s="276">
        <v>6</v>
      </c>
      <c r="BV13" s="292">
        <v>901.3</v>
      </c>
      <c r="BW13" s="401">
        <v>44541</v>
      </c>
      <c r="BX13" s="292">
        <v>901.3</v>
      </c>
      <c r="BY13" s="402" t="s">
        <v>461</v>
      </c>
      <c r="BZ13" s="403">
        <v>36</v>
      </c>
      <c r="CA13" s="627">
        <f t="shared" si="12"/>
        <v>32446.799999999999</v>
      </c>
      <c r="CD13" s="909"/>
      <c r="CE13" s="15">
        <v>6</v>
      </c>
      <c r="CF13" s="93">
        <v>926.7</v>
      </c>
      <c r="CG13" s="401">
        <v>44542</v>
      </c>
      <c r="CH13" s="93">
        <v>926.7</v>
      </c>
      <c r="CI13" s="404" t="s">
        <v>494</v>
      </c>
      <c r="CJ13" s="403">
        <v>36</v>
      </c>
      <c r="CK13" s="627">
        <f t="shared" si="13"/>
        <v>33361.200000000004</v>
      </c>
      <c r="CN13" s="95"/>
      <c r="CO13" s="15">
        <v>6</v>
      </c>
      <c r="CP13" s="93">
        <v>899.9</v>
      </c>
      <c r="CQ13" s="401">
        <v>44545</v>
      </c>
      <c r="CR13" s="93">
        <v>899.9</v>
      </c>
      <c r="CS13" s="404" t="s">
        <v>524</v>
      </c>
      <c r="CT13" s="403">
        <v>38</v>
      </c>
      <c r="CU13" s="635">
        <f t="shared" si="48"/>
        <v>34196.199999999997</v>
      </c>
      <c r="CX13" s="108"/>
      <c r="CY13" s="15">
        <v>6</v>
      </c>
      <c r="CZ13" s="93">
        <v>869.5</v>
      </c>
      <c r="DA13" s="341">
        <v>44544</v>
      </c>
      <c r="DB13" s="93">
        <v>869.5</v>
      </c>
      <c r="DC13" s="96" t="s">
        <v>517</v>
      </c>
      <c r="DD13" s="72">
        <v>38</v>
      </c>
      <c r="DE13" s="627">
        <f t="shared" si="14"/>
        <v>33041</v>
      </c>
      <c r="DH13" s="108"/>
      <c r="DI13" s="15">
        <v>6</v>
      </c>
      <c r="DJ13" s="93">
        <v>898.1</v>
      </c>
      <c r="DK13" s="401">
        <v>44544</v>
      </c>
      <c r="DL13" s="93">
        <v>898.1</v>
      </c>
      <c r="DM13" s="404" t="s">
        <v>476</v>
      </c>
      <c r="DN13" s="403">
        <v>38</v>
      </c>
      <c r="DO13" s="635">
        <f t="shared" si="15"/>
        <v>34127.800000000003</v>
      </c>
      <c r="DR13" s="108"/>
      <c r="DS13" s="15">
        <v>6</v>
      </c>
      <c r="DT13" s="93">
        <v>937.12</v>
      </c>
      <c r="DU13" s="401">
        <v>44545</v>
      </c>
      <c r="DV13" s="93">
        <v>937.12</v>
      </c>
      <c r="DW13" s="404" t="s">
        <v>477</v>
      </c>
      <c r="DX13" s="403">
        <v>38</v>
      </c>
      <c r="DY13" s="627">
        <f t="shared" si="16"/>
        <v>35610.559999999998</v>
      </c>
      <c r="EB13" s="108"/>
      <c r="EC13" s="15">
        <v>6</v>
      </c>
      <c r="ED13" s="70">
        <v>894.9</v>
      </c>
      <c r="EE13" s="357">
        <v>44546</v>
      </c>
      <c r="EF13" s="70">
        <v>894.9</v>
      </c>
      <c r="EG13" s="71" t="s">
        <v>533</v>
      </c>
      <c r="EH13" s="72">
        <v>38</v>
      </c>
      <c r="EI13" s="627">
        <f t="shared" si="17"/>
        <v>34006.199999999997</v>
      </c>
      <c r="EL13" s="452"/>
      <c r="EM13" s="15">
        <v>6</v>
      </c>
      <c r="EN13" s="292">
        <v>865.9</v>
      </c>
      <c r="EO13" s="346">
        <v>44546</v>
      </c>
      <c r="EP13" s="292">
        <v>865.9</v>
      </c>
      <c r="EQ13" s="278" t="s">
        <v>530</v>
      </c>
      <c r="ER13" s="279">
        <v>38</v>
      </c>
      <c r="ES13" s="627">
        <f t="shared" si="18"/>
        <v>32904.199999999997</v>
      </c>
      <c r="EV13" s="108"/>
      <c r="EW13" s="15">
        <v>6</v>
      </c>
      <c r="EX13" s="70">
        <v>876.8</v>
      </c>
      <c r="EY13" s="357">
        <v>44548</v>
      </c>
      <c r="EZ13" s="70">
        <v>876.8</v>
      </c>
      <c r="FA13" s="278" t="s">
        <v>541</v>
      </c>
      <c r="FB13" s="72">
        <v>38</v>
      </c>
      <c r="FC13" s="338">
        <f t="shared" si="19"/>
        <v>33318.400000000001</v>
      </c>
      <c r="FF13" s="452"/>
      <c r="FG13" s="15">
        <v>6</v>
      </c>
      <c r="FH13" s="292">
        <v>910.4</v>
      </c>
      <c r="FI13" s="346">
        <v>44548</v>
      </c>
      <c r="FJ13" s="292">
        <v>910.4</v>
      </c>
      <c r="FK13" s="278" t="s">
        <v>539</v>
      </c>
      <c r="FL13" s="279">
        <v>38</v>
      </c>
      <c r="FM13" s="627">
        <f t="shared" si="20"/>
        <v>34595.199999999997</v>
      </c>
      <c r="FP13" s="108"/>
      <c r="FQ13" s="15">
        <v>6</v>
      </c>
      <c r="FR13" s="93">
        <v>935.8</v>
      </c>
      <c r="FS13" s="341">
        <v>44548</v>
      </c>
      <c r="FT13" s="93">
        <v>935.8</v>
      </c>
      <c r="FU13" s="71" t="s">
        <v>544</v>
      </c>
      <c r="FV13" s="72">
        <v>38</v>
      </c>
      <c r="FW13" s="627">
        <f t="shared" si="21"/>
        <v>35560.400000000001</v>
      </c>
      <c r="FZ13" s="108"/>
      <c r="GA13" s="15">
        <v>6</v>
      </c>
      <c r="GB13" s="70">
        <v>881.3</v>
      </c>
      <c r="GC13" s="545">
        <v>44551</v>
      </c>
      <c r="GD13" s="70">
        <v>881.3</v>
      </c>
      <c r="GE13" s="278" t="s">
        <v>564</v>
      </c>
      <c r="GF13" s="279">
        <v>39</v>
      </c>
      <c r="GG13" s="338">
        <f t="shared" si="22"/>
        <v>34370.699999999997</v>
      </c>
      <c r="GJ13" s="108"/>
      <c r="GK13" s="15">
        <v>6</v>
      </c>
      <c r="GL13" s="523">
        <v>931.7</v>
      </c>
      <c r="GM13" s="341">
        <v>44551</v>
      </c>
      <c r="GN13" s="523">
        <v>931.7</v>
      </c>
      <c r="GO13" s="96" t="s">
        <v>567</v>
      </c>
      <c r="GP13" s="72">
        <v>39</v>
      </c>
      <c r="GQ13" s="627">
        <f t="shared" si="23"/>
        <v>36336.300000000003</v>
      </c>
      <c r="GT13" s="108"/>
      <c r="GU13" s="15">
        <v>6</v>
      </c>
      <c r="GV13" s="292">
        <v>865.9</v>
      </c>
      <c r="GW13" s="346">
        <v>44551</v>
      </c>
      <c r="GX13" s="292">
        <v>865.9</v>
      </c>
      <c r="GY13" s="334" t="s">
        <v>568</v>
      </c>
      <c r="GZ13" s="279">
        <v>39</v>
      </c>
      <c r="HA13" s="627">
        <f t="shared" si="24"/>
        <v>33770.1</v>
      </c>
      <c r="HD13" s="108"/>
      <c r="HE13" s="15">
        <v>6</v>
      </c>
      <c r="HF13" s="93">
        <v>915.8</v>
      </c>
      <c r="HG13" s="341">
        <v>44552</v>
      </c>
      <c r="HH13" s="93">
        <v>915.8</v>
      </c>
      <c r="HI13" s="96" t="s">
        <v>581</v>
      </c>
      <c r="HJ13" s="72">
        <v>41</v>
      </c>
      <c r="HK13" s="627">
        <f t="shared" si="25"/>
        <v>37547.799999999996</v>
      </c>
      <c r="HN13" s="108"/>
      <c r="HO13" s="15">
        <v>6</v>
      </c>
      <c r="HP13" s="292">
        <v>928.95</v>
      </c>
      <c r="HQ13" s="346">
        <v>44552</v>
      </c>
      <c r="HR13" s="292">
        <v>928.95</v>
      </c>
      <c r="HS13" s="406" t="s">
        <v>578</v>
      </c>
      <c r="HT13" s="279">
        <v>41</v>
      </c>
      <c r="HU13" s="627">
        <f t="shared" si="26"/>
        <v>38086.950000000004</v>
      </c>
      <c r="HX13" s="108"/>
      <c r="HY13" s="15">
        <v>6</v>
      </c>
      <c r="HZ13" s="70">
        <v>941.2</v>
      </c>
      <c r="IA13" s="357">
        <v>44553</v>
      </c>
      <c r="IB13" s="70">
        <v>941.2</v>
      </c>
      <c r="IC13" s="71" t="s">
        <v>591</v>
      </c>
      <c r="ID13" s="72">
        <v>42</v>
      </c>
      <c r="IE13" s="627">
        <f t="shared" si="27"/>
        <v>39530.400000000001</v>
      </c>
      <c r="IH13" s="108"/>
      <c r="II13" s="15">
        <v>6</v>
      </c>
      <c r="IJ13" s="70">
        <v>934.85</v>
      </c>
      <c r="IK13" s="357">
        <v>44553</v>
      </c>
      <c r="IL13" s="70">
        <v>934.85</v>
      </c>
      <c r="IM13" s="71" t="s">
        <v>598</v>
      </c>
      <c r="IN13" s="72">
        <v>41</v>
      </c>
      <c r="IO13" s="627">
        <f t="shared" si="28"/>
        <v>38328.85</v>
      </c>
      <c r="IQ13" s="884"/>
      <c r="IR13" s="108"/>
      <c r="IS13" s="15">
        <v>6</v>
      </c>
      <c r="IT13" s="292">
        <v>878.6</v>
      </c>
      <c r="IU13" s="258">
        <v>44554</v>
      </c>
      <c r="IV13" s="292">
        <v>878.6</v>
      </c>
      <c r="IW13" s="552" t="s">
        <v>610</v>
      </c>
      <c r="IX13" s="279">
        <v>41</v>
      </c>
      <c r="IY13" s="338">
        <f t="shared" si="29"/>
        <v>36022.6</v>
      </c>
      <c r="IZ13" s="93"/>
      <c r="JA13" s="70"/>
      <c r="JB13" s="108"/>
      <c r="JC13" s="15">
        <v>6</v>
      </c>
      <c r="JD13" s="93">
        <v>879.1</v>
      </c>
      <c r="JE13" s="357">
        <v>44554</v>
      </c>
      <c r="JF13" s="93">
        <v>879.1</v>
      </c>
      <c r="JG13" s="71" t="s">
        <v>612</v>
      </c>
      <c r="JH13" s="72">
        <v>41</v>
      </c>
      <c r="JI13" s="627">
        <f t="shared" si="30"/>
        <v>36043.1</v>
      </c>
      <c r="JJ13" s="70"/>
      <c r="JL13" s="108"/>
      <c r="JM13" s="15">
        <v>6</v>
      </c>
      <c r="JN13" s="93">
        <v>935.8</v>
      </c>
      <c r="JO13" s="341">
        <v>44554</v>
      </c>
      <c r="JP13" s="93">
        <v>935.8</v>
      </c>
      <c r="JQ13" s="71" t="s">
        <v>603</v>
      </c>
      <c r="JR13" s="72">
        <v>41</v>
      </c>
      <c r="JS13" s="627">
        <f t="shared" si="31"/>
        <v>38367.799999999996</v>
      </c>
      <c r="JV13" s="108"/>
      <c r="JW13" s="15">
        <v>6</v>
      </c>
      <c r="JX13" s="70">
        <v>875</v>
      </c>
      <c r="JY13" s="357">
        <v>44554</v>
      </c>
      <c r="JZ13" s="70">
        <v>875</v>
      </c>
      <c r="KA13" s="71" t="s">
        <v>608</v>
      </c>
      <c r="KB13" s="72">
        <v>41</v>
      </c>
      <c r="KC13" s="627">
        <f t="shared" si="32"/>
        <v>35875</v>
      </c>
      <c r="KF13" s="108"/>
      <c r="KG13" s="15">
        <v>6</v>
      </c>
      <c r="KH13" s="70">
        <v>891.8</v>
      </c>
      <c r="KI13" s="357">
        <v>44556</v>
      </c>
      <c r="KJ13" s="70">
        <v>891.8</v>
      </c>
      <c r="KK13" s="71" t="s">
        <v>619</v>
      </c>
      <c r="KL13" s="72">
        <v>41</v>
      </c>
      <c r="KM13" s="627">
        <f t="shared" si="33"/>
        <v>36563.799999999996</v>
      </c>
      <c r="KP13" s="108"/>
      <c r="KQ13" s="15">
        <v>6</v>
      </c>
      <c r="KR13" s="70">
        <v>914.9</v>
      </c>
      <c r="KS13" s="357">
        <v>44558</v>
      </c>
      <c r="KT13" s="70">
        <v>914.9</v>
      </c>
      <c r="KU13" s="71" t="s">
        <v>637</v>
      </c>
      <c r="KV13" s="72">
        <v>42</v>
      </c>
      <c r="KW13" s="627">
        <f t="shared" si="34"/>
        <v>38425.799999999996</v>
      </c>
      <c r="KZ13" s="108"/>
      <c r="LA13" s="15">
        <v>6</v>
      </c>
      <c r="LB13" s="93">
        <v>927.59</v>
      </c>
      <c r="LC13" s="341">
        <v>44558</v>
      </c>
      <c r="LD13" s="93">
        <v>927.59</v>
      </c>
      <c r="LE13" s="96" t="s">
        <v>643</v>
      </c>
      <c r="LF13" s="72">
        <v>42</v>
      </c>
      <c r="LG13" s="627">
        <f t="shared" si="35"/>
        <v>38958.78</v>
      </c>
      <c r="LJ13" s="108"/>
      <c r="LK13" s="15">
        <v>6</v>
      </c>
      <c r="LL13" s="93">
        <v>923.96</v>
      </c>
      <c r="LM13" s="341">
        <v>44559</v>
      </c>
      <c r="LN13" s="93">
        <v>923.96</v>
      </c>
      <c r="LO13" s="96" t="s">
        <v>652</v>
      </c>
      <c r="LP13" s="72">
        <v>42</v>
      </c>
      <c r="LQ13" s="627">
        <f t="shared" si="36"/>
        <v>38806.32</v>
      </c>
      <c r="LT13" s="108"/>
      <c r="LU13" s="15">
        <v>6</v>
      </c>
      <c r="LV13" s="93">
        <v>915.8</v>
      </c>
      <c r="LW13" s="341">
        <v>44559</v>
      </c>
      <c r="LX13" s="93">
        <v>915.8</v>
      </c>
      <c r="LY13" s="96" t="s">
        <v>650</v>
      </c>
      <c r="LZ13" s="72">
        <v>42</v>
      </c>
      <c r="MA13" s="627">
        <f t="shared" si="37"/>
        <v>38463.599999999999</v>
      </c>
      <c r="MB13" s="627"/>
      <c r="MD13" s="108"/>
      <c r="ME13" s="15">
        <v>6</v>
      </c>
      <c r="MF13" s="412">
        <v>921.7</v>
      </c>
      <c r="MG13" s="341">
        <v>44560</v>
      </c>
      <c r="MH13" s="412">
        <v>921.7</v>
      </c>
      <c r="MI13" s="96" t="s">
        <v>660</v>
      </c>
      <c r="MJ13" s="72">
        <v>43</v>
      </c>
      <c r="MK13" s="72">
        <f t="shared" si="38"/>
        <v>39633.1</v>
      </c>
      <c r="MN13" s="108"/>
      <c r="MO13" s="15">
        <v>6</v>
      </c>
      <c r="MP13" s="93">
        <v>916.73</v>
      </c>
      <c r="MQ13" s="341">
        <v>44560</v>
      </c>
      <c r="MR13" s="93">
        <v>916.73</v>
      </c>
      <c r="MS13" s="96" t="s">
        <v>665</v>
      </c>
      <c r="MT13" s="72">
        <v>43</v>
      </c>
      <c r="MU13" s="72">
        <f t="shared" si="39"/>
        <v>39419.39</v>
      </c>
      <c r="MX13" s="108"/>
      <c r="MY13" s="15">
        <v>6</v>
      </c>
      <c r="MZ13" s="93">
        <v>894.9</v>
      </c>
      <c r="NA13" s="341">
        <v>44561</v>
      </c>
      <c r="NB13" s="93">
        <v>894.9</v>
      </c>
      <c r="NC13" s="96" t="s">
        <v>672</v>
      </c>
      <c r="ND13" s="72">
        <v>40</v>
      </c>
      <c r="NE13" s="72">
        <f t="shared" si="40"/>
        <v>35796</v>
      </c>
      <c r="NH13" s="108"/>
      <c r="NI13" s="15">
        <v>6</v>
      </c>
      <c r="NJ13" s="93">
        <v>907.2</v>
      </c>
      <c r="NK13" s="341"/>
      <c r="NL13" s="93"/>
      <c r="NM13" s="96"/>
      <c r="NN13" s="72"/>
      <c r="NO13" s="72">
        <f t="shared" si="41"/>
        <v>0</v>
      </c>
      <c r="NR13" s="108"/>
      <c r="NS13" s="15">
        <v>6</v>
      </c>
      <c r="NT13" s="93">
        <v>920.3</v>
      </c>
      <c r="NU13" s="341">
        <v>44563</v>
      </c>
      <c r="NV13" s="93">
        <v>920.3</v>
      </c>
      <c r="NW13" s="96" t="s">
        <v>681</v>
      </c>
      <c r="NX13" s="72">
        <v>34</v>
      </c>
      <c r="NY13" s="72">
        <f t="shared" si="42"/>
        <v>31290.199999999997</v>
      </c>
      <c r="OB13" s="108"/>
      <c r="OC13" s="15">
        <v>6</v>
      </c>
      <c r="OD13" s="93"/>
      <c r="OE13" s="341"/>
      <c r="OF13" s="93"/>
      <c r="OG13" s="96"/>
      <c r="OH13" s="72"/>
      <c r="OI13" s="72">
        <f t="shared" si="43"/>
        <v>0</v>
      </c>
      <c r="OL13" s="108"/>
      <c r="OM13" s="15">
        <v>6</v>
      </c>
      <c r="ON13" s="93"/>
      <c r="OO13" s="341"/>
      <c r="OP13" s="93"/>
      <c r="OQ13" s="96"/>
      <c r="OR13" s="72"/>
      <c r="OS13" s="72">
        <f t="shared" si="44"/>
        <v>0</v>
      </c>
      <c r="OV13" s="108"/>
      <c r="OW13" s="15">
        <v>6</v>
      </c>
      <c r="OX13" s="292"/>
      <c r="OY13" s="346"/>
      <c r="OZ13" s="292"/>
      <c r="PA13" s="334"/>
      <c r="PB13" s="279"/>
      <c r="PC13" s="279">
        <f t="shared" si="45"/>
        <v>0</v>
      </c>
      <c r="PF13" s="95"/>
      <c r="PG13" s="15">
        <v>6</v>
      </c>
      <c r="PH13" s="93"/>
      <c r="PI13" s="341"/>
      <c r="PJ13" s="93"/>
      <c r="PK13" s="96"/>
      <c r="PL13" s="72"/>
      <c r="PM13" s="72">
        <f t="shared" si="46"/>
        <v>0</v>
      </c>
      <c r="PP13" s="108"/>
      <c r="PQ13" s="15">
        <v>6</v>
      </c>
      <c r="PR13" s="93"/>
      <c r="PS13" s="341"/>
      <c r="PT13" s="93"/>
      <c r="PU13" s="96"/>
      <c r="PV13" s="72"/>
      <c r="PY13" s="108"/>
      <c r="PZ13" s="15">
        <v>6</v>
      </c>
      <c r="QA13" s="93"/>
      <c r="QB13" s="141"/>
      <c r="QC13" s="93"/>
      <c r="QD13" s="96"/>
      <c r="QE13" s="72"/>
      <c r="QH13" s="108"/>
      <c r="QI13" s="15">
        <v>6</v>
      </c>
      <c r="QJ13" s="93"/>
      <c r="QK13" s="341"/>
      <c r="QL13" s="93"/>
      <c r="QM13" s="96"/>
      <c r="QN13" s="72"/>
      <c r="QQ13" s="108"/>
      <c r="QR13" s="15">
        <v>6</v>
      </c>
      <c r="QS13" s="93"/>
      <c r="QT13" s="341"/>
      <c r="QU13" s="93"/>
      <c r="QV13" s="96"/>
      <c r="QW13" s="72"/>
      <c r="QZ13" s="108"/>
      <c r="RA13" s="15">
        <v>6</v>
      </c>
      <c r="RB13" s="93"/>
      <c r="RC13" s="341"/>
      <c r="RD13" s="93"/>
      <c r="RE13" s="96"/>
      <c r="RF13" s="72"/>
      <c r="RI13" s="95"/>
      <c r="RJ13" s="15">
        <v>6</v>
      </c>
      <c r="RK13" s="93"/>
      <c r="RL13" s="341"/>
      <c r="RM13" s="93"/>
      <c r="RN13" s="96"/>
      <c r="RO13" s="72"/>
      <c r="RR13" s="108"/>
      <c r="RS13" s="15">
        <v>6</v>
      </c>
      <c r="RT13" s="93"/>
      <c r="RU13" s="141"/>
      <c r="RV13" s="93"/>
      <c r="RW13" s="96"/>
      <c r="RX13" s="72"/>
      <c r="SA13" s="108"/>
      <c r="SB13" s="15">
        <v>6</v>
      </c>
      <c r="SC13" s="93"/>
      <c r="SD13" s="80"/>
      <c r="SE13" s="93"/>
      <c r="SF13" s="96"/>
      <c r="SG13" s="72"/>
      <c r="SJ13" s="108"/>
      <c r="SK13" s="15">
        <v>6</v>
      </c>
      <c r="SL13" s="93"/>
      <c r="SM13" s="80"/>
      <c r="SN13" s="93"/>
      <c r="SO13" s="96"/>
      <c r="SP13" s="72"/>
      <c r="SS13" s="108"/>
      <c r="ST13" s="15"/>
      <c r="SU13" s="93"/>
      <c r="SV13" s="80"/>
      <c r="SW13" s="93"/>
      <c r="SX13" s="96"/>
      <c r="SY13" s="72"/>
      <c r="TB13" s="108"/>
      <c r="TC13" s="15">
        <v>6</v>
      </c>
      <c r="TD13" s="93"/>
      <c r="TE13" s="411"/>
      <c r="TF13" s="189"/>
      <c r="TG13" s="404"/>
      <c r="TH13" s="403"/>
      <c r="TK13" s="108"/>
      <c r="TL13" s="15">
        <v>6</v>
      </c>
      <c r="TM13" s="93"/>
      <c r="TN13" s="80"/>
      <c r="TO13" s="93"/>
      <c r="TP13" s="96"/>
      <c r="TQ13" s="72"/>
      <c r="TT13" s="108"/>
      <c r="TU13" s="15">
        <v>6</v>
      </c>
      <c r="TV13" s="93"/>
      <c r="TW13" s="80"/>
      <c r="TX13" s="93"/>
      <c r="TY13" s="96"/>
      <c r="TZ13" s="72"/>
      <c r="UC13" s="108"/>
      <c r="UD13" s="15">
        <v>6</v>
      </c>
      <c r="UE13" s="93"/>
      <c r="UF13" s="80"/>
      <c r="UG13" s="93"/>
      <c r="UH13" s="96"/>
      <c r="UI13" s="72"/>
      <c r="UL13" s="108"/>
      <c r="UM13" s="15">
        <v>6</v>
      </c>
      <c r="UN13" s="93"/>
      <c r="UO13" s="80"/>
      <c r="UP13" s="93"/>
      <c r="UQ13" s="96"/>
      <c r="UR13" s="72"/>
      <c r="UU13" s="108"/>
      <c r="UV13" s="15">
        <v>6</v>
      </c>
      <c r="UW13" s="93"/>
      <c r="UX13" s="80"/>
      <c r="UY13" s="93"/>
      <c r="UZ13" s="96"/>
      <c r="VA13" s="72"/>
      <c r="VD13" s="108"/>
      <c r="VE13" s="15">
        <v>6</v>
      </c>
      <c r="VF13" s="93"/>
      <c r="VG13" s="80"/>
      <c r="VH13" s="93"/>
      <c r="VI13" s="96"/>
      <c r="VJ13" s="72"/>
      <c r="VM13" s="108"/>
      <c r="VN13" s="15">
        <v>6</v>
      </c>
      <c r="VO13" s="93"/>
      <c r="VP13" s="80"/>
      <c r="VQ13" s="93"/>
      <c r="VR13" s="96"/>
      <c r="VS13" s="72"/>
      <c r="VV13" s="108"/>
      <c r="VW13" s="15">
        <v>6</v>
      </c>
      <c r="VX13" s="93"/>
      <c r="VY13" s="80"/>
      <c r="VZ13" s="93"/>
      <c r="WA13" s="96"/>
      <c r="WB13" s="72"/>
      <c r="WE13" s="108"/>
      <c r="WF13" s="15">
        <v>6</v>
      </c>
      <c r="WG13" s="93"/>
      <c r="WH13" s="80"/>
      <c r="WI13" s="93"/>
      <c r="WJ13" s="96"/>
      <c r="WK13" s="72"/>
      <c r="WN13" s="108"/>
      <c r="WO13" s="15">
        <v>6</v>
      </c>
      <c r="WP13" s="93"/>
      <c r="WQ13" s="80"/>
      <c r="WR13" s="93"/>
      <c r="WS13" s="96"/>
      <c r="WT13" s="72"/>
      <c r="WW13" s="108"/>
      <c r="WX13" s="15">
        <v>6</v>
      </c>
      <c r="WY13" s="93"/>
      <c r="WZ13" s="80"/>
      <c r="XA13" s="93"/>
      <c r="XB13" s="96"/>
      <c r="XC13" s="72"/>
      <c r="XF13" s="108"/>
      <c r="XG13" s="15">
        <v>6</v>
      </c>
      <c r="XH13" s="93"/>
      <c r="XI13" s="80"/>
      <c r="XJ13" s="93"/>
      <c r="XK13" s="96"/>
      <c r="XL13" s="72"/>
      <c r="XO13" s="108"/>
      <c r="XP13" s="15">
        <v>6</v>
      </c>
      <c r="XQ13" s="93"/>
      <c r="XR13" s="80"/>
      <c r="XS13" s="93"/>
      <c r="XT13" s="96"/>
      <c r="XU13" s="72"/>
      <c r="XX13" s="108"/>
      <c r="XY13" s="15">
        <v>6</v>
      </c>
      <c r="XZ13" s="93"/>
      <c r="YA13" s="80"/>
      <c r="YB13" s="93"/>
      <c r="YC13" s="96"/>
      <c r="YD13" s="72"/>
      <c r="YG13" s="108"/>
      <c r="YH13" s="15">
        <v>6</v>
      </c>
      <c r="YI13" s="93"/>
      <c r="YJ13" s="80"/>
      <c r="YK13" s="93"/>
      <c r="YL13" s="96"/>
      <c r="YM13" s="72"/>
      <c r="YP13" s="108"/>
      <c r="YQ13" s="15">
        <v>6</v>
      </c>
      <c r="YR13" s="93"/>
      <c r="YS13" s="80"/>
      <c r="YT13" s="93"/>
      <c r="YU13" s="96"/>
      <c r="YV13" s="72"/>
      <c r="YY13" s="108"/>
      <c r="YZ13" s="15">
        <v>6</v>
      </c>
      <c r="ZA13" s="93"/>
      <c r="ZB13" s="80"/>
      <c r="ZC13" s="93"/>
      <c r="ZD13" s="96"/>
      <c r="ZE13" s="72"/>
      <c r="ZH13" s="108"/>
      <c r="ZI13" s="15">
        <v>6</v>
      </c>
      <c r="ZJ13" s="93"/>
      <c r="ZK13" s="80"/>
      <c r="ZL13" s="93"/>
      <c r="ZM13" s="96"/>
      <c r="ZN13" s="72"/>
      <c r="ZQ13" s="108"/>
      <c r="ZR13" s="15">
        <v>6</v>
      </c>
      <c r="ZS13" s="93"/>
      <c r="ZT13" s="80"/>
      <c r="ZU13" s="93"/>
      <c r="ZV13" s="96"/>
      <c r="ZW13" s="72"/>
      <c r="ZZ13" s="108"/>
      <c r="AAA13" s="15">
        <v>6</v>
      </c>
      <c r="AAB13" s="93"/>
      <c r="AAC13" s="80"/>
      <c r="AAD13" s="93"/>
      <c r="AAE13" s="96"/>
      <c r="AAF13" s="72"/>
      <c r="AAI13" s="108"/>
      <c r="AAJ13" s="15">
        <v>6</v>
      </c>
      <c r="AAK13" s="93"/>
      <c r="AAL13" s="80"/>
      <c r="AAM13" s="93"/>
      <c r="AAN13" s="96"/>
      <c r="AAO13" s="72"/>
      <c r="AAR13" s="108"/>
      <c r="AAS13" s="15">
        <v>6</v>
      </c>
      <c r="AAT13" s="93"/>
      <c r="AAU13" s="80"/>
      <c r="AAV13" s="93"/>
      <c r="AAW13" s="96"/>
      <c r="AAX13" s="72"/>
      <c r="ABA13" s="108"/>
      <c r="ABB13" s="15">
        <v>6</v>
      </c>
      <c r="ABC13" s="93"/>
      <c r="ABD13" s="80"/>
      <c r="ABE13" s="93"/>
      <c r="ABF13" s="96"/>
      <c r="ABG13" s="72"/>
      <c r="ABJ13" s="108"/>
      <c r="ABK13" s="15">
        <v>6</v>
      </c>
      <c r="ABL13" s="93"/>
      <c r="ABM13" s="80"/>
      <c r="ABN13" s="93"/>
      <c r="ABO13" s="96"/>
      <c r="ABP13" s="72"/>
      <c r="ABS13" s="108"/>
      <c r="ABT13" s="15">
        <v>6</v>
      </c>
      <c r="ABU13" s="93"/>
      <c r="ABV13" s="80"/>
      <c r="ABW13" s="93"/>
      <c r="ABX13" s="96"/>
      <c r="ABY13" s="72"/>
      <c r="ACB13" s="108"/>
      <c r="ACC13" s="15">
        <v>6</v>
      </c>
      <c r="ACD13" s="93"/>
      <c r="ACE13" s="80"/>
      <c r="ACF13" s="93"/>
      <c r="ACG13" s="96"/>
      <c r="ACH13" s="72"/>
      <c r="ACK13" s="108"/>
      <c r="ACL13" s="15">
        <v>6</v>
      </c>
      <c r="ACM13" s="93"/>
      <c r="ACN13" s="80"/>
      <c r="ACO13" s="93"/>
      <c r="ACP13" s="96"/>
      <c r="ACQ13" s="72"/>
      <c r="ACT13" s="108"/>
      <c r="ACU13" s="15">
        <v>6</v>
      </c>
      <c r="ACV13" s="93"/>
      <c r="ACW13" s="80"/>
      <c r="ACX13" s="93"/>
      <c r="ACY13" s="96"/>
      <c r="ACZ13" s="72"/>
      <c r="ADC13" s="108"/>
      <c r="ADD13" s="15">
        <v>6</v>
      </c>
      <c r="ADE13" s="93"/>
      <c r="ADF13" s="80"/>
      <c r="ADG13" s="93"/>
      <c r="ADH13" s="96"/>
      <c r="ADI13" s="72"/>
      <c r="ADL13" s="108"/>
      <c r="ADM13" s="15">
        <v>6</v>
      </c>
      <c r="ADN13" s="93"/>
      <c r="ADO13" s="80"/>
      <c r="ADP13" s="93"/>
      <c r="ADQ13" s="96"/>
      <c r="ADR13" s="72"/>
      <c r="ADU13" s="108"/>
      <c r="ADV13" s="15">
        <v>6</v>
      </c>
      <c r="ADW13" s="93"/>
      <c r="ADX13" s="80"/>
      <c r="ADY13" s="93"/>
      <c r="ADZ13" s="96"/>
      <c r="AEA13" s="72"/>
      <c r="AED13" s="108"/>
      <c r="AEE13" s="15">
        <v>6</v>
      </c>
      <c r="AEF13" s="93"/>
      <c r="AEG13" s="80"/>
      <c r="AEH13" s="93"/>
      <c r="AEI13" s="96"/>
      <c r="AEJ13" s="72"/>
      <c r="AEM13" s="108"/>
      <c r="AEN13" s="15">
        <v>6</v>
      </c>
      <c r="AEO13" s="93"/>
      <c r="AEP13" s="80"/>
      <c r="AEQ13" s="93"/>
      <c r="AER13" s="96"/>
      <c r="AES13" s="72"/>
    </row>
    <row r="14" spans="1:825" ht="16.5" thickBot="1" x14ac:dyDescent="0.3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74887470</v>
      </c>
      <c r="E14" s="141">
        <f t="shared" si="52"/>
        <v>44544</v>
      </c>
      <c r="F14" s="87">
        <f t="shared" si="52"/>
        <v>18879.93</v>
      </c>
      <c r="G14" s="74">
        <f t="shared" si="52"/>
        <v>21</v>
      </c>
      <c r="H14" s="48">
        <f t="shared" si="52"/>
        <v>18878.400000000001</v>
      </c>
      <c r="I14" s="107">
        <f t="shared" si="52"/>
        <v>1.5299999999988358</v>
      </c>
      <c r="L14" s="108"/>
      <c r="M14" s="15">
        <v>7</v>
      </c>
      <c r="N14" s="93">
        <v>899.5</v>
      </c>
      <c r="O14" s="341">
        <v>44537</v>
      </c>
      <c r="P14" s="93">
        <v>899.5</v>
      </c>
      <c r="Q14" s="96" t="s">
        <v>454</v>
      </c>
      <c r="R14" s="72">
        <v>37</v>
      </c>
      <c r="S14" s="627">
        <f t="shared" si="6"/>
        <v>33281.5</v>
      </c>
      <c r="T14" s="255"/>
      <c r="V14" s="108"/>
      <c r="W14" s="15">
        <v>7</v>
      </c>
      <c r="X14" s="292">
        <v>894</v>
      </c>
      <c r="Y14" s="346">
        <v>44538</v>
      </c>
      <c r="Z14" s="292">
        <v>894</v>
      </c>
      <c r="AA14" s="406" t="s">
        <v>468</v>
      </c>
      <c r="AB14" s="279">
        <v>37</v>
      </c>
      <c r="AC14" s="338">
        <f t="shared" si="7"/>
        <v>33078</v>
      </c>
      <c r="AF14" s="108"/>
      <c r="AG14" s="15">
        <v>7</v>
      </c>
      <c r="AH14" s="93">
        <v>904.5</v>
      </c>
      <c r="AI14" s="341">
        <v>44537</v>
      </c>
      <c r="AJ14" s="93">
        <v>904.5</v>
      </c>
      <c r="AK14" s="96" t="s">
        <v>457</v>
      </c>
      <c r="AL14" s="72">
        <v>37</v>
      </c>
      <c r="AM14" s="630">
        <f t="shared" si="8"/>
        <v>33466.5</v>
      </c>
      <c r="AP14" s="108"/>
      <c r="AQ14" s="15">
        <v>7</v>
      </c>
      <c r="AR14" s="335">
        <v>921.24</v>
      </c>
      <c r="AS14" s="346">
        <v>44538</v>
      </c>
      <c r="AT14" s="335">
        <v>921.24</v>
      </c>
      <c r="AU14" s="334" t="s">
        <v>481</v>
      </c>
      <c r="AV14" s="279">
        <v>37</v>
      </c>
      <c r="AW14" s="338">
        <f t="shared" si="9"/>
        <v>34085.879999999997</v>
      </c>
      <c r="AZ14" s="108"/>
      <c r="BA14" s="15">
        <v>7</v>
      </c>
      <c r="BB14" s="93">
        <v>904.46</v>
      </c>
      <c r="BC14" s="141">
        <v>44539</v>
      </c>
      <c r="BD14" s="93">
        <v>904.46</v>
      </c>
      <c r="BE14" s="96" t="s">
        <v>492</v>
      </c>
      <c r="BF14" s="400">
        <v>36</v>
      </c>
      <c r="BG14" s="646">
        <f t="shared" si="10"/>
        <v>32560.560000000001</v>
      </c>
      <c r="BJ14" s="108"/>
      <c r="BK14" s="15">
        <v>7</v>
      </c>
      <c r="BL14" s="93">
        <v>926.7</v>
      </c>
      <c r="BM14" s="141">
        <v>44540</v>
      </c>
      <c r="BN14" s="93">
        <v>926.7</v>
      </c>
      <c r="BO14" s="96" t="s">
        <v>501</v>
      </c>
      <c r="BP14" s="400">
        <v>36</v>
      </c>
      <c r="BQ14" s="857">
        <f t="shared" si="11"/>
        <v>33361.200000000004</v>
      </c>
      <c r="BT14" s="108"/>
      <c r="BU14" s="276">
        <v>7</v>
      </c>
      <c r="BV14" s="292">
        <v>916.7</v>
      </c>
      <c r="BW14" s="401">
        <v>44541</v>
      </c>
      <c r="BX14" s="292">
        <v>916.7</v>
      </c>
      <c r="BY14" s="402" t="s">
        <v>461</v>
      </c>
      <c r="BZ14" s="403">
        <v>36</v>
      </c>
      <c r="CA14" s="627">
        <f t="shared" si="12"/>
        <v>33001.200000000004</v>
      </c>
      <c r="CD14" s="909"/>
      <c r="CE14" s="15">
        <v>7</v>
      </c>
      <c r="CF14" s="93">
        <v>937.1</v>
      </c>
      <c r="CG14" s="401">
        <v>44542</v>
      </c>
      <c r="CH14" s="93">
        <v>937.1</v>
      </c>
      <c r="CI14" s="404" t="s">
        <v>512</v>
      </c>
      <c r="CJ14" s="403">
        <v>36</v>
      </c>
      <c r="CK14" s="627">
        <f t="shared" si="13"/>
        <v>33735.599999999999</v>
      </c>
      <c r="CN14" s="95"/>
      <c r="CO14" s="15">
        <v>7</v>
      </c>
      <c r="CP14" s="93">
        <v>899</v>
      </c>
      <c r="CQ14" s="401">
        <v>44545</v>
      </c>
      <c r="CR14" s="93">
        <v>899</v>
      </c>
      <c r="CS14" s="404" t="s">
        <v>524</v>
      </c>
      <c r="CT14" s="403">
        <v>38</v>
      </c>
      <c r="CU14" s="635">
        <f t="shared" si="48"/>
        <v>34162</v>
      </c>
      <c r="CX14" s="108"/>
      <c r="CY14" s="15">
        <v>7</v>
      </c>
      <c r="CZ14" s="93">
        <v>909.9</v>
      </c>
      <c r="DA14" s="341">
        <v>44544</v>
      </c>
      <c r="DB14" s="93">
        <v>909.9</v>
      </c>
      <c r="DC14" s="96" t="s">
        <v>517</v>
      </c>
      <c r="DD14" s="72">
        <v>38</v>
      </c>
      <c r="DE14" s="627">
        <f t="shared" si="14"/>
        <v>34576.199999999997</v>
      </c>
      <c r="DH14" s="108"/>
      <c r="DI14" s="15">
        <v>7</v>
      </c>
      <c r="DJ14" s="93">
        <v>923.5</v>
      </c>
      <c r="DK14" s="401">
        <v>44544</v>
      </c>
      <c r="DL14" s="93">
        <v>923.5</v>
      </c>
      <c r="DM14" s="404" t="s">
        <v>476</v>
      </c>
      <c r="DN14" s="403">
        <v>38</v>
      </c>
      <c r="DO14" s="635">
        <f t="shared" si="15"/>
        <v>35093</v>
      </c>
      <c r="DR14" s="108"/>
      <c r="DS14" s="15">
        <v>7</v>
      </c>
      <c r="DT14" s="93">
        <v>916.25</v>
      </c>
      <c r="DU14" s="401">
        <v>44545</v>
      </c>
      <c r="DV14" s="93">
        <v>916.25</v>
      </c>
      <c r="DW14" s="404" t="s">
        <v>477</v>
      </c>
      <c r="DX14" s="403">
        <v>38</v>
      </c>
      <c r="DY14" s="627">
        <f t="shared" si="16"/>
        <v>34817.5</v>
      </c>
      <c r="EB14" s="108"/>
      <c r="EC14" s="15">
        <v>7</v>
      </c>
      <c r="ED14" s="70">
        <v>878.6</v>
      </c>
      <c r="EE14" s="357">
        <v>44546</v>
      </c>
      <c r="EF14" s="70">
        <v>878.6</v>
      </c>
      <c r="EG14" s="71" t="s">
        <v>533</v>
      </c>
      <c r="EH14" s="72">
        <v>38</v>
      </c>
      <c r="EI14" s="627">
        <f t="shared" si="17"/>
        <v>33386.800000000003</v>
      </c>
      <c r="EL14" s="452"/>
      <c r="EM14" s="15">
        <v>7</v>
      </c>
      <c r="EN14" s="292">
        <v>914</v>
      </c>
      <c r="EO14" s="346">
        <v>44546</v>
      </c>
      <c r="EP14" s="292">
        <v>914</v>
      </c>
      <c r="EQ14" s="278" t="s">
        <v>530</v>
      </c>
      <c r="ER14" s="279">
        <v>38</v>
      </c>
      <c r="ES14" s="627">
        <f t="shared" si="18"/>
        <v>34732</v>
      </c>
      <c r="EV14" s="108"/>
      <c r="EW14" s="15">
        <v>7</v>
      </c>
      <c r="EX14" s="70">
        <v>905.8</v>
      </c>
      <c r="EY14" s="357">
        <v>44548</v>
      </c>
      <c r="EZ14" s="70">
        <v>905.8</v>
      </c>
      <c r="FA14" s="278" t="s">
        <v>541</v>
      </c>
      <c r="FB14" s="72">
        <v>38</v>
      </c>
      <c r="FC14" s="338">
        <f t="shared" si="19"/>
        <v>34420.400000000001</v>
      </c>
      <c r="FF14" s="452"/>
      <c r="FG14" s="15">
        <v>7</v>
      </c>
      <c r="FH14" s="292">
        <v>906.7</v>
      </c>
      <c r="FI14" s="346">
        <v>44548</v>
      </c>
      <c r="FJ14" s="292">
        <v>906.7</v>
      </c>
      <c r="FK14" s="278" t="s">
        <v>538</v>
      </c>
      <c r="FL14" s="279">
        <v>38</v>
      </c>
      <c r="FM14" s="627">
        <f t="shared" si="20"/>
        <v>34454.6</v>
      </c>
      <c r="FP14" s="108"/>
      <c r="FQ14" s="15">
        <v>7</v>
      </c>
      <c r="FR14" s="93">
        <v>916.7</v>
      </c>
      <c r="FS14" s="341">
        <v>44548</v>
      </c>
      <c r="FT14" s="93">
        <v>916.7</v>
      </c>
      <c r="FU14" s="71" t="s">
        <v>544</v>
      </c>
      <c r="FV14" s="72">
        <v>38</v>
      </c>
      <c r="FW14" s="627">
        <f t="shared" si="21"/>
        <v>34834.6</v>
      </c>
      <c r="FZ14" s="108"/>
      <c r="GA14" s="15">
        <v>7</v>
      </c>
      <c r="GB14" s="70">
        <v>873.6</v>
      </c>
      <c r="GC14" s="545">
        <v>44551</v>
      </c>
      <c r="GD14" s="70">
        <v>873.6</v>
      </c>
      <c r="GE14" s="278" t="s">
        <v>564</v>
      </c>
      <c r="GF14" s="279">
        <v>39</v>
      </c>
      <c r="GG14" s="338">
        <f t="shared" si="22"/>
        <v>34070.400000000001</v>
      </c>
      <c r="GJ14" s="108"/>
      <c r="GK14" s="15">
        <v>7</v>
      </c>
      <c r="GL14" s="523">
        <v>928.5</v>
      </c>
      <c r="GM14" s="341">
        <v>44551</v>
      </c>
      <c r="GN14" s="523">
        <v>928.5</v>
      </c>
      <c r="GO14" s="96" t="s">
        <v>566</v>
      </c>
      <c r="GP14" s="72">
        <v>39</v>
      </c>
      <c r="GQ14" s="627">
        <f t="shared" si="23"/>
        <v>36211.5</v>
      </c>
      <c r="GT14" s="108"/>
      <c r="GU14" s="15">
        <v>7</v>
      </c>
      <c r="GV14" s="292">
        <v>885</v>
      </c>
      <c r="GW14" s="346">
        <v>44551</v>
      </c>
      <c r="GX14" s="292">
        <v>885</v>
      </c>
      <c r="GY14" s="334" t="s">
        <v>568</v>
      </c>
      <c r="GZ14" s="279">
        <v>39</v>
      </c>
      <c r="HA14" s="627">
        <f t="shared" si="24"/>
        <v>34515</v>
      </c>
      <c r="HD14" s="108"/>
      <c r="HE14" s="15">
        <v>7</v>
      </c>
      <c r="HF14" s="93">
        <v>866.4</v>
      </c>
      <c r="HG14" s="341">
        <v>44552</v>
      </c>
      <c r="HH14" s="93">
        <v>866.4</v>
      </c>
      <c r="HI14" s="96" t="s">
        <v>581</v>
      </c>
      <c r="HJ14" s="72">
        <v>41</v>
      </c>
      <c r="HK14" s="627">
        <f t="shared" si="25"/>
        <v>35522.400000000001</v>
      </c>
      <c r="HN14" s="108"/>
      <c r="HO14" s="15">
        <v>7</v>
      </c>
      <c r="HP14" s="292">
        <v>919.8</v>
      </c>
      <c r="HQ14" s="346">
        <v>44552</v>
      </c>
      <c r="HR14" s="292">
        <v>919.8</v>
      </c>
      <c r="HS14" s="406" t="s">
        <v>578</v>
      </c>
      <c r="HT14" s="279">
        <v>41</v>
      </c>
      <c r="HU14" s="627">
        <f t="shared" si="26"/>
        <v>37711.799999999996</v>
      </c>
      <c r="HX14" s="108"/>
      <c r="HY14" s="15">
        <v>7</v>
      </c>
      <c r="HZ14" s="70">
        <v>938.93</v>
      </c>
      <c r="IA14" s="357">
        <v>44553</v>
      </c>
      <c r="IB14" s="70">
        <v>938.93</v>
      </c>
      <c r="IC14" s="71" t="s">
        <v>591</v>
      </c>
      <c r="ID14" s="72">
        <v>42</v>
      </c>
      <c r="IE14" s="627">
        <f t="shared" si="27"/>
        <v>39435.06</v>
      </c>
      <c r="IH14" s="108"/>
      <c r="II14" s="15">
        <v>7</v>
      </c>
      <c r="IJ14" s="70">
        <v>947.1</v>
      </c>
      <c r="IK14" s="357">
        <v>44553</v>
      </c>
      <c r="IL14" s="70">
        <v>947.1</v>
      </c>
      <c r="IM14" s="71" t="s">
        <v>598</v>
      </c>
      <c r="IN14" s="72">
        <v>41</v>
      </c>
      <c r="IO14" s="627">
        <f t="shared" si="28"/>
        <v>38831.1</v>
      </c>
      <c r="IQ14" s="875"/>
      <c r="IR14" s="108"/>
      <c r="IS14" s="15">
        <v>7</v>
      </c>
      <c r="IT14" s="292">
        <v>919.4</v>
      </c>
      <c r="IU14" s="258">
        <v>44554</v>
      </c>
      <c r="IV14" s="292">
        <v>919.4</v>
      </c>
      <c r="IW14" s="552" t="s">
        <v>610</v>
      </c>
      <c r="IX14" s="279">
        <v>41</v>
      </c>
      <c r="IY14" s="338">
        <f t="shared" si="29"/>
        <v>37695.4</v>
      </c>
      <c r="IZ14" s="93"/>
      <c r="JA14" s="70"/>
      <c r="JB14" s="108"/>
      <c r="JC14" s="15">
        <v>7</v>
      </c>
      <c r="JD14" s="93">
        <v>882.2</v>
      </c>
      <c r="JE14" s="357">
        <v>44554</v>
      </c>
      <c r="JF14" s="93">
        <v>882.2</v>
      </c>
      <c r="JG14" s="71" t="s">
        <v>612</v>
      </c>
      <c r="JH14" s="72">
        <v>41</v>
      </c>
      <c r="JI14" s="627">
        <f t="shared" si="30"/>
        <v>36170.200000000004</v>
      </c>
      <c r="JJ14" s="70"/>
      <c r="JL14" s="108"/>
      <c r="JM14" s="15">
        <v>7</v>
      </c>
      <c r="JN14" s="93">
        <v>899.5</v>
      </c>
      <c r="JO14" s="341">
        <v>44554</v>
      </c>
      <c r="JP14" s="93">
        <v>899.5</v>
      </c>
      <c r="JQ14" s="71" t="s">
        <v>603</v>
      </c>
      <c r="JR14" s="72">
        <v>41</v>
      </c>
      <c r="JS14" s="627">
        <f t="shared" si="31"/>
        <v>36879.5</v>
      </c>
      <c r="JV14" s="108"/>
      <c r="JW14" s="15">
        <v>7</v>
      </c>
      <c r="JX14" s="70">
        <v>936.2</v>
      </c>
      <c r="JY14" s="357">
        <v>44554</v>
      </c>
      <c r="JZ14" s="70">
        <v>936.2</v>
      </c>
      <c r="KA14" s="71" t="s">
        <v>608</v>
      </c>
      <c r="KB14" s="72">
        <v>41</v>
      </c>
      <c r="KC14" s="627">
        <f t="shared" si="32"/>
        <v>38384.200000000004</v>
      </c>
      <c r="KF14" s="108"/>
      <c r="KG14" s="15">
        <v>7</v>
      </c>
      <c r="KH14" s="70">
        <v>863.2</v>
      </c>
      <c r="KI14" s="357">
        <v>44556</v>
      </c>
      <c r="KJ14" s="70">
        <v>863.2</v>
      </c>
      <c r="KK14" s="71" t="s">
        <v>617</v>
      </c>
      <c r="KL14" s="72">
        <v>41</v>
      </c>
      <c r="KM14" s="627">
        <f t="shared" si="33"/>
        <v>35391.200000000004</v>
      </c>
      <c r="KP14" s="108"/>
      <c r="KQ14" s="15">
        <v>7</v>
      </c>
      <c r="KR14" s="70">
        <v>904</v>
      </c>
      <c r="KS14" s="357">
        <v>44558</v>
      </c>
      <c r="KT14" s="70">
        <v>904</v>
      </c>
      <c r="KU14" s="71" t="s">
        <v>637</v>
      </c>
      <c r="KV14" s="72">
        <v>42</v>
      </c>
      <c r="KW14" s="627">
        <f t="shared" si="34"/>
        <v>37968</v>
      </c>
      <c r="KZ14" s="108"/>
      <c r="LA14" s="15">
        <v>7</v>
      </c>
      <c r="LB14" s="93">
        <v>913.98</v>
      </c>
      <c r="LC14" s="341">
        <v>44558</v>
      </c>
      <c r="LD14" s="93">
        <v>913.98</v>
      </c>
      <c r="LE14" s="96" t="s">
        <v>643</v>
      </c>
      <c r="LF14" s="72">
        <v>42</v>
      </c>
      <c r="LG14" s="627">
        <f t="shared" si="35"/>
        <v>38387.160000000003</v>
      </c>
      <c r="LJ14" s="108"/>
      <c r="LK14" s="15">
        <v>7</v>
      </c>
      <c r="LL14" s="93">
        <v>925.78</v>
      </c>
      <c r="LM14" s="341">
        <v>44559</v>
      </c>
      <c r="LN14" s="93">
        <v>925.78</v>
      </c>
      <c r="LO14" s="96" t="s">
        <v>652</v>
      </c>
      <c r="LP14" s="72">
        <v>42</v>
      </c>
      <c r="LQ14" s="627">
        <f t="shared" si="36"/>
        <v>38882.76</v>
      </c>
      <c r="LT14" s="108"/>
      <c r="LU14" s="15">
        <v>7</v>
      </c>
      <c r="LV14" s="93">
        <v>933.9</v>
      </c>
      <c r="LW14" s="341">
        <v>44559</v>
      </c>
      <c r="LX14" s="93">
        <v>933.9</v>
      </c>
      <c r="LY14" s="96" t="s">
        <v>650</v>
      </c>
      <c r="LZ14" s="72">
        <v>42</v>
      </c>
      <c r="MA14" s="627">
        <f t="shared" si="37"/>
        <v>39223.799999999996</v>
      </c>
      <c r="MB14" s="627"/>
      <c r="MD14" s="108"/>
      <c r="ME14" s="15">
        <v>7</v>
      </c>
      <c r="MF14" s="412">
        <v>902.2</v>
      </c>
      <c r="MG14" s="341">
        <v>44560</v>
      </c>
      <c r="MH14" s="412">
        <v>902.2</v>
      </c>
      <c r="MI14" s="96" t="s">
        <v>660</v>
      </c>
      <c r="MJ14" s="72">
        <v>43</v>
      </c>
      <c r="MK14" s="72">
        <f t="shared" si="38"/>
        <v>38794.6</v>
      </c>
      <c r="MN14" s="108"/>
      <c r="MO14" s="15">
        <v>7</v>
      </c>
      <c r="MP14" s="93">
        <v>932.6</v>
      </c>
      <c r="MQ14" s="341">
        <v>44560</v>
      </c>
      <c r="MR14" s="93">
        <v>932.6</v>
      </c>
      <c r="MS14" s="96" t="s">
        <v>665</v>
      </c>
      <c r="MT14" s="72">
        <v>43</v>
      </c>
      <c r="MU14" s="72">
        <f t="shared" si="39"/>
        <v>40101.800000000003</v>
      </c>
      <c r="MX14" s="108"/>
      <c r="MY14" s="15">
        <v>7</v>
      </c>
      <c r="MZ14" s="93">
        <v>873.2</v>
      </c>
      <c r="NA14" s="341">
        <v>44561</v>
      </c>
      <c r="NB14" s="93">
        <v>873.2</v>
      </c>
      <c r="NC14" s="96" t="s">
        <v>672</v>
      </c>
      <c r="ND14" s="72">
        <v>40</v>
      </c>
      <c r="NE14" s="72">
        <f t="shared" si="40"/>
        <v>34928</v>
      </c>
      <c r="NH14" s="108"/>
      <c r="NI14" s="15">
        <v>7</v>
      </c>
      <c r="NJ14" s="93">
        <v>935.8</v>
      </c>
      <c r="NK14" s="341"/>
      <c r="NL14" s="93"/>
      <c r="NM14" s="96"/>
      <c r="NN14" s="72"/>
      <c r="NO14" s="72">
        <f t="shared" si="41"/>
        <v>0</v>
      </c>
      <c r="NR14" s="108"/>
      <c r="NS14" s="15">
        <v>7</v>
      </c>
      <c r="NT14" s="93">
        <v>932.6</v>
      </c>
      <c r="NU14" s="341">
        <v>44563</v>
      </c>
      <c r="NV14" s="93">
        <v>932.6</v>
      </c>
      <c r="NW14" s="96" t="s">
        <v>681</v>
      </c>
      <c r="NX14" s="72">
        <v>34</v>
      </c>
      <c r="NY14" s="72">
        <f t="shared" si="42"/>
        <v>31708.400000000001</v>
      </c>
      <c r="OB14" s="108"/>
      <c r="OC14" s="15">
        <v>7</v>
      </c>
      <c r="OD14" s="93"/>
      <c r="OE14" s="341"/>
      <c r="OF14" s="93"/>
      <c r="OG14" s="96"/>
      <c r="OH14" s="72"/>
      <c r="OI14" s="72">
        <f t="shared" si="43"/>
        <v>0</v>
      </c>
      <c r="OL14" s="108"/>
      <c r="OM14" s="15">
        <v>7</v>
      </c>
      <c r="ON14" s="93"/>
      <c r="OO14" s="341"/>
      <c r="OP14" s="93"/>
      <c r="OQ14" s="96"/>
      <c r="OR14" s="72"/>
      <c r="OS14" s="72">
        <f t="shared" si="44"/>
        <v>0</v>
      </c>
      <c r="OV14" s="108"/>
      <c r="OW14" s="15">
        <v>7</v>
      </c>
      <c r="OX14" s="292"/>
      <c r="OY14" s="346"/>
      <c r="OZ14" s="292"/>
      <c r="PA14" s="334"/>
      <c r="PB14" s="279"/>
      <c r="PC14" s="279">
        <f t="shared" si="45"/>
        <v>0</v>
      </c>
      <c r="PF14" s="95"/>
      <c r="PG14" s="15">
        <v>7</v>
      </c>
      <c r="PH14" s="93"/>
      <c r="PI14" s="341"/>
      <c r="PJ14" s="93"/>
      <c r="PK14" s="96"/>
      <c r="PL14" s="72"/>
      <c r="PM14" s="72">
        <f t="shared" si="46"/>
        <v>0</v>
      </c>
      <c r="PP14" s="108"/>
      <c r="PQ14" s="15">
        <v>7</v>
      </c>
      <c r="PR14" s="93"/>
      <c r="PS14" s="341"/>
      <c r="PT14" s="93"/>
      <c r="PU14" s="96"/>
      <c r="PV14" s="72"/>
      <c r="PY14" s="108"/>
      <c r="PZ14" s="15">
        <v>7</v>
      </c>
      <c r="QA14" s="93"/>
      <c r="QB14" s="141"/>
      <c r="QC14" s="93"/>
      <c r="QD14" s="96"/>
      <c r="QE14" s="72"/>
      <c r="QH14" s="108"/>
      <c r="QI14" s="15">
        <v>7</v>
      </c>
      <c r="QJ14" s="93"/>
      <c r="QK14" s="341"/>
      <c r="QL14" s="93"/>
      <c r="QM14" s="96"/>
      <c r="QN14" s="72"/>
      <c r="QQ14" s="108"/>
      <c r="QR14" s="15">
        <v>7</v>
      </c>
      <c r="QS14" s="93"/>
      <c r="QT14" s="341"/>
      <c r="QU14" s="93"/>
      <c r="QV14" s="96"/>
      <c r="QW14" s="72"/>
      <c r="QZ14" s="108"/>
      <c r="RA14" s="15">
        <v>7</v>
      </c>
      <c r="RB14" s="93"/>
      <c r="RC14" s="341"/>
      <c r="RD14" s="93"/>
      <c r="RE14" s="96"/>
      <c r="RF14" s="72"/>
      <c r="RI14" s="108"/>
      <c r="RJ14" s="15">
        <v>7</v>
      </c>
      <c r="RK14" s="93"/>
      <c r="RL14" s="341"/>
      <c r="RM14" s="93"/>
      <c r="RN14" s="96"/>
      <c r="RO14" s="72"/>
      <c r="RR14" s="108"/>
      <c r="RS14" s="15">
        <v>7</v>
      </c>
      <c r="RT14" s="93"/>
      <c r="RU14" s="141"/>
      <c r="RV14" s="93"/>
      <c r="RW14" s="96"/>
      <c r="RX14" s="72"/>
      <c r="SA14" s="108"/>
      <c r="SB14" s="15">
        <v>7</v>
      </c>
      <c r="SC14" s="93"/>
      <c r="SD14" s="80"/>
      <c r="SE14" s="93"/>
      <c r="SF14" s="96"/>
      <c r="SG14" s="72"/>
      <c r="SJ14" s="108"/>
      <c r="SK14" s="15">
        <v>7</v>
      </c>
      <c r="SL14" s="93"/>
      <c r="SM14" s="80"/>
      <c r="SN14" s="93"/>
      <c r="SO14" s="96"/>
      <c r="SP14" s="72"/>
      <c r="SS14" s="108"/>
      <c r="ST14" s="15"/>
      <c r="SU14" s="93"/>
      <c r="SV14" s="80"/>
      <c r="SW14" s="93"/>
      <c r="SX14" s="96"/>
      <c r="SY14" s="72"/>
      <c r="TB14" s="108"/>
      <c r="TC14" s="15">
        <v>7</v>
      </c>
      <c r="TD14" s="93"/>
      <c r="TE14" s="411"/>
      <c r="TF14" s="189"/>
      <c r="TG14" s="404"/>
      <c r="TH14" s="403"/>
      <c r="TK14" s="108"/>
      <c r="TL14" s="15">
        <v>7</v>
      </c>
      <c r="TM14" s="93"/>
      <c r="TN14" s="80"/>
      <c r="TO14" s="93"/>
      <c r="TP14" s="96"/>
      <c r="TQ14" s="72"/>
      <c r="TT14" s="108"/>
      <c r="TU14" s="15">
        <v>7</v>
      </c>
      <c r="TV14" s="93"/>
      <c r="TW14" s="80"/>
      <c r="TX14" s="93"/>
      <c r="TY14" s="96"/>
      <c r="TZ14" s="72"/>
      <c r="UC14" s="108"/>
      <c r="UD14" s="15">
        <v>7</v>
      </c>
      <c r="UE14" s="93"/>
      <c r="UF14" s="80"/>
      <c r="UG14" s="93"/>
      <c r="UH14" s="96"/>
      <c r="UI14" s="72"/>
      <c r="UL14" s="108"/>
      <c r="UM14" s="15">
        <v>7</v>
      </c>
      <c r="UN14" s="93"/>
      <c r="UO14" s="80"/>
      <c r="UP14" s="93"/>
      <c r="UQ14" s="96"/>
      <c r="UR14" s="72"/>
      <c r="UU14" s="108"/>
      <c r="UV14" s="15">
        <v>7</v>
      </c>
      <c r="UW14" s="93"/>
      <c r="UX14" s="80"/>
      <c r="UY14" s="93"/>
      <c r="UZ14" s="96"/>
      <c r="VA14" s="72"/>
      <c r="VD14" s="108"/>
      <c r="VE14" s="15">
        <v>7</v>
      </c>
      <c r="VF14" s="93"/>
      <c r="VG14" s="80"/>
      <c r="VH14" s="93"/>
      <c r="VI14" s="96"/>
      <c r="VJ14" s="72"/>
      <c r="VM14" s="108"/>
      <c r="VN14" s="15">
        <v>7</v>
      </c>
      <c r="VO14" s="93"/>
      <c r="VP14" s="80"/>
      <c r="VQ14" s="93"/>
      <c r="VR14" s="96"/>
      <c r="VS14" s="72"/>
      <c r="VV14" s="108"/>
      <c r="VW14" s="15">
        <v>7</v>
      </c>
      <c r="VX14" s="93"/>
      <c r="VY14" s="80"/>
      <c r="VZ14" s="93"/>
      <c r="WA14" s="96"/>
      <c r="WB14" s="72"/>
      <c r="WE14" s="108"/>
      <c r="WF14" s="15">
        <v>7</v>
      </c>
      <c r="WG14" s="93"/>
      <c r="WH14" s="80"/>
      <c r="WI14" s="93"/>
      <c r="WJ14" s="96"/>
      <c r="WK14" s="72"/>
      <c r="WN14" s="108"/>
      <c r="WO14" s="15">
        <v>7</v>
      </c>
      <c r="WP14" s="93"/>
      <c r="WQ14" s="80"/>
      <c r="WR14" s="93"/>
      <c r="WS14" s="96"/>
      <c r="WT14" s="72"/>
      <c r="WW14" s="108"/>
      <c r="WX14" s="15">
        <v>7</v>
      </c>
      <c r="WY14" s="93"/>
      <c r="WZ14" s="80"/>
      <c r="XA14" s="93"/>
      <c r="XB14" s="96"/>
      <c r="XC14" s="72"/>
      <c r="XF14" s="108"/>
      <c r="XG14" s="15">
        <v>7</v>
      </c>
      <c r="XH14" s="93"/>
      <c r="XI14" s="80"/>
      <c r="XJ14" s="93"/>
      <c r="XK14" s="96"/>
      <c r="XL14" s="72"/>
      <c r="XO14" s="108"/>
      <c r="XP14" s="15">
        <v>7</v>
      </c>
      <c r="XQ14" s="93"/>
      <c r="XR14" s="80"/>
      <c r="XS14" s="93"/>
      <c r="XT14" s="96"/>
      <c r="XU14" s="72"/>
      <c r="XX14" s="108"/>
      <c r="XY14" s="15">
        <v>7</v>
      </c>
      <c r="XZ14" s="93"/>
      <c r="YA14" s="80"/>
      <c r="YB14" s="93"/>
      <c r="YC14" s="96"/>
      <c r="YD14" s="72"/>
      <c r="YG14" s="108"/>
      <c r="YH14" s="15">
        <v>7</v>
      </c>
      <c r="YI14" s="93"/>
      <c r="YJ14" s="80"/>
      <c r="YK14" s="93"/>
      <c r="YL14" s="96"/>
      <c r="YM14" s="72"/>
      <c r="YP14" s="108"/>
      <c r="YQ14" s="15">
        <v>7</v>
      </c>
      <c r="YR14" s="93"/>
      <c r="YS14" s="80"/>
      <c r="YT14" s="93"/>
      <c r="YU14" s="96"/>
      <c r="YV14" s="72"/>
      <c r="YY14" s="108"/>
      <c r="YZ14" s="15">
        <v>7</v>
      </c>
      <c r="ZA14" s="93"/>
      <c r="ZB14" s="80"/>
      <c r="ZC14" s="93"/>
      <c r="ZD14" s="96"/>
      <c r="ZE14" s="72"/>
      <c r="ZH14" s="108"/>
      <c r="ZI14" s="15">
        <v>7</v>
      </c>
      <c r="ZJ14" s="93"/>
      <c r="ZK14" s="80"/>
      <c r="ZL14" s="93"/>
      <c r="ZM14" s="96"/>
      <c r="ZN14" s="72"/>
      <c r="ZQ14" s="108"/>
      <c r="ZR14" s="15">
        <v>7</v>
      </c>
      <c r="ZS14" s="93"/>
      <c r="ZT14" s="80"/>
      <c r="ZU14" s="93"/>
      <c r="ZV14" s="96"/>
      <c r="ZW14" s="72"/>
      <c r="ZZ14" s="108"/>
      <c r="AAA14" s="15">
        <v>7</v>
      </c>
      <c r="AAB14" s="93"/>
      <c r="AAC14" s="80"/>
      <c r="AAD14" s="93"/>
      <c r="AAE14" s="96"/>
      <c r="AAF14" s="72"/>
      <c r="AAI14" s="108"/>
      <c r="AAJ14" s="15">
        <v>7</v>
      </c>
      <c r="AAK14" s="93"/>
      <c r="AAL14" s="80"/>
      <c r="AAM14" s="93"/>
      <c r="AAN14" s="96"/>
      <c r="AAO14" s="72"/>
      <c r="AAR14" s="108"/>
      <c r="AAS14" s="15">
        <v>7</v>
      </c>
      <c r="AAT14" s="93"/>
      <c r="AAU14" s="80"/>
      <c r="AAV14" s="93"/>
      <c r="AAW14" s="96"/>
      <c r="AAX14" s="72"/>
      <c r="ABA14" s="108"/>
      <c r="ABB14" s="15">
        <v>7</v>
      </c>
      <c r="ABC14" s="93"/>
      <c r="ABD14" s="80"/>
      <c r="ABE14" s="93"/>
      <c r="ABF14" s="96"/>
      <c r="ABG14" s="72"/>
      <c r="ABJ14" s="108"/>
      <c r="ABK14" s="15">
        <v>7</v>
      </c>
      <c r="ABL14" s="93"/>
      <c r="ABM14" s="80"/>
      <c r="ABN14" s="93"/>
      <c r="ABO14" s="96"/>
      <c r="ABP14" s="72"/>
      <c r="ABS14" s="108"/>
      <c r="ABT14" s="15">
        <v>7</v>
      </c>
      <c r="ABU14" s="93"/>
      <c r="ABV14" s="80"/>
      <c r="ABW14" s="93"/>
      <c r="ABX14" s="96"/>
      <c r="ABY14" s="72"/>
      <c r="ACB14" s="108"/>
      <c r="ACC14" s="15">
        <v>7</v>
      </c>
      <c r="ACD14" s="93"/>
      <c r="ACE14" s="80"/>
      <c r="ACF14" s="93"/>
      <c r="ACG14" s="96"/>
      <c r="ACH14" s="72"/>
      <c r="ACK14" s="108"/>
      <c r="ACL14" s="15">
        <v>7</v>
      </c>
      <c r="ACM14" s="93"/>
      <c r="ACN14" s="80"/>
      <c r="ACO14" s="93"/>
      <c r="ACP14" s="96"/>
      <c r="ACQ14" s="72"/>
      <c r="ACT14" s="108"/>
      <c r="ACU14" s="15">
        <v>7</v>
      </c>
      <c r="ACV14" s="93"/>
      <c r="ACW14" s="80"/>
      <c r="ACX14" s="93"/>
      <c r="ACY14" s="96"/>
      <c r="ACZ14" s="72"/>
      <c r="ADC14" s="108"/>
      <c r="ADD14" s="15">
        <v>7</v>
      </c>
      <c r="ADE14" s="93"/>
      <c r="ADF14" s="80"/>
      <c r="ADG14" s="93"/>
      <c r="ADH14" s="96"/>
      <c r="ADI14" s="72"/>
      <c r="ADL14" s="108"/>
      <c r="ADM14" s="15">
        <v>7</v>
      </c>
      <c r="ADN14" s="93"/>
      <c r="ADO14" s="80"/>
      <c r="ADP14" s="93"/>
      <c r="ADQ14" s="96"/>
      <c r="ADR14" s="72"/>
      <c r="ADU14" s="108"/>
      <c r="ADV14" s="15">
        <v>7</v>
      </c>
      <c r="ADW14" s="93"/>
      <c r="ADX14" s="80"/>
      <c r="ADY14" s="93"/>
      <c r="ADZ14" s="96"/>
      <c r="AEA14" s="72"/>
      <c r="AED14" s="108"/>
      <c r="AEE14" s="15">
        <v>7</v>
      </c>
      <c r="AEF14" s="93"/>
      <c r="AEG14" s="80"/>
      <c r="AEH14" s="93"/>
      <c r="AEI14" s="96"/>
      <c r="AEJ14" s="72"/>
      <c r="AEM14" s="108"/>
      <c r="AEN14" s="15">
        <v>7</v>
      </c>
      <c r="AEO14" s="93"/>
      <c r="AEP14" s="80"/>
      <c r="AEQ14" s="93"/>
      <c r="AER14" s="96"/>
      <c r="AES14" s="72"/>
    </row>
    <row r="15" spans="1:825" x14ac:dyDescent="0.25">
      <c r="A15" s="143">
        <v>12</v>
      </c>
      <c r="B15" s="76" t="str">
        <f t="shared" ref="B15:I15" si="53">DQ5</f>
        <v>TYSON FRESH MEAT</v>
      </c>
      <c r="C15" s="76" t="str">
        <f t="shared" si="53"/>
        <v xml:space="preserve">I B P </v>
      </c>
      <c r="D15" s="104" t="str">
        <f t="shared" si="53"/>
        <v>PED. 74941814</v>
      </c>
      <c r="E15" s="141">
        <f t="shared" si="53"/>
        <v>44545</v>
      </c>
      <c r="F15" s="87">
        <f t="shared" si="53"/>
        <v>18662.64</v>
      </c>
      <c r="G15" s="74">
        <f t="shared" si="53"/>
        <v>20</v>
      </c>
      <c r="H15" s="48">
        <f t="shared" si="53"/>
        <v>18667.04</v>
      </c>
      <c r="I15" s="107">
        <f t="shared" si="53"/>
        <v>-4.4000000000014552</v>
      </c>
      <c r="L15" s="108"/>
      <c r="M15" s="15">
        <v>8</v>
      </c>
      <c r="N15" s="93">
        <v>875.4</v>
      </c>
      <c r="O15" s="341">
        <v>44537</v>
      </c>
      <c r="P15" s="93">
        <v>875.4</v>
      </c>
      <c r="Q15" s="96" t="s">
        <v>454</v>
      </c>
      <c r="R15" s="72">
        <v>37</v>
      </c>
      <c r="S15" s="627">
        <f t="shared" si="6"/>
        <v>32389.8</v>
      </c>
      <c r="T15" s="255"/>
      <c r="V15" s="108"/>
      <c r="W15" s="15">
        <v>8</v>
      </c>
      <c r="X15" s="292">
        <v>913.5</v>
      </c>
      <c r="Y15" s="346">
        <v>44538</v>
      </c>
      <c r="Z15" s="292">
        <v>913.5</v>
      </c>
      <c r="AA15" s="406" t="s">
        <v>468</v>
      </c>
      <c r="AB15" s="279">
        <v>37</v>
      </c>
      <c r="AC15" s="338">
        <f t="shared" si="7"/>
        <v>33799.5</v>
      </c>
      <c r="AF15" s="108"/>
      <c r="AG15" s="15">
        <v>8</v>
      </c>
      <c r="AH15" s="93">
        <v>926.7</v>
      </c>
      <c r="AI15" s="341">
        <v>44537</v>
      </c>
      <c r="AJ15" s="93">
        <v>926.7</v>
      </c>
      <c r="AK15" s="96" t="s">
        <v>457</v>
      </c>
      <c r="AL15" s="72">
        <v>37</v>
      </c>
      <c r="AM15" s="630">
        <f t="shared" si="8"/>
        <v>34287.9</v>
      </c>
      <c r="AP15" s="108"/>
      <c r="AQ15" s="15">
        <v>8</v>
      </c>
      <c r="AR15" s="335">
        <v>882.69</v>
      </c>
      <c r="AS15" s="346">
        <v>44538</v>
      </c>
      <c r="AT15" s="335">
        <v>882.69</v>
      </c>
      <c r="AU15" s="334" t="s">
        <v>481</v>
      </c>
      <c r="AV15" s="279">
        <v>37</v>
      </c>
      <c r="AW15" s="338">
        <f t="shared" si="9"/>
        <v>32659.530000000002</v>
      </c>
      <c r="AZ15" s="108"/>
      <c r="BA15" s="15">
        <v>8</v>
      </c>
      <c r="BB15" s="93">
        <v>939.36</v>
      </c>
      <c r="BC15" s="141">
        <v>44539</v>
      </c>
      <c r="BD15" s="93">
        <v>939.38</v>
      </c>
      <c r="BE15" s="96" t="s">
        <v>492</v>
      </c>
      <c r="BF15" s="400">
        <v>36</v>
      </c>
      <c r="BG15" s="646">
        <f t="shared" si="10"/>
        <v>33817.68</v>
      </c>
      <c r="BJ15" s="108"/>
      <c r="BK15" s="15">
        <v>8</v>
      </c>
      <c r="BL15" s="93">
        <v>974.8</v>
      </c>
      <c r="BM15" s="141">
        <v>44540</v>
      </c>
      <c r="BN15" s="93">
        <v>974.8</v>
      </c>
      <c r="BO15" s="96" t="s">
        <v>501</v>
      </c>
      <c r="BP15" s="400">
        <v>36</v>
      </c>
      <c r="BQ15" s="857">
        <f t="shared" si="11"/>
        <v>35092.799999999996</v>
      </c>
      <c r="BT15" s="108"/>
      <c r="BU15" s="276">
        <v>8</v>
      </c>
      <c r="BV15" s="292">
        <v>868.2</v>
      </c>
      <c r="BW15" s="401">
        <v>44541</v>
      </c>
      <c r="BX15" s="292">
        <v>868.2</v>
      </c>
      <c r="BY15" s="402" t="s">
        <v>461</v>
      </c>
      <c r="BZ15" s="403">
        <v>36</v>
      </c>
      <c r="CA15" s="627">
        <f t="shared" si="12"/>
        <v>31255.200000000001</v>
      </c>
      <c r="CD15" s="909"/>
      <c r="CE15" s="15">
        <v>8</v>
      </c>
      <c r="CF15" s="93">
        <v>940.3</v>
      </c>
      <c r="CG15" s="401">
        <v>44542</v>
      </c>
      <c r="CH15" s="93">
        <v>940.3</v>
      </c>
      <c r="CI15" s="404" t="s">
        <v>513</v>
      </c>
      <c r="CJ15" s="403">
        <v>36</v>
      </c>
      <c r="CK15" s="627">
        <f t="shared" si="13"/>
        <v>33850.799999999996</v>
      </c>
      <c r="CN15" s="95"/>
      <c r="CO15" s="15">
        <v>8</v>
      </c>
      <c r="CP15" s="93">
        <v>899.9</v>
      </c>
      <c r="CQ15" s="401">
        <v>44545</v>
      </c>
      <c r="CR15" s="93">
        <v>899.9</v>
      </c>
      <c r="CS15" s="404" t="s">
        <v>524</v>
      </c>
      <c r="CT15" s="403">
        <v>38</v>
      </c>
      <c r="CU15" s="635">
        <f t="shared" si="48"/>
        <v>34196.199999999997</v>
      </c>
      <c r="CX15" s="108"/>
      <c r="CY15" s="15">
        <v>8</v>
      </c>
      <c r="CZ15" s="93">
        <v>874.1</v>
      </c>
      <c r="DA15" s="341">
        <v>44544</v>
      </c>
      <c r="DB15" s="93">
        <v>874.1</v>
      </c>
      <c r="DC15" s="96" t="s">
        <v>517</v>
      </c>
      <c r="DD15" s="72">
        <v>38</v>
      </c>
      <c r="DE15" s="627">
        <f t="shared" si="14"/>
        <v>33215.800000000003</v>
      </c>
      <c r="DH15" s="108"/>
      <c r="DI15" s="15">
        <v>8</v>
      </c>
      <c r="DJ15" s="93">
        <v>910.8</v>
      </c>
      <c r="DK15" s="401">
        <v>44544</v>
      </c>
      <c r="DL15" s="93">
        <v>910.8</v>
      </c>
      <c r="DM15" s="404" t="s">
        <v>476</v>
      </c>
      <c r="DN15" s="403">
        <v>38</v>
      </c>
      <c r="DO15" s="635">
        <f t="shared" si="15"/>
        <v>34610.400000000001</v>
      </c>
      <c r="DR15" s="108"/>
      <c r="DS15" s="15">
        <v>8</v>
      </c>
      <c r="DT15" s="93">
        <v>948.91</v>
      </c>
      <c r="DU15" s="401">
        <v>44545</v>
      </c>
      <c r="DV15" s="292">
        <v>948.91</v>
      </c>
      <c r="DW15" s="404" t="s">
        <v>477</v>
      </c>
      <c r="DX15" s="403">
        <v>38</v>
      </c>
      <c r="DY15" s="627">
        <f t="shared" si="16"/>
        <v>36058.58</v>
      </c>
      <c r="EB15" s="108"/>
      <c r="EC15" s="15">
        <v>8</v>
      </c>
      <c r="ED15" s="70">
        <v>907.6</v>
      </c>
      <c r="EE15" s="357">
        <v>44546</v>
      </c>
      <c r="EF15" s="70">
        <v>907.6</v>
      </c>
      <c r="EG15" s="71" t="s">
        <v>533</v>
      </c>
      <c r="EH15" s="72">
        <v>38</v>
      </c>
      <c r="EI15" s="627">
        <f t="shared" si="17"/>
        <v>34488.800000000003</v>
      </c>
      <c r="EL15" s="452"/>
      <c r="EM15" s="15">
        <v>8</v>
      </c>
      <c r="EN15" s="292">
        <v>908.1</v>
      </c>
      <c r="EO15" s="346">
        <v>44546</v>
      </c>
      <c r="EP15" s="292">
        <v>908.1</v>
      </c>
      <c r="EQ15" s="278" t="s">
        <v>530</v>
      </c>
      <c r="ER15" s="279">
        <v>38</v>
      </c>
      <c r="ES15" s="627">
        <f t="shared" si="18"/>
        <v>34507.800000000003</v>
      </c>
      <c r="EV15" s="108"/>
      <c r="EW15" s="15">
        <v>8</v>
      </c>
      <c r="EX15" s="70">
        <v>903.1</v>
      </c>
      <c r="EY15" s="357">
        <v>44548</v>
      </c>
      <c r="EZ15" s="70">
        <v>903.1</v>
      </c>
      <c r="FA15" s="278" t="s">
        <v>541</v>
      </c>
      <c r="FB15" s="72">
        <v>38</v>
      </c>
      <c r="FC15" s="338">
        <f t="shared" si="19"/>
        <v>34317.800000000003</v>
      </c>
      <c r="FF15" s="452"/>
      <c r="FG15" s="15">
        <v>8</v>
      </c>
      <c r="FH15" s="292">
        <v>924.9</v>
      </c>
      <c r="FI15" s="346">
        <v>44548</v>
      </c>
      <c r="FJ15" s="292">
        <v>924.9</v>
      </c>
      <c r="FK15" s="278" t="s">
        <v>538</v>
      </c>
      <c r="FL15" s="279">
        <v>38</v>
      </c>
      <c r="FM15" s="627">
        <f t="shared" si="20"/>
        <v>35146.199999999997</v>
      </c>
      <c r="FP15" s="108"/>
      <c r="FQ15" s="15">
        <v>8</v>
      </c>
      <c r="FR15" s="93">
        <v>935.3</v>
      </c>
      <c r="FS15" s="341">
        <v>44548</v>
      </c>
      <c r="FT15" s="93">
        <v>935.3</v>
      </c>
      <c r="FU15" s="71" t="s">
        <v>544</v>
      </c>
      <c r="FV15" s="72">
        <v>38</v>
      </c>
      <c r="FW15" s="627">
        <f t="shared" si="21"/>
        <v>35541.4</v>
      </c>
      <c r="FZ15" s="108"/>
      <c r="GA15" s="15">
        <v>8</v>
      </c>
      <c r="GB15" s="70">
        <v>899.9</v>
      </c>
      <c r="GC15" s="545">
        <v>44551</v>
      </c>
      <c r="GD15" s="70">
        <v>899.9</v>
      </c>
      <c r="GE15" s="278" t="s">
        <v>564</v>
      </c>
      <c r="GF15" s="279">
        <v>39</v>
      </c>
      <c r="GG15" s="338">
        <f t="shared" si="22"/>
        <v>35096.1</v>
      </c>
      <c r="GJ15" s="108"/>
      <c r="GK15" s="15">
        <v>8</v>
      </c>
      <c r="GL15" s="523">
        <v>912.6</v>
      </c>
      <c r="GM15" s="341">
        <v>44551</v>
      </c>
      <c r="GN15" s="523">
        <v>912.6</v>
      </c>
      <c r="GO15" s="96" t="s">
        <v>566</v>
      </c>
      <c r="GP15" s="72">
        <v>39</v>
      </c>
      <c r="GQ15" s="627">
        <f t="shared" si="23"/>
        <v>35591.4</v>
      </c>
      <c r="GT15" s="108"/>
      <c r="GU15" s="15">
        <v>8</v>
      </c>
      <c r="GV15" s="292">
        <v>915.3</v>
      </c>
      <c r="GW15" s="346">
        <v>44551</v>
      </c>
      <c r="GX15" s="292">
        <v>915.3</v>
      </c>
      <c r="GY15" s="334" t="s">
        <v>568</v>
      </c>
      <c r="GZ15" s="279">
        <v>39</v>
      </c>
      <c r="HA15" s="627">
        <f t="shared" si="24"/>
        <v>35696.699999999997</v>
      </c>
      <c r="HD15" s="108"/>
      <c r="HE15" s="15">
        <v>8</v>
      </c>
      <c r="HF15" s="93">
        <v>889.5</v>
      </c>
      <c r="HG15" s="341">
        <v>44552</v>
      </c>
      <c r="HH15" s="93">
        <v>889.5</v>
      </c>
      <c r="HI15" s="96" t="s">
        <v>581</v>
      </c>
      <c r="HJ15" s="72">
        <v>41</v>
      </c>
      <c r="HK15" s="627">
        <f t="shared" si="25"/>
        <v>36469.5</v>
      </c>
      <c r="HN15" s="108"/>
      <c r="HO15" s="15">
        <v>8</v>
      </c>
      <c r="HP15" s="292">
        <v>915.8</v>
      </c>
      <c r="HQ15" s="346">
        <v>44552</v>
      </c>
      <c r="HR15" s="292">
        <v>915.8</v>
      </c>
      <c r="HS15" s="406" t="s">
        <v>578</v>
      </c>
      <c r="HT15" s="279">
        <v>41</v>
      </c>
      <c r="HU15" s="627">
        <f t="shared" si="26"/>
        <v>37547.799999999996</v>
      </c>
      <c r="HX15" s="95"/>
      <c r="HY15" s="15">
        <v>8</v>
      </c>
      <c r="HZ15" s="70">
        <v>907.63</v>
      </c>
      <c r="IA15" s="357">
        <v>44553</v>
      </c>
      <c r="IB15" s="70">
        <v>907.63</v>
      </c>
      <c r="IC15" s="71" t="s">
        <v>591</v>
      </c>
      <c r="ID15" s="72">
        <v>42</v>
      </c>
      <c r="IE15" s="627">
        <f t="shared" si="27"/>
        <v>38120.46</v>
      </c>
      <c r="IH15" s="95"/>
      <c r="II15" s="15">
        <v>8</v>
      </c>
      <c r="IJ15" s="70">
        <v>938.02</v>
      </c>
      <c r="IK15" s="357">
        <v>44553</v>
      </c>
      <c r="IL15" s="70">
        <v>938.02</v>
      </c>
      <c r="IM15" s="71" t="s">
        <v>598</v>
      </c>
      <c r="IN15" s="72">
        <v>41</v>
      </c>
      <c r="IO15" s="627">
        <f t="shared" si="28"/>
        <v>38458.82</v>
      </c>
      <c r="IR15" s="108"/>
      <c r="IS15" s="15">
        <v>8</v>
      </c>
      <c r="IT15" s="292">
        <v>886.3</v>
      </c>
      <c r="IU15" s="258">
        <v>44554</v>
      </c>
      <c r="IV15" s="292">
        <v>886.3</v>
      </c>
      <c r="IW15" s="552" t="s">
        <v>610</v>
      </c>
      <c r="IX15" s="279">
        <v>41</v>
      </c>
      <c r="IY15" s="338">
        <f t="shared" si="29"/>
        <v>36338.299999999996</v>
      </c>
      <c r="IZ15" s="93"/>
      <c r="JA15" s="70"/>
      <c r="JB15" s="108"/>
      <c r="JC15" s="15">
        <v>8</v>
      </c>
      <c r="JD15" s="93">
        <v>868.6</v>
      </c>
      <c r="JE15" s="357">
        <v>44554</v>
      </c>
      <c r="JF15" s="93">
        <v>868.6</v>
      </c>
      <c r="JG15" s="71" t="s">
        <v>612</v>
      </c>
      <c r="JH15" s="72">
        <v>41</v>
      </c>
      <c r="JI15" s="627">
        <f t="shared" si="30"/>
        <v>35612.6</v>
      </c>
      <c r="JJ15" s="70"/>
      <c r="JL15" s="108"/>
      <c r="JM15" s="15">
        <v>8</v>
      </c>
      <c r="JN15" s="93">
        <v>934.8</v>
      </c>
      <c r="JO15" s="341">
        <v>44554</v>
      </c>
      <c r="JP15" s="93">
        <v>934.8</v>
      </c>
      <c r="JQ15" s="71" t="s">
        <v>603</v>
      </c>
      <c r="JR15" s="72">
        <v>41</v>
      </c>
      <c r="JS15" s="627">
        <f t="shared" si="31"/>
        <v>38326.799999999996</v>
      </c>
      <c r="JV15" s="108"/>
      <c r="JW15" s="15">
        <v>8</v>
      </c>
      <c r="JX15" s="70">
        <v>889.9</v>
      </c>
      <c r="JY15" s="357">
        <v>44554</v>
      </c>
      <c r="JZ15" s="70">
        <v>889.9</v>
      </c>
      <c r="KA15" s="71" t="s">
        <v>608</v>
      </c>
      <c r="KB15" s="72">
        <v>41</v>
      </c>
      <c r="KC15" s="627">
        <f t="shared" si="32"/>
        <v>36485.9</v>
      </c>
      <c r="KF15" s="108"/>
      <c r="KG15" s="15">
        <v>8</v>
      </c>
      <c r="KH15" s="70">
        <v>901.7</v>
      </c>
      <c r="KI15" s="357">
        <v>44556</v>
      </c>
      <c r="KJ15" s="70">
        <v>901.7</v>
      </c>
      <c r="KK15" s="71" t="s">
        <v>617</v>
      </c>
      <c r="KL15" s="72">
        <v>41</v>
      </c>
      <c r="KM15" s="627">
        <f t="shared" si="33"/>
        <v>36969.700000000004</v>
      </c>
      <c r="KP15" s="108"/>
      <c r="KQ15" s="15">
        <v>8</v>
      </c>
      <c r="KR15" s="70">
        <v>896.7</v>
      </c>
      <c r="KS15" s="357">
        <v>44558</v>
      </c>
      <c r="KT15" s="70">
        <v>896.7</v>
      </c>
      <c r="KU15" s="71" t="s">
        <v>637</v>
      </c>
      <c r="KV15" s="72">
        <v>42</v>
      </c>
      <c r="KW15" s="627">
        <f t="shared" si="34"/>
        <v>37661.4</v>
      </c>
      <c r="KZ15" s="108"/>
      <c r="LA15" s="15">
        <v>8</v>
      </c>
      <c r="LB15" s="93">
        <v>938.02</v>
      </c>
      <c r="LC15" s="341">
        <v>44558</v>
      </c>
      <c r="LD15" s="93">
        <v>938.02</v>
      </c>
      <c r="LE15" s="96" t="s">
        <v>643</v>
      </c>
      <c r="LF15" s="72">
        <v>42</v>
      </c>
      <c r="LG15" s="627">
        <f t="shared" si="35"/>
        <v>39396.839999999997</v>
      </c>
      <c r="LJ15" s="108"/>
      <c r="LK15" s="15">
        <v>8</v>
      </c>
      <c r="LL15" s="93">
        <v>914.89</v>
      </c>
      <c r="LM15" s="341">
        <v>44559</v>
      </c>
      <c r="LN15" s="93">
        <v>914.89</v>
      </c>
      <c r="LO15" s="96" t="s">
        <v>652</v>
      </c>
      <c r="LP15" s="72">
        <v>42</v>
      </c>
      <c r="LQ15" s="627">
        <f t="shared" si="36"/>
        <v>38425.379999999997</v>
      </c>
      <c r="LT15" s="108"/>
      <c r="LU15" s="15">
        <v>8</v>
      </c>
      <c r="LV15" s="93">
        <v>917.6</v>
      </c>
      <c r="LW15" s="341">
        <v>44559</v>
      </c>
      <c r="LX15" s="93">
        <v>917.6</v>
      </c>
      <c r="LY15" s="96" t="s">
        <v>650</v>
      </c>
      <c r="LZ15" s="72">
        <v>42</v>
      </c>
      <c r="MA15" s="627">
        <f t="shared" si="37"/>
        <v>38539.200000000004</v>
      </c>
      <c r="MB15" s="627"/>
      <c r="MD15" s="108"/>
      <c r="ME15" s="15">
        <v>8</v>
      </c>
      <c r="MF15" s="412">
        <v>902.2</v>
      </c>
      <c r="MG15" s="341">
        <v>44560</v>
      </c>
      <c r="MH15" s="412">
        <v>902.2</v>
      </c>
      <c r="MI15" s="96" t="s">
        <v>660</v>
      </c>
      <c r="MJ15" s="72">
        <v>43</v>
      </c>
      <c r="MK15" s="72">
        <f t="shared" si="38"/>
        <v>38794.6</v>
      </c>
      <c r="MN15" s="108"/>
      <c r="MO15" s="15">
        <v>8</v>
      </c>
      <c r="MP15" s="93">
        <v>953.92</v>
      </c>
      <c r="MQ15" s="341">
        <v>44560</v>
      </c>
      <c r="MR15" s="93">
        <v>953.92</v>
      </c>
      <c r="MS15" s="96" t="s">
        <v>664</v>
      </c>
      <c r="MT15" s="72">
        <v>43</v>
      </c>
      <c r="MU15" s="72">
        <f t="shared" si="39"/>
        <v>41018.559999999998</v>
      </c>
      <c r="MX15" s="108"/>
      <c r="MY15" s="15">
        <v>8</v>
      </c>
      <c r="MZ15" s="93">
        <v>895.4</v>
      </c>
      <c r="NA15" s="341">
        <v>44561</v>
      </c>
      <c r="NB15" s="93">
        <v>895.4</v>
      </c>
      <c r="NC15" s="96" t="s">
        <v>672</v>
      </c>
      <c r="ND15" s="72">
        <v>40</v>
      </c>
      <c r="NE15" s="72">
        <f t="shared" si="40"/>
        <v>35816</v>
      </c>
      <c r="NH15" s="108"/>
      <c r="NI15" s="15">
        <v>8</v>
      </c>
      <c r="NJ15" s="93">
        <v>866.8</v>
      </c>
      <c r="NK15" s="341"/>
      <c r="NL15" s="93"/>
      <c r="NM15" s="96"/>
      <c r="NN15" s="72"/>
      <c r="NO15" s="72">
        <f t="shared" si="41"/>
        <v>0</v>
      </c>
      <c r="NR15" s="108"/>
      <c r="NS15" s="15">
        <v>8</v>
      </c>
      <c r="NT15" s="93">
        <v>902.2</v>
      </c>
      <c r="NU15" s="341">
        <v>44563</v>
      </c>
      <c r="NV15" s="93">
        <v>902.2</v>
      </c>
      <c r="NW15" s="96" t="s">
        <v>681</v>
      </c>
      <c r="NX15" s="72">
        <v>34</v>
      </c>
      <c r="NY15" s="72">
        <f t="shared" si="42"/>
        <v>30674.800000000003</v>
      </c>
      <c r="OB15" s="108"/>
      <c r="OC15" s="15">
        <v>8</v>
      </c>
      <c r="OD15" s="93"/>
      <c r="OE15" s="341"/>
      <c r="OF15" s="93"/>
      <c r="OG15" s="96"/>
      <c r="OH15" s="72"/>
      <c r="OI15" s="72">
        <f t="shared" si="43"/>
        <v>0</v>
      </c>
      <c r="OL15" s="108"/>
      <c r="OM15" s="15">
        <v>8</v>
      </c>
      <c r="ON15" s="93"/>
      <c r="OO15" s="341"/>
      <c r="OP15" s="93"/>
      <c r="OQ15" s="96"/>
      <c r="OR15" s="72"/>
      <c r="OS15" s="72">
        <f t="shared" si="44"/>
        <v>0</v>
      </c>
      <c r="OV15" s="108"/>
      <c r="OW15" s="15">
        <v>8</v>
      </c>
      <c r="OX15" s="292"/>
      <c r="OY15" s="346"/>
      <c r="OZ15" s="292"/>
      <c r="PA15" s="334"/>
      <c r="PB15" s="279"/>
      <c r="PC15" s="279">
        <f t="shared" si="45"/>
        <v>0</v>
      </c>
      <c r="PF15" s="95"/>
      <c r="PG15" s="15">
        <v>8</v>
      </c>
      <c r="PH15" s="93"/>
      <c r="PI15" s="341"/>
      <c r="PJ15" s="93"/>
      <c r="PK15" s="96"/>
      <c r="PL15" s="72"/>
      <c r="PM15" s="72">
        <f t="shared" si="46"/>
        <v>0</v>
      </c>
      <c r="PP15" s="108"/>
      <c r="PQ15" s="15">
        <v>8</v>
      </c>
      <c r="PR15" s="93"/>
      <c r="PS15" s="341"/>
      <c r="PT15" s="93"/>
      <c r="PU15" s="96"/>
      <c r="PV15" s="72"/>
      <c r="PY15" s="108"/>
      <c r="PZ15" s="15">
        <v>8</v>
      </c>
      <c r="QA15" s="93"/>
      <c r="QB15" s="141"/>
      <c r="QC15" s="93"/>
      <c r="QD15" s="96"/>
      <c r="QE15" s="72"/>
      <c r="QH15" s="108"/>
      <c r="QI15" s="15">
        <v>8</v>
      </c>
      <c r="QJ15" s="93"/>
      <c r="QK15" s="341"/>
      <c r="QL15" s="93"/>
      <c r="QM15" s="96"/>
      <c r="QN15" s="72"/>
      <c r="QQ15" s="108"/>
      <c r="QR15" s="15">
        <v>8</v>
      </c>
      <c r="QS15" s="93"/>
      <c r="QT15" s="341"/>
      <c r="QU15" s="93"/>
      <c r="QV15" s="96"/>
      <c r="QW15" s="72"/>
      <c r="QZ15" s="108"/>
      <c r="RA15" s="15">
        <v>8</v>
      </c>
      <c r="RB15" s="93"/>
      <c r="RC15" s="341"/>
      <c r="RD15" s="93"/>
      <c r="RE15" s="96"/>
      <c r="RF15" s="72"/>
      <c r="RI15" s="108"/>
      <c r="RJ15" s="15">
        <v>8</v>
      </c>
      <c r="RK15" s="93"/>
      <c r="RL15" s="341"/>
      <c r="RM15" s="93"/>
      <c r="RN15" s="96"/>
      <c r="RO15" s="72"/>
      <c r="RR15" s="108"/>
      <c r="RS15" s="15">
        <v>8</v>
      </c>
      <c r="RT15" s="93"/>
      <c r="RU15" s="141"/>
      <c r="RV15" s="93"/>
      <c r="RW15" s="96"/>
      <c r="RX15" s="72"/>
      <c r="SA15" s="108"/>
      <c r="SB15" s="15">
        <v>8</v>
      </c>
      <c r="SC15" s="93"/>
      <c r="SD15" s="80"/>
      <c r="SE15" s="93"/>
      <c r="SF15" s="96"/>
      <c r="SG15" s="72"/>
      <c r="SJ15" s="108"/>
      <c r="SK15" s="15">
        <v>8</v>
      </c>
      <c r="SL15" s="93"/>
      <c r="SM15" s="80"/>
      <c r="SN15" s="93"/>
      <c r="SO15" s="96"/>
      <c r="SP15" s="72"/>
      <c r="SS15" s="108"/>
      <c r="ST15" s="15"/>
      <c r="SU15" s="93"/>
      <c r="SV15" s="80"/>
      <c r="SW15" s="93"/>
      <c r="SX15" s="96"/>
      <c r="SY15" s="72"/>
      <c r="TB15" s="108"/>
      <c r="TC15" s="15">
        <v>8</v>
      </c>
      <c r="TD15" s="93"/>
      <c r="TE15" s="411"/>
      <c r="TF15" s="189"/>
      <c r="TG15" s="404"/>
      <c r="TH15" s="403"/>
      <c r="TK15" s="108"/>
      <c r="TL15" s="15">
        <v>8</v>
      </c>
      <c r="TM15" s="93"/>
      <c r="TN15" s="80"/>
      <c r="TO15" s="93"/>
      <c r="TP15" s="96"/>
      <c r="TQ15" s="72"/>
      <c r="TT15" s="108"/>
      <c r="TU15" s="15">
        <v>8</v>
      </c>
      <c r="TV15" s="93"/>
      <c r="TW15" s="80"/>
      <c r="TX15" s="93"/>
      <c r="TY15" s="96"/>
      <c r="TZ15" s="72"/>
      <c r="UC15" s="108"/>
      <c r="UD15" s="15">
        <v>8</v>
      </c>
      <c r="UE15" s="93"/>
      <c r="UF15" s="80"/>
      <c r="UG15" s="93"/>
      <c r="UH15" s="96"/>
      <c r="UI15" s="72"/>
      <c r="UL15" s="108"/>
      <c r="UM15" s="15">
        <v>8</v>
      </c>
      <c r="UN15" s="93"/>
      <c r="UO15" s="80"/>
      <c r="UP15" s="93"/>
      <c r="UQ15" s="96"/>
      <c r="UR15" s="72"/>
      <c r="UU15" s="108"/>
      <c r="UV15" s="15">
        <v>8</v>
      </c>
      <c r="UW15" s="93"/>
      <c r="UX15" s="80"/>
      <c r="UY15" s="93"/>
      <c r="UZ15" s="96"/>
      <c r="VA15" s="72"/>
      <c r="VD15" s="108"/>
      <c r="VE15" s="15">
        <v>8</v>
      </c>
      <c r="VF15" s="93"/>
      <c r="VG15" s="80"/>
      <c r="VH15" s="93"/>
      <c r="VI15" s="96"/>
      <c r="VJ15" s="72"/>
      <c r="VM15" s="108"/>
      <c r="VN15" s="15">
        <v>8</v>
      </c>
      <c r="VO15" s="93"/>
      <c r="VP15" s="80"/>
      <c r="VQ15" s="93"/>
      <c r="VR15" s="96"/>
      <c r="VS15" s="72"/>
      <c r="VV15" s="108"/>
      <c r="VW15" s="15">
        <v>8</v>
      </c>
      <c r="VX15" s="93"/>
      <c r="VY15" s="80"/>
      <c r="VZ15" s="93"/>
      <c r="WA15" s="96"/>
      <c r="WB15" s="72"/>
      <c r="WE15" s="108"/>
      <c r="WF15" s="15">
        <v>8</v>
      </c>
      <c r="WG15" s="93"/>
      <c r="WH15" s="80"/>
      <c r="WI15" s="93"/>
      <c r="WJ15" s="96"/>
      <c r="WK15" s="72"/>
      <c r="WN15" s="108"/>
      <c r="WO15" s="15">
        <v>8</v>
      </c>
      <c r="WP15" s="93"/>
      <c r="WQ15" s="80"/>
      <c r="WR15" s="93"/>
      <c r="WS15" s="96"/>
      <c r="WT15" s="72"/>
      <c r="WW15" s="108"/>
      <c r="WX15" s="15">
        <v>8</v>
      </c>
      <c r="WY15" s="93"/>
      <c r="WZ15" s="80"/>
      <c r="XA15" s="93"/>
      <c r="XB15" s="96"/>
      <c r="XC15" s="72"/>
      <c r="XF15" s="108"/>
      <c r="XG15" s="15">
        <v>8</v>
      </c>
      <c r="XH15" s="93"/>
      <c r="XI15" s="80"/>
      <c r="XJ15" s="93"/>
      <c r="XK15" s="96"/>
      <c r="XL15" s="72"/>
      <c r="XO15" s="108"/>
      <c r="XP15" s="15">
        <v>8</v>
      </c>
      <c r="XQ15" s="93"/>
      <c r="XR15" s="80"/>
      <c r="XS15" s="93"/>
      <c r="XT15" s="96"/>
      <c r="XU15" s="72"/>
      <c r="XX15" s="108"/>
      <c r="XY15" s="15">
        <v>8</v>
      </c>
      <c r="XZ15" s="93"/>
      <c r="YA15" s="80"/>
      <c r="YB15" s="93"/>
      <c r="YC15" s="96"/>
      <c r="YD15" s="72"/>
      <c r="YG15" s="108"/>
      <c r="YH15" s="15">
        <v>8</v>
      </c>
      <c r="YI15" s="93"/>
      <c r="YJ15" s="80"/>
      <c r="YK15" s="93"/>
      <c r="YL15" s="96"/>
      <c r="YM15" s="72"/>
      <c r="YP15" s="108"/>
      <c r="YQ15" s="15">
        <v>8</v>
      </c>
      <c r="YR15" s="93"/>
      <c r="YS15" s="80"/>
      <c r="YT15" s="93"/>
      <c r="YU15" s="96"/>
      <c r="YV15" s="72"/>
      <c r="YY15" s="108"/>
      <c r="YZ15" s="15">
        <v>8</v>
      </c>
      <c r="ZA15" s="93"/>
      <c r="ZB15" s="80"/>
      <c r="ZC15" s="93"/>
      <c r="ZD15" s="96"/>
      <c r="ZE15" s="72"/>
      <c r="ZH15" s="108"/>
      <c r="ZI15" s="15">
        <v>8</v>
      </c>
      <c r="ZJ15" s="93"/>
      <c r="ZK15" s="80"/>
      <c r="ZL15" s="93"/>
      <c r="ZM15" s="96"/>
      <c r="ZN15" s="72"/>
      <c r="ZQ15" s="108"/>
      <c r="ZR15" s="15">
        <v>8</v>
      </c>
      <c r="ZS15" s="93"/>
      <c r="ZT15" s="80"/>
      <c r="ZU15" s="93"/>
      <c r="ZV15" s="96"/>
      <c r="ZW15" s="72"/>
      <c r="ZZ15" s="108"/>
      <c r="AAA15" s="15">
        <v>8</v>
      </c>
      <c r="AAB15" s="93"/>
      <c r="AAC15" s="80"/>
      <c r="AAD15" s="93"/>
      <c r="AAE15" s="96"/>
      <c r="AAF15" s="72"/>
      <c r="AAI15" s="108"/>
      <c r="AAJ15" s="15">
        <v>8</v>
      </c>
      <c r="AAK15" s="93"/>
      <c r="AAL15" s="80"/>
      <c r="AAM15" s="93"/>
      <c r="AAN15" s="96"/>
      <c r="AAO15" s="72"/>
      <c r="AAR15" s="108"/>
      <c r="AAS15" s="15">
        <v>8</v>
      </c>
      <c r="AAT15" s="93"/>
      <c r="AAU15" s="80"/>
      <c r="AAV15" s="93"/>
      <c r="AAW15" s="96"/>
      <c r="AAX15" s="72"/>
      <c r="ABA15" s="108"/>
      <c r="ABB15" s="15">
        <v>8</v>
      </c>
      <c r="ABC15" s="93"/>
      <c r="ABD15" s="80"/>
      <c r="ABE15" s="93"/>
      <c r="ABF15" s="96"/>
      <c r="ABG15" s="72"/>
      <c r="ABJ15" s="108"/>
      <c r="ABK15" s="15">
        <v>8</v>
      </c>
      <c r="ABL15" s="93"/>
      <c r="ABM15" s="80"/>
      <c r="ABN15" s="93"/>
      <c r="ABO15" s="96"/>
      <c r="ABP15" s="72"/>
      <c r="ABS15" s="108"/>
      <c r="ABT15" s="15">
        <v>8</v>
      </c>
      <c r="ABU15" s="93"/>
      <c r="ABV15" s="80"/>
      <c r="ABW15" s="93"/>
      <c r="ABX15" s="96"/>
      <c r="ABY15" s="72"/>
      <c r="ACB15" s="108"/>
      <c r="ACC15" s="15">
        <v>8</v>
      </c>
      <c r="ACD15" s="93"/>
      <c r="ACE15" s="80"/>
      <c r="ACF15" s="93"/>
      <c r="ACG15" s="96"/>
      <c r="ACH15" s="72"/>
      <c r="ACK15" s="108"/>
      <c r="ACL15" s="15">
        <v>8</v>
      </c>
      <c r="ACM15" s="93"/>
      <c r="ACN15" s="80"/>
      <c r="ACO15" s="93"/>
      <c r="ACP15" s="96"/>
      <c r="ACQ15" s="72"/>
      <c r="ACT15" s="108"/>
      <c r="ACU15" s="15">
        <v>8</v>
      </c>
      <c r="ACV15" s="93"/>
      <c r="ACW15" s="80"/>
      <c r="ACX15" s="93"/>
      <c r="ACY15" s="96"/>
      <c r="ACZ15" s="72"/>
      <c r="ADC15" s="108"/>
      <c r="ADD15" s="15">
        <v>8</v>
      </c>
      <c r="ADE15" s="93"/>
      <c r="ADF15" s="80"/>
      <c r="ADG15" s="93"/>
      <c r="ADH15" s="96"/>
      <c r="ADI15" s="72"/>
      <c r="ADL15" s="108"/>
      <c r="ADM15" s="15">
        <v>8</v>
      </c>
      <c r="ADN15" s="93"/>
      <c r="ADO15" s="80"/>
      <c r="ADP15" s="93"/>
      <c r="ADQ15" s="96"/>
      <c r="ADR15" s="72"/>
      <c r="ADU15" s="108"/>
      <c r="ADV15" s="15">
        <v>8</v>
      </c>
      <c r="ADW15" s="93"/>
      <c r="ADX15" s="80"/>
      <c r="ADY15" s="93"/>
      <c r="ADZ15" s="96"/>
      <c r="AEA15" s="72"/>
      <c r="AED15" s="108"/>
      <c r="AEE15" s="15">
        <v>8</v>
      </c>
      <c r="AEF15" s="93"/>
      <c r="AEG15" s="80"/>
      <c r="AEH15" s="93"/>
      <c r="AEI15" s="96"/>
      <c r="AEJ15" s="72"/>
      <c r="AEM15" s="108"/>
      <c r="AEN15" s="15">
        <v>8</v>
      </c>
      <c r="AEO15" s="93"/>
      <c r="AEP15" s="80"/>
      <c r="AEQ15" s="93"/>
      <c r="AER15" s="96"/>
      <c r="AES15" s="72"/>
    </row>
    <row r="16" spans="1:825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75026366</v>
      </c>
      <c r="E16" s="141">
        <f t="shared" si="54"/>
        <v>44546</v>
      </c>
      <c r="F16" s="87">
        <f t="shared" si="54"/>
        <v>18925.2</v>
      </c>
      <c r="G16" s="74">
        <f t="shared" si="54"/>
        <v>21</v>
      </c>
      <c r="H16" s="48">
        <f t="shared" si="54"/>
        <v>18989.5</v>
      </c>
      <c r="I16" s="107">
        <f t="shared" si="54"/>
        <v>-64.299999999999272</v>
      </c>
      <c r="L16" s="108"/>
      <c r="M16" s="15">
        <v>9</v>
      </c>
      <c r="N16" s="93">
        <v>886.3</v>
      </c>
      <c r="O16" s="341">
        <v>44537</v>
      </c>
      <c r="P16" s="93">
        <v>886.3</v>
      </c>
      <c r="Q16" s="96" t="s">
        <v>454</v>
      </c>
      <c r="R16" s="72">
        <v>37</v>
      </c>
      <c r="S16" s="627">
        <f t="shared" si="6"/>
        <v>32793.1</v>
      </c>
      <c r="T16" s="255"/>
      <c r="V16" s="108"/>
      <c r="W16" s="15">
        <v>9</v>
      </c>
      <c r="X16" s="292">
        <v>877.2</v>
      </c>
      <c r="Y16" s="346">
        <v>44538</v>
      </c>
      <c r="Z16" s="292">
        <v>877.2</v>
      </c>
      <c r="AA16" s="406" t="s">
        <v>468</v>
      </c>
      <c r="AB16" s="279">
        <v>37</v>
      </c>
      <c r="AC16" s="338">
        <f t="shared" si="7"/>
        <v>32456.400000000001</v>
      </c>
      <c r="AF16" s="108"/>
      <c r="AG16" s="15">
        <v>9</v>
      </c>
      <c r="AH16" s="93">
        <v>915.8</v>
      </c>
      <c r="AI16" s="341">
        <v>44537</v>
      </c>
      <c r="AJ16" s="93">
        <v>915.8</v>
      </c>
      <c r="AK16" s="96" t="s">
        <v>457</v>
      </c>
      <c r="AL16" s="72">
        <v>37</v>
      </c>
      <c r="AM16" s="630">
        <f t="shared" si="8"/>
        <v>33884.6</v>
      </c>
      <c r="AP16" s="108"/>
      <c r="AQ16" s="15">
        <v>9</v>
      </c>
      <c r="AR16" s="335">
        <v>931.22</v>
      </c>
      <c r="AS16" s="346">
        <v>44538</v>
      </c>
      <c r="AT16" s="335">
        <v>931.22</v>
      </c>
      <c r="AU16" s="334" t="s">
        <v>481</v>
      </c>
      <c r="AV16" s="279">
        <v>37</v>
      </c>
      <c r="AW16" s="338">
        <f t="shared" si="9"/>
        <v>34455.14</v>
      </c>
      <c r="AZ16" s="108"/>
      <c r="BA16" s="15">
        <v>9</v>
      </c>
      <c r="BB16" s="93">
        <v>944.83</v>
      </c>
      <c r="BC16" s="141">
        <v>44539</v>
      </c>
      <c r="BD16" s="93">
        <v>944.83</v>
      </c>
      <c r="BE16" s="96" t="s">
        <v>492</v>
      </c>
      <c r="BF16" s="400">
        <v>36</v>
      </c>
      <c r="BG16" s="646">
        <f t="shared" si="10"/>
        <v>34013.880000000005</v>
      </c>
      <c r="BJ16" s="108"/>
      <c r="BK16" s="15">
        <v>9</v>
      </c>
      <c r="BL16" s="93">
        <v>921.2</v>
      </c>
      <c r="BM16" s="141">
        <v>44540</v>
      </c>
      <c r="BN16" s="93">
        <v>921.2</v>
      </c>
      <c r="BO16" s="96" t="s">
        <v>501</v>
      </c>
      <c r="BP16" s="400">
        <v>36</v>
      </c>
      <c r="BQ16" s="857">
        <f t="shared" si="11"/>
        <v>33163.200000000004</v>
      </c>
      <c r="BT16" s="108"/>
      <c r="BU16" s="276">
        <v>9</v>
      </c>
      <c r="BV16" s="292">
        <v>930.3</v>
      </c>
      <c r="BW16" s="401">
        <v>44541</v>
      </c>
      <c r="BX16" s="292">
        <v>930.3</v>
      </c>
      <c r="BY16" s="402" t="s">
        <v>461</v>
      </c>
      <c r="BZ16" s="403">
        <v>36</v>
      </c>
      <c r="CA16" s="627">
        <f t="shared" si="12"/>
        <v>33490.799999999996</v>
      </c>
      <c r="CD16" s="909"/>
      <c r="CE16" s="15">
        <v>9</v>
      </c>
      <c r="CF16" s="93">
        <v>926.7</v>
      </c>
      <c r="CG16" s="401">
        <v>44542</v>
      </c>
      <c r="CH16" s="93">
        <v>926.7</v>
      </c>
      <c r="CI16" s="404" t="s">
        <v>512</v>
      </c>
      <c r="CJ16" s="403">
        <v>36</v>
      </c>
      <c r="CK16" s="627">
        <f t="shared" si="13"/>
        <v>33361.200000000004</v>
      </c>
      <c r="CN16" s="95"/>
      <c r="CO16" s="15">
        <v>9</v>
      </c>
      <c r="CP16" s="93">
        <v>875.4</v>
      </c>
      <c r="CQ16" s="401">
        <v>44545</v>
      </c>
      <c r="CR16" s="93">
        <v>875.4</v>
      </c>
      <c r="CS16" s="404" t="s">
        <v>525</v>
      </c>
      <c r="CT16" s="403">
        <v>38</v>
      </c>
      <c r="CU16" s="635">
        <f t="shared" si="48"/>
        <v>33265.199999999997</v>
      </c>
      <c r="CX16" s="108"/>
      <c r="CY16" s="15">
        <v>9</v>
      </c>
      <c r="CZ16" s="93">
        <v>932.1</v>
      </c>
      <c r="DA16" s="341">
        <v>44544</v>
      </c>
      <c r="DB16" s="93">
        <v>932.1</v>
      </c>
      <c r="DC16" s="96" t="s">
        <v>517</v>
      </c>
      <c r="DD16" s="72">
        <v>38</v>
      </c>
      <c r="DE16" s="627">
        <f t="shared" si="14"/>
        <v>35419.800000000003</v>
      </c>
      <c r="DH16" s="108"/>
      <c r="DI16" s="15">
        <v>9</v>
      </c>
      <c r="DJ16" s="93">
        <v>905.8</v>
      </c>
      <c r="DK16" s="401">
        <v>44544</v>
      </c>
      <c r="DL16" s="93">
        <v>905.8</v>
      </c>
      <c r="DM16" s="404" t="s">
        <v>476</v>
      </c>
      <c r="DN16" s="403">
        <v>38</v>
      </c>
      <c r="DO16" s="635">
        <f t="shared" si="15"/>
        <v>34420.400000000001</v>
      </c>
      <c r="DR16" s="108"/>
      <c r="DS16" s="15">
        <v>9</v>
      </c>
      <c r="DT16" s="93">
        <v>914.44</v>
      </c>
      <c r="DU16" s="401">
        <v>44545</v>
      </c>
      <c r="DV16" s="93">
        <v>914.44</v>
      </c>
      <c r="DW16" s="404" t="s">
        <v>477</v>
      </c>
      <c r="DX16" s="403">
        <v>38</v>
      </c>
      <c r="DY16" s="627">
        <f t="shared" si="16"/>
        <v>34748.720000000001</v>
      </c>
      <c r="EB16" s="108"/>
      <c r="EC16" s="15">
        <v>9</v>
      </c>
      <c r="ED16" s="70">
        <v>901.7</v>
      </c>
      <c r="EE16" s="357">
        <v>44546</v>
      </c>
      <c r="EF16" s="70">
        <v>901.7</v>
      </c>
      <c r="EG16" s="71" t="s">
        <v>533</v>
      </c>
      <c r="EH16" s="72">
        <v>38</v>
      </c>
      <c r="EI16" s="627">
        <f t="shared" si="17"/>
        <v>34264.6</v>
      </c>
      <c r="EL16" s="452"/>
      <c r="EM16" s="15">
        <v>9</v>
      </c>
      <c r="EN16" s="292">
        <v>934.4</v>
      </c>
      <c r="EO16" s="346">
        <v>44546</v>
      </c>
      <c r="EP16" s="292">
        <v>934.4</v>
      </c>
      <c r="EQ16" s="278" t="s">
        <v>530</v>
      </c>
      <c r="ER16" s="279">
        <v>38</v>
      </c>
      <c r="ES16" s="627">
        <f t="shared" si="18"/>
        <v>35507.199999999997</v>
      </c>
      <c r="EV16" s="108"/>
      <c r="EW16" s="15">
        <v>9</v>
      </c>
      <c r="EX16" s="70">
        <v>879.5</v>
      </c>
      <c r="EY16" s="357">
        <v>44548</v>
      </c>
      <c r="EZ16" s="70">
        <v>879.5</v>
      </c>
      <c r="FA16" s="278" t="s">
        <v>541</v>
      </c>
      <c r="FB16" s="72">
        <v>38</v>
      </c>
      <c r="FC16" s="338">
        <f t="shared" si="19"/>
        <v>33421</v>
      </c>
      <c r="FF16" s="452"/>
      <c r="FG16" s="15">
        <v>9</v>
      </c>
      <c r="FH16" s="292">
        <v>890.4</v>
      </c>
      <c r="FI16" s="346">
        <v>44548</v>
      </c>
      <c r="FJ16" s="292">
        <v>890.4</v>
      </c>
      <c r="FK16" s="278" t="s">
        <v>538</v>
      </c>
      <c r="FL16" s="279">
        <v>38</v>
      </c>
      <c r="FM16" s="627">
        <f t="shared" si="20"/>
        <v>33835.199999999997</v>
      </c>
      <c r="FP16" s="108"/>
      <c r="FQ16" s="15">
        <v>9</v>
      </c>
      <c r="FR16" s="93">
        <v>894.5</v>
      </c>
      <c r="FS16" s="341">
        <v>44548</v>
      </c>
      <c r="FT16" s="93">
        <v>894.5</v>
      </c>
      <c r="FU16" s="71" t="s">
        <v>544</v>
      </c>
      <c r="FV16" s="72">
        <v>38</v>
      </c>
      <c r="FW16" s="627">
        <f t="shared" si="21"/>
        <v>33991</v>
      </c>
      <c r="FZ16" s="108"/>
      <c r="GA16" s="15">
        <v>9</v>
      </c>
      <c r="GB16" s="70">
        <v>932.1</v>
      </c>
      <c r="GC16" s="545">
        <v>44551</v>
      </c>
      <c r="GD16" s="70">
        <v>932.1</v>
      </c>
      <c r="GE16" s="278" t="s">
        <v>564</v>
      </c>
      <c r="GF16" s="279">
        <v>39</v>
      </c>
      <c r="GG16" s="338">
        <f t="shared" si="22"/>
        <v>36351.9</v>
      </c>
      <c r="GJ16" s="108"/>
      <c r="GK16" s="15">
        <v>9</v>
      </c>
      <c r="GL16" s="523">
        <v>899</v>
      </c>
      <c r="GM16" s="341">
        <v>44551</v>
      </c>
      <c r="GN16" s="523">
        <v>899</v>
      </c>
      <c r="GO16" s="96" t="s">
        <v>566</v>
      </c>
      <c r="GP16" s="72">
        <v>39</v>
      </c>
      <c r="GQ16" s="627">
        <f t="shared" si="23"/>
        <v>35061</v>
      </c>
      <c r="GT16" s="108"/>
      <c r="GU16" s="15">
        <v>9</v>
      </c>
      <c r="GV16" s="292">
        <v>881.3</v>
      </c>
      <c r="GW16" s="346">
        <v>44551</v>
      </c>
      <c r="GX16" s="292">
        <v>881.3</v>
      </c>
      <c r="GY16" s="334" t="s">
        <v>568</v>
      </c>
      <c r="GZ16" s="279">
        <v>39</v>
      </c>
      <c r="HA16" s="627">
        <f t="shared" si="24"/>
        <v>34370.699999999997</v>
      </c>
      <c r="HD16" s="108"/>
      <c r="HE16" s="15">
        <v>9</v>
      </c>
      <c r="HF16" s="93">
        <v>920.8</v>
      </c>
      <c r="HG16" s="341">
        <v>44552</v>
      </c>
      <c r="HH16" s="93">
        <v>920.8</v>
      </c>
      <c r="HI16" s="96" t="s">
        <v>581</v>
      </c>
      <c r="HJ16" s="72">
        <v>41</v>
      </c>
      <c r="HK16" s="627">
        <f t="shared" si="25"/>
        <v>37752.799999999996</v>
      </c>
      <c r="HN16" s="108"/>
      <c r="HO16" s="15">
        <v>9</v>
      </c>
      <c r="HP16" s="292">
        <v>938.02</v>
      </c>
      <c r="HQ16" s="346">
        <v>44552</v>
      </c>
      <c r="HR16" s="292">
        <v>938.02</v>
      </c>
      <c r="HS16" s="406" t="s">
        <v>578</v>
      </c>
      <c r="HT16" s="279">
        <v>41</v>
      </c>
      <c r="HU16" s="627">
        <f t="shared" si="26"/>
        <v>38458.82</v>
      </c>
      <c r="HX16" s="95"/>
      <c r="HY16" s="15">
        <v>9</v>
      </c>
      <c r="HZ16" s="70">
        <v>918.07</v>
      </c>
      <c r="IA16" s="357">
        <v>44553</v>
      </c>
      <c r="IB16" s="70">
        <v>918.07</v>
      </c>
      <c r="IC16" s="71" t="s">
        <v>591</v>
      </c>
      <c r="ID16" s="72">
        <v>42</v>
      </c>
      <c r="IE16" s="627">
        <f t="shared" si="27"/>
        <v>38558.94</v>
      </c>
      <c r="IH16" s="95"/>
      <c r="II16" s="15">
        <v>9</v>
      </c>
      <c r="IJ16" s="70">
        <v>910.35</v>
      </c>
      <c r="IK16" s="357">
        <v>44553</v>
      </c>
      <c r="IL16" s="70">
        <v>910.35</v>
      </c>
      <c r="IM16" s="71" t="s">
        <v>598</v>
      </c>
      <c r="IN16" s="72">
        <v>41</v>
      </c>
      <c r="IO16" s="627">
        <f t="shared" si="28"/>
        <v>37324.35</v>
      </c>
      <c r="IR16" s="108"/>
      <c r="IS16" s="15">
        <v>9</v>
      </c>
      <c r="IT16" s="292">
        <v>884.5</v>
      </c>
      <c r="IU16" s="258">
        <v>44554</v>
      </c>
      <c r="IV16" s="292">
        <v>884.5</v>
      </c>
      <c r="IW16" s="552" t="s">
        <v>610</v>
      </c>
      <c r="IX16" s="279">
        <v>41</v>
      </c>
      <c r="IY16" s="338">
        <f t="shared" si="29"/>
        <v>36264.5</v>
      </c>
      <c r="IZ16" s="93"/>
      <c r="JA16" s="70"/>
      <c r="JB16" s="108"/>
      <c r="JC16" s="15">
        <v>9</v>
      </c>
      <c r="JD16" s="93">
        <v>864.1</v>
      </c>
      <c r="JE16" s="357">
        <v>44554</v>
      </c>
      <c r="JF16" s="93">
        <v>864.1</v>
      </c>
      <c r="JG16" s="71" t="s">
        <v>612</v>
      </c>
      <c r="JH16" s="72">
        <v>41</v>
      </c>
      <c r="JI16" s="627">
        <f t="shared" si="30"/>
        <v>35428.1</v>
      </c>
      <c r="JJ16" s="70"/>
      <c r="JL16" s="108"/>
      <c r="JM16" s="15">
        <v>9</v>
      </c>
      <c r="JN16" s="93">
        <v>914.4</v>
      </c>
      <c r="JO16" s="341">
        <v>44554</v>
      </c>
      <c r="JP16" s="93">
        <v>914.4</v>
      </c>
      <c r="JQ16" s="71" t="s">
        <v>603</v>
      </c>
      <c r="JR16" s="72">
        <v>41</v>
      </c>
      <c r="JS16" s="627">
        <f t="shared" si="31"/>
        <v>37490.400000000001</v>
      </c>
      <c r="JV16" s="108"/>
      <c r="JW16" s="15">
        <v>9</v>
      </c>
      <c r="JX16" s="70">
        <v>893.6</v>
      </c>
      <c r="JY16" s="357">
        <v>44554</v>
      </c>
      <c r="JZ16" s="70">
        <v>893.6</v>
      </c>
      <c r="KA16" s="71" t="s">
        <v>608</v>
      </c>
      <c r="KB16" s="72">
        <v>41</v>
      </c>
      <c r="KC16" s="627">
        <f t="shared" si="32"/>
        <v>36637.599999999999</v>
      </c>
      <c r="KF16" s="108"/>
      <c r="KG16" s="15">
        <v>9</v>
      </c>
      <c r="KH16" s="70">
        <v>932.6</v>
      </c>
      <c r="KI16" s="357">
        <v>44556</v>
      </c>
      <c r="KJ16" s="70">
        <v>932.6</v>
      </c>
      <c r="KK16" s="71" t="s">
        <v>619</v>
      </c>
      <c r="KL16" s="72">
        <v>41</v>
      </c>
      <c r="KM16" s="627">
        <f t="shared" si="33"/>
        <v>38236.6</v>
      </c>
      <c r="KP16" s="108"/>
      <c r="KQ16" s="15">
        <v>9</v>
      </c>
      <c r="KR16" s="70">
        <v>905.8</v>
      </c>
      <c r="KS16" s="357">
        <v>44558</v>
      </c>
      <c r="KT16" s="70">
        <v>905.8</v>
      </c>
      <c r="KU16" s="71" t="s">
        <v>637</v>
      </c>
      <c r="KV16" s="72">
        <v>42</v>
      </c>
      <c r="KW16" s="627">
        <f t="shared" si="34"/>
        <v>38043.599999999999</v>
      </c>
      <c r="KZ16" s="108"/>
      <c r="LA16" s="15">
        <v>9</v>
      </c>
      <c r="LB16" s="93">
        <v>938.02</v>
      </c>
      <c r="LC16" s="341">
        <v>44558</v>
      </c>
      <c r="LD16" s="93">
        <v>938.02</v>
      </c>
      <c r="LE16" s="96" t="s">
        <v>643</v>
      </c>
      <c r="LF16" s="72">
        <v>42</v>
      </c>
      <c r="LG16" s="627">
        <f t="shared" si="35"/>
        <v>39396.839999999997</v>
      </c>
      <c r="LJ16" s="108"/>
      <c r="LK16" s="15">
        <v>9</v>
      </c>
      <c r="LL16" s="93">
        <v>932.13</v>
      </c>
      <c r="LM16" s="341">
        <v>44559</v>
      </c>
      <c r="LN16" s="292">
        <v>932.13</v>
      </c>
      <c r="LO16" s="96" t="s">
        <v>655</v>
      </c>
      <c r="LP16" s="72">
        <v>42</v>
      </c>
      <c r="LQ16" s="627">
        <f t="shared" si="36"/>
        <v>39149.46</v>
      </c>
      <c r="LT16" s="108"/>
      <c r="LU16" s="15">
        <v>9</v>
      </c>
      <c r="LV16" s="93">
        <v>919</v>
      </c>
      <c r="LW16" s="341">
        <v>44559</v>
      </c>
      <c r="LX16" s="93">
        <v>919</v>
      </c>
      <c r="LY16" s="96" t="s">
        <v>650</v>
      </c>
      <c r="LZ16" s="72">
        <v>42</v>
      </c>
      <c r="MA16" s="627">
        <f t="shared" si="37"/>
        <v>38598</v>
      </c>
      <c r="MB16" s="627"/>
      <c r="MD16" s="108"/>
      <c r="ME16" s="15">
        <v>9</v>
      </c>
      <c r="MF16" s="412">
        <v>896.3</v>
      </c>
      <c r="MG16" s="341">
        <v>44560</v>
      </c>
      <c r="MH16" s="412">
        <v>896.3</v>
      </c>
      <c r="MI16" s="96" t="s">
        <v>660</v>
      </c>
      <c r="MJ16" s="72">
        <v>43</v>
      </c>
      <c r="MK16" s="72">
        <f t="shared" si="38"/>
        <v>38540.9</v>
      </c>
      <c r="MN16" s="108"/>
      <c r="MO16" s="15">
        <v>9</v>
      </c>
      <c r="MP16" s="93">
        <v>895.86</v>
      </c>
      <c r="MQ16" s="341">
        <v>44560</v>
      </c>
      <c r="MR16" s="93">
        <v>895.86</v>
      </c>
      <c r="MS16" s="96" t="s">
        <v>665</v>
      </c>
      <c r="MT16" s="72">
        <v>43</v>
      </c>
      <c r="MU16" s="72">
        <f t="shared" si="39"/>
        <v>38521.980000000003</v>
      </c>
      <c r="MX16" s="108"/>
      <c r="MY16" s="15">
        <v>9</v>
      </c>
      <c r="MZ16" s="93">
        <v>867.7</v>
      </c>
      <c r="NA16" s="341">
        <v>44561</v>
      </c>
      <c r="NB16" s="93">
        <v>867.7</v>
      </c>
      <c r="NC16" s="96" t="s">
        <v>672</v>
      </c>
      <c r="ND16" s="72">
        <v>40</v>
      </c>
      <c r="NE16" s="72">
        <f t="shared" si="40"/>
        <v>34708</v>
      </c>
      <c r="NH16" s="108"/>
      <c r="NI16" s="15">
        <v>9</v>
      </c>
      <c r="NJ16" s="93">
        <v>922.1</v>
      </c>
      <c r="NK16" s="341"/>
      <c r="NL16" s="93"/>
      <c r="NM16" s="96"/>
      <c r="NN16" s="72"/>
      <c r="NO16" s="72">
        <f t="shared" si="41"/>
        <v>0</v>
      </c>
      <c r="NR16" s="108"/>
      <c r="NS16" s="15">
        <v>9</v>
      </c>
      <c r="NT16" s="93">
        <v>899.9</v>
      </c>
      <c r="NU16" s="341">
        <v>44563</v>
      </c>
      <c r="NV16" s="93">
        <v>899.9</v>
      </c>
      <c r="NW16" s="96" t="s">
        <v>681</v>
      </c>
      <c r="NX16" s="72">
        <v>34</v>
      </c>
      <c r="NY16" s="72">
        <f t="shared" si="42"/>
        <v>30596.6</v>
      </c>
      <c r="OB16" s="108"/>
      <c r="OC16" s="15">
        <v>9</v>
      </c>
      <c r="OD16" s="93"/>
      <c r="OE16" s="341"/>
      <c r="OF16" s="93"/>
      <c r="OG16" s="96"/>
      <c r="OH16" s="72"/>
      <c r="OI16" s="72">
        <f t="shared" si="43"/>
        <v>0</v>
      </c>
      <c r="OL16" s="108"/>
      <c r="OM16" s="15">
        <v>9</v>
      </c>
      <c r="ON16" s="93"/>
      <c r="OO16" s="341"/>
      <c r="OP16" s="93"/>
      <c r="OQ16" s="96"/>
      <c r="OR16" s="72"/>
      <c r="OS16" s="72">
        <f t="shared" si="44"/>
        <v>0</v>
      </c>
      <c r="OV16" s="108"/>
      <c r="OW16" s="15">
        <v>9</v>
      </c>
      <c r="OX16" s="292"/>
      <c r="OY16" s="346"/>
      <c r="OZ16" s="292"/>
      <c r="PA16" s="334"/>
      <c r="PB16" s="279"/>
      <c r="PC16" s="279">
        <f t="shared" si="45"/>
        <v>0</v>
      </c>
      <c r="PF16" s="95"/>
      <c r="PG16" s="15">
        <v>9</v>
      </c>
      <c r="PH16" s="93"/>
      <c r="PI16" s="341"/>
      <c r="PJ16" s="93"/>
      <c r="PK16" s="96"/>
      <c r="PL16" s="72"/>
      <c r="PM16" s="72">
        <f t="shared" si="46"/>
        <v>0</v>
      </c>
      <c r="PO16" s="76" t="s">
        <v>41</v>
      </c>
      <c r="PP16" s="108"/>
      <c r="PQ16" s="15">
        <v>9</v>
      </c>
      <c r="PR16" s="93"/>
      <c r="PS16" s="341"/>
      <c r="PT16" s="93"/>
      <c r="PU16" s="96"/>
      <c r="PV16" s="72"/>
      <c r="PY16" s="108"/>
      <c r="PZ16" s="15">
        <v>9</v>
      </c>
      <c r="QA16" s="93"/>
      <c r="QB16" s="141"/>
      <c r="QC16" s="93"/>
      <c r="QD16" s="96"/>
      <c r="QE16" s="72"/>
      <c r="QH16" s="108"/>
      <c r="QI16" s="15">
        <v>9</v>
      </c>
      <c r="QJ16" s="93"/>
      <c r="QK16" s="341"/>
      <c r="QL16" s="93"/>
      <c r="QM16" s="96"/>
      <c r="QN16" s="72"/>
      <c r="QQ16" s="108"/>
      <c r="QR16" s="15">
        <v>9</v>
      </c>
      <c r="QS16" s="93"/>
      <c r="QT16" s="341"/>
      <c r="QU16" s="93"/>
      <c r="QV16" s="96"/>
      <c r="QW16" s="72"/>
      <c r="QZ16" s="108"/>
      <c r="RA16" s="15">
        <v>9</v>
      </c>
      <c r="RB16" s="93"/>
      <c r="RC16" s="341"/>
      <c r="RD16" s="93"/>
      <c r="RE16" s="96"/>
      <c r="RF16" s="72"/>
      <c r="RI16" s="108"/>
      <c r="RJ16" s="15">
        <v>9</v>
      </c>
      <c r="RK16" s="93"/>
      <c r="RL16" s="341"/>
      <c r="RM16" s="93"/>
      <c r="RN16" s="96"/>
      <c r="RO16" s="72"/>
      <c r="RR16" s="108"/>
      <c r="RS16" s="15">
        <v>9</v>
      </c>
      <c r="RT16" s="93"/>
      <c r="RU16" s="141"/>
      <c r="RV16" s="93"/>
      <c r="RW16" s="96"/>
      <c r="RX16" s="72"/>
      <c r="SA16" s="108"/>
      <c r="SB16" s="15">
        <v>9</v>
      </c>
      <c r="SC16" s="93"/>
      <c r="SD16" s="80"/>
      <c r="SE16" s="93"/>
      <c r="SF16" s="96"/>
      <c r="SG16" s="72"/>
      <c r="SJ16" s="108"/>
      <c r="SK16" s="15">
        <v>9</v>
      </c>
      <c r="SL16" s="93"/>
      <c r="SM16" s="80"/>
      <c r="SN16" s="93"/>
      <c r="SO16" s="96"/>
      <c r="SP16" s="72"/>
      <c r="SS16" s="108"/>
      <c r="ST16" s="15"/>
      <c r="SU16" s="93"/>
      <c r="SV16" s="80"/>
      <c r="SW16" s="93"/>
      <c r="SX16" s="96"/>
      <c r="SY16" s="72"/>
      <c r="TB16" s="108"/>
      <c r="TC16" s="15">
        <v>9</v>
      </c>
      <c r="TD16" s="93"/>
      <c r="TE16" s="411"/>
      <c r="TF16" s="189"/>
      <c r="TG16" s="404"/>
      <c r="TH16" s="403"/>
      <c r="TK16" s="108"/>
      <c r="TL16" s="15">
        <v>9</v>
      </c>
      <c r="TM16" s="93"/>
      <c r="TN16" s="80"/>
      <c r="TO16" s="93"/>
      <c r="TP16" s="96"/>
      <c r="TQ16" s="72"/>
      <c r="TT16" s="108"/>
      <c r="TU16" s="15">
        <v>9</v>
      </c>
      <c r="TV16" s="93"/>
      <c r="TW16" s="80"/>
      <c r="TX16" s="93"/>
      <c r="TY16" s="96"/>
      <c r="TZ16" s="72"/>
      <c r="UC16" s="108"/>
      <c r="UD16" s="15">
        <v>9</v>
      </c>
      <c r="UE16" s="93"/>
      <c r="UF16" s="80"/>
      <c r="UG16" s="93"/>
      <c r="UH16" s="96"/>
      <c r="UI16" s="72"/>
      <c r="UL16" s="108"/>
      <c r="UM16" s="15">
        <v>9</v>
      </c>
      <c r="UN16" s="93"/>
      <c r="UO16" s="80"/>
      <c r="UP16" s="93"/>
      <c r="UQ16" s="96"/>
      <c r="UR16" s="72"/>
      <c r="UU16" s="108"/>
      <c r="UV16" s="15">
        <v>9</v>
      </c>
      <c r="UW16" s="93"/>
      <c r="UX16" s="80"/>
      <c r="UY16" s="93"/>
      <c r="UZ16" s="96"/>
      <c r="VA16" s="72"/>
      <c r="VD16" s="108"/>
      <c r="VE16" s="15">
        <v>9</v>
      </c>
      <c r="VF16" s="93"/>
      <c r="VG16" s="80"/>
      <c r="VH16" s="93"/>
      <c r="VI16" s="96"/>
      <c r="VJ16" s="72"/>
      <c r="VM16" s="108"/>
      <c r="VN16" s="15">
        <v>9</v>
      </c>
      <c r="VO16" s="93"/>
      <c r="VP16" s="80"/>
      <c r="VQ16" s="93"/>
      <c r="VR16" s="96"/>
      <c r="VS16" s="72"/>
      <c r="VV16" s="108"/>
      <c r="VW16" s="15">
        <v>9</v>
      </c>
      <c r="VX16" s="93"/>
      <c r="VY16" s="80"/>
      <c r="VZ16" s="93"/>
      <c r="WA16" s="96"/>
      <c r="WB16" s="72"/>
      <c r="WE16" s="108"/>
      <c r="WF16" s="15">
        <v>9</v>
      </c>
      <c r="WG16" s="93"/>
      <c r="WH16" s="80"/>
      <c r="WI16" s="93"/>
      <c r="WJ16" s="96"/>
      <c r="WK16" s="72"/>
      <c r="WN16" s="108"/>
      <c r="WO16" s="15">
        <v>9</v>
      </c>
      <c r="WP16" s="93"/>
      <c r="WQ16" s="80"/>
      <c r="WR16" s="93"/>
      <c r="WS16" s="96"/>
      <c r="WT16" s="72"/>
      <c r="WW16" s="108"/>
      <c r="WX16" s="15">
        <v>9</v>
      </c>
      <c r="WY16" s="93"/>
      <c r="WZ16" s="80"/>
      <c r="XA16" s="93"/>
      <c r="XB16" s="96"/>
      <c r="XC16" s="72"/>
      <c r="XF16" s="108"/>
      <c r="XG16" s="15">
        <v>9</v>
      </c>
      <c r="XH16" s="93"/>
      <c r="XI16" s="80"/>
      <c r="XJ16" s="93"/>
      <c r="XK16" s="96"/>
      <c r="XL16" s="72"/>
      <c r="XO16" s="108"/>
      <c r="XP16" s="15">
        <v>9</v>
      </c>
      <c r="XQ16" s="93"/>
      <c r="XR16" s="80"/>
      <c r="XS16" s="93"/>
      <c r="XT16" s="96"/>
      <c r="XU16" s="72"/>
      <c r="XX16" s="108"/>
      <c r="XY16" s="15">
        <v>9</v>
      </c>
      <c r="XZ16" s="93"/>
      <c r="YA16" s="80"/>
      <c r="YB16" s="93"/>
      <c r="YC16" s="96"/>
      <c r="YD16" s="72"/>
      <c r="YG16" s="108"/>
      <c r="YH16" s="15">
        <v>9</v>
      </c>
      <c r="YI16" s="93"/>
      <c r="YJ16" s="80"/>
      <c r="YK16" s="93"/>
      <c r="YL16" s="96"/>
      <c r="YM16" s="72"/>
      <c r="YP16" s="108"/>
      <c r="YQ16" s="15">
        <v>9</v>
      </c>
      <c r="YR16" s="93"/>
      <c r="YS16" s="80"/>
      <c r="YT16" s="93"/>
      <c r="YU16" s="96"/>
      <c r="YV16" s="72"/>
      <c r="YY16" s="108"/>
      <c r="YZ16" s="15">
        <v>9</v>
      </c>
      <c r="ZA16" s="93"/>
      <c r="ZB16" s="80"/>
      <c r="ZC16" s="93"/>
      <c r="ZD16" s="96"/>
      <c r="ZE16" s="72"/>
      <c r="ZH16" s="108"/>
      <c r="ZI16" s="15">
        <v>9</v>
      </c>
      <c r="ZJ16" s="93"/>
      <c r="ZK16" s="80"/>
      <c r="ZL16" s="93"/>
      <c r="ZM16" s="96"/>
      <c r="ZN16" s="72"/>
      <c r="ZQ16" s="108"/>
      <c r="ZR16" s="15">
        <v>9</v>
      </c>
      <c r="ZS16" s="93"/>
      <c r="ZT16" s="80"/>
      <c r="ZU16" s="93"/>
      <c r="ZV16" s="96"/>
      <c r="ZW16" s="72"/>
      <c r="ZZ16" s="108"/>
      <c r="AAA16" s="15">
        <v>9</v>
      </c>
      <c r="AAB16" s="93"/>
      <c r="AAC16" s="80"/>
      <c r="AAD16" s="93"/>
      <c r="AAE16" s="96"/>
      <c r="AAF16" s="72"/>
      <c r="AAI16" s="108"/>
      <c r="AAJ16" s="15">
        <v>9</v>
      </c>
      <c r="AAK16" s="93"/>
      <c r="AAL16" s="80"/>
      <c r="AAM16" s="93"/>
      <c r="AAN16" s="96"/>
      <c r="AAO16" s="72"/>
      <c r="AAR16" s="108"/>
      <c r="AAS16" s="15">
        <v>9</v>
      </c>
      <c r="AAT16" s="93"/>
      <c r="AAU16" s="80"/>
      <c r="AAV16" s="93"/>
      <c r="AAW16" s="96"/>
      <c r="AAX16" s="72"/>
      <c r="ABA16" s="108"/>
      <c r="ABB16" s="15">
        <v>9</v>
      </c>
      <c r="ABC16" s="93"/>
      <c r="ABD16" s="80"/>
      <c r="ABE16" s="93"/>
      <c r="ABF16" s="96"/>
      <c r="ABG16" s="72"/>
      <c r="ABJ16" s="108"/>
      <c r="ABK16" s="15">
        <v>9</v>
      </c>
      <c r="ABL16" s="93"/>
      <c r="ABM16" s="80"/>
      <c r="ABN16" s="93"/>
      <c r="ABO16" s="96"/>
      <c r="ABP16" s="72"/>
      <c r="ABS16" s="108"/>
      <c r="ABT16" s="15">
        <v>9</v>
      </c>
      <c r="ABU16" s="93"/>
      <c r="ABV16" s="80"/>
      <c r="ABW16" s="93"/>
      <c r="ABX16" s="96"/>
      <c r="ABY16" s="72"/>
      <c r="ACB16" s="108"/>
      <c r="ACC16" s="15">
        <v>9</v>
      </c>
      <c r="ACD16" s="93"/>
      <c r="ACE16" s="80"/>
      <c r="ACF16" s="93"/>
      <c r="ACG16" s="96"/>
      <c r="ACH16" s="72"/>
      <c r="ACK16" s="108"/>
      <c r="ACL16" s="15">
        <v>9</v>
      </c>
      <c r="ACM16" s="93"/>
      <c r="ACN16" s="80"/>
      <c r="ACO16" s="93"/>
      <c r="ACP16" s="96"/>
      <c r="ACQ16" s="72"/>
      <c r="ACT16" s="108"/>
      <c r="ACU16" s="15">
        <v>9</v>
      </c>
      <c r="ACV16" s="93"/>
      <c r="ACW16" s="80"/>
      <c r="ACX16" s="93"/>
      <c r="ACY16" s="96"/>
      <c r="ACZ16" s="72"/>
      <c r="ADC16" s="108"/>
      <c r="ADD16" s="15">
        <v>9</v>
      </c>
      <c r="ADE16" s="93"/>
      <c r="ADF16" s="80"/>
      <c r="ADG16" s="93"/>
      <c r="ADH16" s="96"/>
      <c r="ADI16" s="72"/>
      <c r="ADL16" s="108"/>
      <c r="ADM16" s="15">
        <v>9</v>
      </c>
      <c r="ADN16" s="93"/>
      <c r="ADO16" s="80"/>
      <c r="ADP16" s="93"/>
      <c r="ADQ16" s="96"/>
      <c r="ADR16" s="72"/>
      <c r="ADU16" s="108"/>
      <c r="ADV16" s="15">
        <v>9</v>
      </c>
      <c r="ADW16" s="93"/>
      <c r="ADX16" s="80"/>
      <c r="ADY16" s="93"/>
      <c r="ADZ16" s="96"/>
      <c r="AEA16" s="72"/>
      <c r="AED16" s="108"/>
      <c r="AEE16" s="15">
        <v>9</v>
      </c>
      <c r="AEF16" s="93"/>
      <c r="AEG16" s="80"/>
      <c r="AEH16" s="93"/>
      <c r="AEI16" s="96"/>
      <c r="AEJ16" s="72"/>
      <c r="AEM16" s="108"/>
      <c r="AEN16" s="15">
        <v>9</v>
      </c>
      <c r="AEO16" s="93"/>
      <c r="AEP16" s="80"/>
      <c r="AEQ16" s="93"/>
      <c r="AER16" s="96"/>
      <c r="AES16" s="72"/>
    </row>
    <row r="17" spans="1:828" x14ac:dyDescent="0.25">
      <c r="A17" s="143">
        <v>14</v>
      </c>
      <c r="B17" s="76" t="str">
        <f>EK5</f>
        <v xml:space="preserve">DISTRIBUIDORA ASGAR S DE RL </v>
      </c>
      <c r="C17" s="76" t="str">
        <f t="shared" ref="C17:I17" si="55">EL5</f>
        <v>Seaboard</v>
      </c>
      <c r="D17" s="104" t="str">
        <f t="shared" si="55"/>
        <v>PED. 74923163</v>
      </c>
      <c r="E17" s="141">
        <f t="shared" si="55"/>
        <v>44546</v>
      </c>
      <c r="F17" s="87">
        <f t="shared" si="55"/>
        <v>18946.189999999999</v>
      </c>
      <c r="G17" s="74">
        <f t="shared" si="55"/>
        <v>21</v>
      </c>
      <c r="H17" s="48">
        <f t="shared" si="55"/>
        <v>18995.2</v>
      </c>
      <c r="I17" s="107">
        <f t="shared" si="55"/>
        <v>-49.010000000002037</v>
      </c>
      <c r="L17" s="108"/>
      <c r="M17" s="15">
        <v>10</v>
      </c>
      <c r="N17" s="93">
        <v>906.3</v>
      </c>
      <c r="O17" s="341">
        <v>44537</v>
      </c>
      <c r="P17" s="93">
        <v>906.3</v>
      </c>
      <c r="Q17" s="96" t="s">
        <v>454</v>
      </c>
      <c r="R17" s="72">
        <v>37</v>
      </c>
      <c r="S17" s="627">
        <f t="shared" si="6"/>
        <v>33533.1</v>
      </c>
      <c r="T17" s="255"/>
      <c r="V17" s="108"/>
      <c r="W17" s="15">
        <v>10</v>
      </c>
      <c r="X17" s="292">
        <v>916.3</v>
      </c>
      <c r="Y17" s="346">
        <v>44538</v>
      </c>
      <c r="Z17" s="292">
        <v>916.3</v>
      </c>
      <c r="AA17" s="406" t="s">
        <v>468</v>
      </c>
      <c r="AB17" s="279">
        <v>37</v>
      </c>
      <c r="AC17" s="338">
        <f t="shared" si="7"/>
        <v>33903.1</v>
      </c>
      <c r="AF17" s="108"/>
      <c r="AG17" s="15">
        <v>10</v>
      </c>
      <c r="AH17" s="93">
        <v>916.7</v>
      </c>
      <c r="AI17" s="341">
        <v>44537</v>
      </c>
      <c r="AJ17" s="93">
        <v>916.7</v>
      </c>
      <c r="AK17" s="96" t="s">
        <v>457</v>
      </c>
      <c r="AL17" s="72">
        <v>37</v>
      </c>
      <c r="AM17" s="630">
        <f t="shared" si="8"/>
        <v>33917.9</v>
      </c>
      <c r="AP17" s="108"/>
      <c r="AQ17" s="15">
        <v>10</v>
      </c>
      <c r="AR17" s="335">
        <v>895.39</v>
      </c>
      <c r="AS17" s="346">
        <v>44538</v>
      </c>
      <c r="AT17" s="335">
        <v>895.39</v>
      </c>
      <c r="AU17" s="334" t="s">
        <v>481</v>
      </c>
      <c r="AV17" s="279">
        <v>37</v>
      </c>
      <c r="AW17" s="338">
        <f t="shared" si="9"/>
        <v>33129.43</v>
      </c>
      <c r="AZ17" s="108"/>
      <c r="BA17" s="15">
        <v>10</v>
      </c>
      <c r="BB17" s="93">
        <v>933.03</v>
      </c>
      <c r="BC17" s="141">
        <v>44539</v>
      </c>
      <c r="BD17" s="93">
        <v>933.03</v>
      </c>
      <c r="BE17" s="96" t="s">
        <v>492</v>
      </c>
      <c r="BF17" s="400">
        <v>36</v>
      </c>
      <c r="BG17" s="646">
        <f t="shared" si="10"/>
        <v>33589.08</v>
      </c>
      <c r="BJ17" s="108"/>
      <c r="BK17" s="15">
        <v>10</v>
      </c>
      <c r="BL17" s="93">
        <v>971.1</v>
      </c>
      <c r="BM17" s="141">
        <v>44540</v>
      </c>
      <c r="BN17" s="93">
        <v>971.1</v>
      </c>
      <c r="BO17" s="96" t="s">
        <v>501</v>
      </c>
      <c r="BP17" s="400">
        <v>36</v>
      </c>
      <c r="BQ17" s="857">
        <f t="shared" si="11"/>
        <v>34959.599999999999</v>
      </c>
      <c r="BT17" s="108"/>
      <c r="BU17" s="276">
        <v>10</v>
      </c>
      <c r="BV17" s="277">
        <v>891.8</v>
      </c>
      <c r="BW17" s="401">
        <v>44541</v>
      </c>
      <c r="BX17" s="277">
        <v>891.8</v>
      </c>
      <c r="BY17" s="402" t="s">
        <v>461</v>
      </c>
      <c r="BZ17" s="403">
        <v>36</v>
      </c>
      <c r="CA17" s="627">
        <f t="shared" si="12"/>
        <v>32104.799999999999</v>
      </c>
      <c r="CD17" s="909"/>
      <c r="CE17" s="15">
        <v>10</v>
      </c>
      <c r="CF17" s="93">
        <v>907.2</v>
      </c>
      <c r="CG17" s="401">
        <v>44542</v>
      </c>
      <c r="CH17" s="93">
        <v>907.2</v>
      </c>
      <c r="CI17" s="404" t="s">
        <v>513</v>
      </c>
      <c r="CJ17" s="403">
        <v>36</v>
      </c>
      <c r="CK17" s="627">
        <f t="shared" si="13"/>
        <v>32659.200000000001</v>
      </c>
      <c r="CN17" s="95"/>
      <c r="CO17" s="15">
        <v>10</v>
      </c>
      <c r="CP17" s="93">
        <v>925.8</v>
      </c>
      <c r="CQ17" s="401">
        <v>44545</v>
      </c>
      <c r="CR17" s="93">
        <v>925.8</v>
      </c>
      <c r="CS17" s="404" t="s">
        <v>524</v>
      </c>
      <c r="CT17" s="403">
        <v>38</v>
      </c>
      <c r="CU17" s="635">
        <f t="shared" si="48"/>
        <v>35180.400000000001</v>
      </c>
      <c r="CX17" s="108"/>
      <c r="CY17" s="15">
        <v>10</v>
      </c>
      <c r="CZ17" s="93">
        <v>886.8</v>
      </c>
      <c r="DA17" s="341">
        <v>44544</v>
      </c>
      <c r="DB17" s="93">
        <v>886.8</v>
      </c>
      <c r="DC17" s="96" t="s">
        <v>517</v>
      </c>
      <c r="DD17" s="72">
        <v>38</v>
      </c>
      <c r="DE17" s="627">
        <f t="shared" si="14"/>
        <v>33698.400000000001</v>
      </c>
      <c r="DH17" s="108"/>
      <c r="DI17" s="15">
        <v>10</v>
      </c>
      <c r="DJ17" s="70">
        <v>885.4</v>
      </c>
      <c r="DK17" s="401">
        <v>44544</v>
      </c>
      <c r="DL17" s="93">
        <v>885.4</v>
      </c>
      <c r="DM17" s="404" t="s">
        <v>476</v>
      </c>
      <c r="DN17" s="403">
        <v>38</v>
      </c>
      <c r="DO17" s="635">
        <f t="shared" si="15"/>
        <v>33645.199999999997</v>
      </c>
      <c r="DR17" s="108"/>
      <c r="DS17" s="15">
        <v>10</v>
      </c>
      <c r="DT17" s="70">
        <v>930.31</v>
      </c>
      <c r="DU17" s="401">
        <v>44545</v>
      </c>
      <c r="DV17" s="93">
        <v>930.31</v>
      </c>
      <c r="DW17" s="404" t="s">
        <v>477</v>
      </c>
      <c r="DX17" s="403">
        <v>38</v>
      </c>
      <c r="DY17" s="627">
        <f t="shared" si="16"/>
        <v>35351.78</v>
      </c>
      <c r="EB17" s="108"/>
      <c r="EC17" s="15">
        <v>10</v>
      </c>
      <c r="ED17" s="70">
        <v>907.2</v>
      </c>
      <c r="EE17" s="357">
        <v>44546</v>
      </c>
      <c r="EF17" s="70">
        <v>907.2</v>
      </c>
      <c r="EG17" s="71" t="s">
        <v>533</v>
      </c>
      <c r="EH17" s="72">
        <v>38</v>
      </c>
      <c r="EI17" s="627">
        <f t="shared" si="17"/>
        <v>34473.599999999999</v>
      </c>
      <c r="EL17" s="108"/>
      <c r="EM17" s="15">
        <v>10</v>
      </c>
      <c r="EN17" s="292">
        <v>872.7</v>
      </c>
      <c r="EO17" s="346">
        <v>44546</v>
      </c>
      <c r="EP17" s="292">
        <v>872.7</v>
      </c>
      <c r="EQ17" s="278" t="s">
        <v>530</v>
      </c>
      <c r="ER17" s="279">
        <v>38</v>
      </c>
      <c r="ES17" s="627">
        <f t="shared" si="18"/>
        <v>33162.6</v>
      </c>
      <c r="EV17" s="108"/>
      <c r="EW17" s="15">
        <v>10</v>
      </c>
      <c r="EX17" s="70">
        <v>897.7</v>
      </c>
      <c r="EY17" s="357">
        <v>44548</v>
      </c>
      <c r="EZ17" s="70">
        <v>897.7</v>
      </c>
      <c r="FA17" s="278" t="s">
        <v>541</v>
      </c>
      <c r="FB17" s="72">
        <v>38</v>
      </c>
      <c r="FC17" s="338">
        <f t="shared" si="19"/>
        <v>34112.6</v>
      </c>
      <c r="FF17" s="108"/>
      <c r="FG17" s="15">
        <v>10</v>
      </c>
      <c r="FH17" s="292">
        <v>899.5</v>
      </c>
      <c r="FI17" s="346">
        <v>44548</v>
      </c>
      <c r="FJ17" s="292">
        <v>899.5</v>
      </c>
      <c r="FK17" s="278" t="s">
        <v>538</v>
      </c>
      <c r="FL17" s="279">
        <v>38</v>
      </c>
      <c r="FM17" s="627">
        <f t="shared" si="20"/>
        <v>34181</v>
      </c>
      <c r="FP17" s="108"/>
      <c r="FQ17" s="15">
        <v>10</v>
      </c>
      <c r="FR17" s="93">
        <v>938.9</v>
      </c>
      <c r="FS17" s="341">
        <v>44551</v>
      </c>
      <c r="FT17" s="93">
        <v>938.9</v>
      </c>
      <c r="FU17" s="71" t="s">
        <v>572</v>
      </c>
      <c r="FV17" s="72">
        <v>38</v>
      </c>
      <c r="FW17" s="627">
        <f t="shared" si="21"/>
        <v>35678.199999999997</v>
      </c>
      <c r="FZ17" s="108"/>
      <c r="GA17" s="15">
        <v>10</v>
      </c>
      <c r="GB17" s="70">
        <v>896.7</v>
      </c>
      <c r="GC17" s="545">
        <v>44551</v>
      </c>
      <c r="GD17" s="70">
        <v>896.7</v>
      </c>
      <c r="GE17" s="278" t="s">
        <v>564</v>
      </c>
      <c r="GF17" s="279">
        <v>39</v>
      </c>
      <c r="GG17" s="338">
        <f t="shared" si="22"/>
        <v>34971.300000000003</v>
      </c>
      <c r="GJ17" s="108"/>
      <c r="GK17" s="15">
        <v>10</v>
      </c>
      <c r="GL17" s="523">
        <v>905.4</v>
      </c>
      <c r="GM17" s="341">
        <v>44551</v>
      </c>
      <c r="GN17" s="523">
        <v>905.4</v>
      </c>
      <c r="GO17" s="96" t="s">
        <v>566</v>
      </c>
      <c r="GP17" s="72">
        <v>39</v>
      </c>
      <c r="GQ17" s="627">
        <f t="shared" si="23"/>
        <v>35310.6</v>
      </c>
      <c r="GT17" s="108"/>
      <c r="GU17" s="15">
        <v>10</v>
      </c>
      <c r="GV17" s="292">
        <v>935.8</v>
      </c>
      <c r="GW17" s="346">
        <v>44551</v>
      </c>
      <c r="GX17" s="292">
        <v>935.8</v>
      </c>
      <c r="GY17" s="334" t="s">
        <v>568</v>
      </c>
      <c r="GZ17" s="279">
        <v>39</v>
      </c>
      <c r="HA17" s="627">
        <f t="shared" si="24"/>
        <v>36496.199999999997</v>
      </c>
      <c r="HD17" s="108"/>
      <c r="HE17" s="15">
        <v>10</v>
      </c>
      <c r="HF17" s="93">
        <v>923.5</v>
      </c>
      <c r="HG17" s="341">
        <v>44552</v>
      </c>
      <c r="HH17" s="93">
        <v>923.5</v>
      </c>
      <c r="HI17" s="96" t="s">
        <v>581</v>
      </c>
      <c r="HJ17" s="72">
        <v>41</v>
      </c>
      <c r="HK17" s="627">
        <f t="shared" si="25"/>
        <v>37863.5</v>
      </c>
      <c r="HN17" s="108"/>
      <c r="HO17" s="15">
        <v>10</v>
      </c>
      <c r="HP17" s="292">
        <v>904</v>
      </c>
      <c r="HQ17" s="346">
        <v>44552</v>
      </c>
      <c r="HR17" s="292">
        <v>904</v>
      </c>
      <c r="HS17" s="406" t="s">
        <v>578</v>
      </c>
      <c r="HT17" s="279">
        <v>41</v>
      </c>
      <c r="HU17" s="627">
        <f t="shared" si="26"/>
        <v>37064</v>
      </c>
      <c r="HX17" s="95"/>
      <c r="HY17" s="15">
        <v>10</v>
      </c>
      <c r="HZ17" s="70">
        <v>944.37</v>
      </c>
      <c r="IA17" s="357">
        <v>44553</v>
      </c>
      <c r="IB17" s="70">
        <v>944.37</v>
      </c>
      <c r="IC17" s="71" t="s">
        <v>591</v>
      </c>
      <c r="ID17" s="72">
        <v>42</v>
      </c>
      <c r="IE17" s="627">
        <f t="shared" si="27"/>
        <v>39663.54</v>
      </c>
      <c r="IH17" s="95"/>
      <c r="II17" s="15">
        <v>10</v>
      </c>
      <c r="IJ17" s="70">
        <v>918.97</v>
      </c>
      <c r="IK17" s="357">
        <v>44553</v>
      </c>
      <c r="IL17" s="70">
        <v>918.97</v>
      </c>
      <c r="IM17" s="71" t="s">
        <v>598</v>
      </c>
      <c r="IN17" s="72">
        <v>41</v>
      </c>
      <c r="IO17" s="627">
        <f t="shared" si="28"/>
        <v>37677.770000000004</v>
      </c>
      <c r="IR17" s="108"/>
      <c r="IS17" s="15">
        <v>10</v>
      </c>
      <c r="IT17" s="292">
        <v>864.1</v>
      </c>
      <c r="IU17" s="258">
        <v>44554</v>
      </c>
      <c r="IV17" s="292">
        <v>864.1</v>
      </c>
      <c r="IW17" s="552" t="s">
        <v>610</v>
      </c>
      <c r="IX17" s="279">
        <v>41</v>
      </c>
      <c r="IY17" s="338">
        <f t="shared" si="29"/>
        <v>35428.1</v>
      </c>
      <c r="IZ17" s="93"/>
      <c r="JA17" s="70"/>
      <c r="JB17" s="108"/>
      <c r="JC17" s="15">
        <v>10</v>
      </c>
      <c r="JD17" s="93">
        <v>885.9</v>
      </c>
      <c r="JE17" s="357">
        <v>44554</v>
      </c>
      <c r="JF17" s="93">
        <v>885.9</v>
      </c>
      <c r="JG17" s="71" t="s">
        <v>612</v>
      </c>
      <c r="JH17" s="72">
        <v>41</v>
      </c>
      <c r="JI17" s="627">
        <f t="shared" si="30"/>
        <v>36321.9</v>
      </c>
      <c r="JJ17" s="70"/>
      <c r="JL17" s="108"/>
      <c r="JM17" s="15">
        <v>10</v>
      </c>
      <c r="JN17" s="93">
        <v>924.9</v>
      </c>
      <c r="JO17" s="341">
        <v>44554</v>
      </c>
      <c r="JP17" s="93">
        <v>924.9</v>
      </c>
      <c r="JQ17" s="71" t="s">
        <v>603</v>
      </c>
      <c r="JR17" s="72">
        <v>41</v>
      </c>
      <c r="JS17" s="627">
        <f t="shared" si="31"/>
        <v>37920.9</v>
      </c>
      <c r="JV17" s="108"/>
      <c r="JW17" s="15">
        <v>10</v>
      </c>
      <c r="JX17" s="70">
        <v>939.4</v>
      </c>
      <c r="JY17" s="357">
        <v>44554</v>
      </c>
      <c r="JZ17" s="70">
        <v>939.4</v>
      </c>
      <c r="KA17" s="71" t="s">
        <v>608</v>
      </c>
      <c r="KB17" s="72">
        <v>41</v>
      </c>
      <c r="KC17" s="627">
        <f t="shared" si="32"/>
        <v>38515.4</v>
      </c>
      <c r="KF17" s="108"/>
      <c r="KG17" s="15">
        <v>10</v>
      </c>
      <c r="KH17" s="70">
        <v>886.3</v>
      </c>
      <c r="KI17" s="357">
        <v>44556</v>
      </c>
      <c r="KJ17" s="70">
        <v>886.3</v>
      </c>
      <c r="KK17" s="71" t="s">
        <v>617</v>
      </c>
      <c r="KL17" s="72">
        <v>41</v>
      </c>
      <c r="KM17" s="627">
        <f t="shared" si="33"/>
        <v>36338.299999999996</v>
      </c>
      <c r="KP17" s="108"/>
      <c r="KQ17" s="15">
        <v>10</v>
      </c>
      <c r="KR17" s="70">
        <v>868.6</v>
      </c>
      <c r="KS17" s="357">
        <v>44558</v>
      </c>
      <c r="KT17" s="70">
        <v>868.6</v>
      </c>
      <c r="KU17" s="71" t="s">
        <v>637</v>
      </c>
      <c r="KV17" s="72">
        <v>42</v>
      </c>
      <c r="KW17" s="627">
        <f t="shared" si="34"/>
        <v>36481.200000000004</v>
      </c>
      <c r="KZ17" s="108"/>
      <c r="LA17" s="15">
        <v>10</v>
      </c>
      <c r="LB17" s="93">
        <v>934.85</v>
      </c>
      <c r="LC17" s="341">
        <v>44558</v>
      </c>
      <c r="LD17" s="93">
        <v>934.85</v>
      </c>
      <c r="LE17" s="96" t="s">
        <v>643</v>
      </c>
      <c r="LF17" s="72">
        <v>42</v>
      </c>
      <c r="LG17" s="627">
        <f t="shared" si="35"/>
        <v>39263.700000000004</v>
      </c>
      <c r="LJ17" s="108"/>
      <c r="LK17" s="15">
        <v>10</v>
      </c>
      <c r="LL17" s="93">
        <v>899.02</v>
      </c>
      <c r="LM17" s="341">
        <v>44559</v>
      </c>
      <c r="LN17" s="93">
        <v>899.02</v>
      </c>
      <c r="LO17" s="96" t="s">
        <v>652</v>
      </c>
      <c r="LP17" s="72">
        <v>42</v>
      </c>
      <c r="LQ17" s="627">
        <f t="shared" si="36"/>
        <v>37758.839999999997</v>
      </c>
      <c r="LT17" s="108"/>
      <c r="LU17" s="15">
        <v>10</v>
      </c>
      <c r="LV17" s="70">
        <v>931.2</v>
      </c>
      <c r="LW17" s="341">
        <v>44559</v>
      </c>
      <c r="LX17" s="70">
        <v>931.2</v>
      </c>
      <c r="LY17" s="96" t="s">
        <v>650</v>
      </c>
      <c r="LZ17" s="72">
        <v>42</v>
      </c>
      <c r="MA17" s="627">
        <f t="shared" si="37"/>
        <v>39110.400000000001</v>
      </c>
      <c r="MB17" s="627"/>
      <c r="MD17" s="108"/>
      <c r="ME17" s="15">
        <v>10</v>
      </c>
      <c r="MF17" s="412">
        <v>904.9</v>
      </c>
      <c r="MG17" s="341">
        <v>44560</v>
      </c>
      <c r="MH17" s="412">
        <v>904.9</v>
      </c>
      <c r="MI17" s="96" t="s">
        <v>660</v>
      </c>
      <c r="MJ17" s="72">
        <v>43</v>
      </c>
      <c r="MK17" s="72">
        <f t="shared" si="38"/>
        <v>38910.699999999997</v>
      </c>
      <c r="MN17" s="108"/>
      <c r="MO17" s="15">
        <v>10</v>
      </c>
      <c r="MP17" s="70">
        <v>937.59</v>
      </c>
      <c r="MQ17" s="341">
        <v>44560</v>
      </c>
      <c r="MR17" s="70">
        <v>937.59</v>
      </c>
      <c r="MS17" s="96" t="s">
        <v>665</v>
      </c>
      <c r="MT17" s="72">
        <v>43</v>
      </c>
      <c r="MU17" s="72">
        <f t="shared" si="39"/>
        <v>40316.370000000003</v>
      </c>
      <c r="MX17" s="108"/>
      <c r="MY17" s="15">
        <v>10</v>
      </c>
      <c r="MZ17" s="70">
        <v>903.1</v>
      </c>
      <c r="NA17" s="341">
        <v>44561</v>
      </c>
      <c r="NB17" s="93">
        <v>903.1</v>
      </c>
      <c r="NC17" s="96" t="s">
        <v>672</v>
      </c>
      <c r="ND17" s="72">
        <v>40</v>
      </c>
      <c r="NE17" s="72">
        <f t="shared" si="40"/>
        <v>36124</v>
      </c>
      <c r="NH17" s="108"/>
      <c r="NI17" s="15">
        <v>10</v>
      </c>
      <c r="NJ17" s="93">
        <v>901.7</v>
      </c>
      <c r="NK17" s="341"/>
      <c r="NL17" s="93"/>
      <c r="NM17" s="96"/>
      <c r="NN17" s="72"/>
      <c r="NO17" s="72">
        <f t="shared" si="41"/>
        <v>0</v>
      </c>
      <c r="NR17" s="108"/>
      <c r="NS17" s="15">
        <v>10</v>
      </c>
      <c r="NT17" s="70">
        <v>920.8</v>
      </c>
      <c r="NU17" s="341">
        <v>44563</v>
      </c>
      <c r="NV17" s="70">
        <v>920.8</v>
      </c>
      <c r="NW17" s="96" t="s">
        <v>681</v>
      </c>
      <c r="NX17" s="72">
        <v>34</v>
      </c>
      <c r="NY17" s="72">
        <f t="shared" si="42"/>
        <v>31307.199999999997</v>
      </c>
      <c r="OB17" s="108"/>
      <c r="OC17" s="15">
        <v>10</v>
      </c>
      <c r="OD17" s="93"/>
      <c r="OE17" s="341"/>
      <c r="OF17" s="93"/>
      <c r="OG17" s="96"/>
      <c r="OH17" s="72"/>
      <c r="OI17" s="72">
        <f t="shared" si="43"/>
        <v>0</v>
      </c>
      <c r="OL17" s="108"/>
      <c r="OM17" s="15">
        <v>10</v>
      </c>
      <c r="ON17" s="70"/>
      <c r="OO17" s="341"/>
      <c r="OP17" s="70"/>
      <c r="OQ17" s="96"/>
      <c r="OR17" s="72"/>
      <c r="OS17" s="72">
        <f t="shared" si="44"/>
        <v>0</v>
      </c>
      <c r="OV17" s="108"/>
      <c r="OW17" s="15">
        <v>10</v>
      </c>
      <c r="OX17" s="277"/>
      <c r="OY17" s="346"/>
      <c r="OZ17" s="277"/>
      <c r="PA17" s="334"/>
      <c r="PB17" s="279"/>
      <c r="PC17" s="279">
        <f t="shared" si="45"/>
        <v>0</v>
      </c>
      <c r="PF17" s="95"/>
      <c r="PG17" s="15">
        <v>10</v>
      </c>
      <c r="PH17" s="93"/>
      <c r="PI17" s="341"/>
      <c r="PJ17" s="93"/>
      <c r="PK17" s="96"/>
      <c r="PL17" s="72"/>
      <c r="PM17" s="72">
        <f t="shared" si="46"/>
        <v>0</v>
      </c>
      <c r="PP17" s="108"/>
      <c r="PQ17" s="15">
        <v>10</v>
      </c>
      <c r="PR17" s="70"/>
      <c r="PS17" s="341"/>
      <c r="PT17" s="70"/>
      <c r="PU17" s="96"/>
      <c r="PV17" s="72"/>
      <c r="PY17" s="108"/>
      <c r="PZ17" s="15">
        <v>10</v>
      </c>
      <c r="QA17" s="70"/>
      <c r="QB17" s="141"/>
      <c r="QC17" s="70"/>
      <c r="QD17" s="96"/>
      <c r="QE17" s="72"/>
      <c r="QH17" s="108"/>
      <c r="QI17" s="15">
        <v>10</v>
      </c>
      <c r="QJ17" s="70"/>
      <c r="QK17" s="341"/>
      <c r="QL17" s="93"/>
      <c r="QM17" s="96"/>
      <c r="QN17" s="72"/>
      <c r="QQ17" s="108"/>
      <c r="QR17" s="15">
        <v>10</v>
      </c>
      <c r="QS17" s="70"/>
      <c r="QT17" s="341"/>
      <c r="QU17" s="70"/>
      <c r="QV17" s="96"/>
      <c r="QW17" s="72"/>
      <c r="QZ17" s="108"/>
      <c r="RA17" s="15">
        <v>10</v>
      </c>
      <c r="RB17" s="70"/>
      <c r="RC17" s="341"/>
      <c r="RD17" s="70"/>
      <c r="RE17" s="96"/>
      <c r="RF17" s="72"/>
      <c r="RI17" s="108"/>
      <c r="RJ17" s="15">
        <v>10</v>
      </c>
      <c r="RK17" s="70"/>
      <c r="RL17" s="341"/>
      <c r="RM17" s="70"/>
      <c r="RN17" s="96"/>
      <c r="RO17" s="72"/>
      <c r="RR17" s="108"/>
      <c r="RS17" s="15">
        <v>10</v>
      </c>
      <c r="RT17" s="70"/>
      <c r="RU17" s="141"/>
      <c r="RV17" s="70"/>
      <c r="RW17" s="96"/>
      <c r="RX17" s="72"/>
      <c r="SA17" s="108"/>
      <c r="SB17" s="15">
        <v>10</v>
      </c>
      <c r="SC17" s="70"/>
      <c r="SD17" s="80"/>
      <c r="SE17" s="70"/>
      <c r="SF17" s="96"/>
      <c r="SG17" s="72"/>
      <c r="SJ17" s="108"/>
      <c r="SK17" s="15">
        <v>10</v>
      </c>
      <c r="SL17" s="70"/>
      <c r="SM17" s="80"/>
      <c r="SN17" s="70"/>
      <c r="SO17" s="96"/>
      <c r="SP17" s="72"/>
      <c r="SS17" s="108"/>
      <c r="ST17" s="15"/>
      <c r="SU17" s="70"/>
      <c r="SV17" s="80"/>
      <c r="SW17" s="70"/>
      <c r="SX17" s="96"/>
      <c r="SY17" s="72"/>
      <c r="TB17" s="108"/>
      <c r="TC17" s="15">
        <v>10</v>
      </c>
      <c r="TD17" s="70"/>
      <c r="TE17" s="411"/>
      <c r="TF17" s="189"/>
      <c r="TG17" s="404"/>
      <c r="TH17" s="403"/>
      <c r="TK17" s="108"/>
      <c r="TL17" s="15">
        <v>10</v>
      </c>
      <c r="TM17" s="70"/>
      <c r="TN17" s="80"/>
      <c r="TO17" s="93"/>
      <c r="TP17" s="96"/>
      <c r="TQ17" s="72"/>
      <c r="TT17" s="108"/>
      <c r="TU17" s="15">
        <v>10</v>
      </c>
      <c r="TV17" s="70"/>
      <c r="TW17" s="80"/>
      <c r="TX17" s="70"/>
      <c r="TY17" s="96"/>
      <c r="TZ17" s="72"/>
      <c r="UC17" s="108"/>
      <c r="UD17" s="15">
        <v>10</v>
      </c>
      <c r="UE17" s="70"/>
      <c r="UF17" s="80"/>
      <c r="UG17" s="93"/>
      <c r="UH17" s="96"/>
      <c r="UI17" s="72"/>
      <c r="UL17" s="108"/>
      <c r="UM17" s="15">
        <v>10</v>
      </c>
      <c r="UN17" s="70"/>
      <c r="UO17" s="80"/>
      <c r="UP17" s="70"/>
      <c r="UQ17" s="96"/>
      <c r="UR17" s="72"/>
      <c r="UU17" s="108"/>
      <c r="UV17" s="15">
        <v>10</v>
      </c>
      <c r="UW17" s="70"/>
      <c r="UX17" s="80"/>
      <c r="UY17" s="70"/>
      <c r="UZ17" s="96"/>
      <c r="VA17" s="72"/>
      <c r="VD17" s="108"/>
      <c r="VE17" s="15">
        <v>10</v>
      </c>
      <c r="VF17" s="70"/>
      <c r="VG17" s="80"/>
      <c r="VH17" s="70"/>
      <c r="VI17" s="96"/>
      <c r="VJ17" s="72"/>
      <c r="VM17" s="108"/>
      <c r="VN17" s="15">
        <v>10</v>
      </c>
      <c r="VO17" s="70"/>
      <c r="VP17" s="80"/>
      <c r="VQ17" s="93"/>
      <c r="VR17" s="96"/>
      <c r="VS17" s="72"/>
      <c r="VV17" s="108"/>
      <c r="VW17" s="15">
        <v>10</v>
      </c>
      <c r="VX17" s="70"/>
      <c r="VY17" s="80"/>
      <c r="VZ17" s="70"/>
      <c r="WA17" s="96"/>
      <c r="WB17" s="72"/>
      <c r="WE17" s="108"/>
      <c r="WF17" s="15">
        <v>10</v>
      </c>
      <c r="WG17" s="70"/>
      <c r="WH17" s="80"/>
      <c r="WI17" s="93"/>
      <c r="WJ17" s="96"/>
      <c r="WK17" s="72"/>
      <c r="WN17" s="108"/>
      <c r="WO17" s="15">
        <v>10</v>
      </c>
      <c r="WP17" s="70"/>
      <c r="WQ17" s="80"/>
      <c r="WR17" s="93"/>
      <c r="WS17" s="96"/>
      <c r="WT17" s="72"/>
      <c r="WW17" s="108"/>
      <c r="WX17" s="15">
        <v>10</v>
      </c>
      <c r="WY17" s="70"/>
      <c r="WZ17" s="80"/>
      <c r="XA17" s="70"/>
      <c r="XB17" s="96"/>
      <c r="XC17" s="72"/>
      <c r="XF17" s="108"/>
      <c r="XG17" s="15">
        <v>10</v>
      </c>
      <c r="XH17" s="70"/>
      <c r="XI17" s="80"/>
      <c r="XJ17" s="93"/>
      <c r="XK17" s="96"/>
      <c r="XL17" s="72"/>
      <c r="XO17" s="108"/>
      <c r="XP17" s="15">
        <v>10</v>
      </c>
      <c r="XQ17" s="70"/>
      <c r="XR17" s="80"/>
      <c r="XS17" s="93"/>
      <c r="XT17" s="96"/>
      <c r="XU17" s="72"/>
      <c r="XX17" s="108"/>
      <c r="XY17" s="15">
        <v>10</v>
      </c>
      <c r="XZ17" s="70"/>
      <c r="YA17" s="80"/>
      <c r="YB17" s="93"/>
      <c r="YC17" s="96"/>
      <c r="YD17" s="72"/>
      <c r="YG17" s="108"/>
      <c r="YH17" s="15">
        <v>10</v>
      </c>
      <c r="YI17" s="70"/>
      <c r="YJ17" s="80"/>
      <c r="YK17" s="93"/>
      <c r="YL17" s="96"/>
      <c r="YM17" s="72"/>
      <c r="YP17" s="108"/>
      <c r="YQ17" s="15">
        <v>10</v>
      </c>
      <c r="YR17" s="70"/>
      <c r="YS17" s="80"/>
      <c r="YT17" s="93"/>
      <c r="YU17" s="96"/>
      <c r="YV17" s="72"/>
      <c r="YY17" s="108"/>
      <c r="YZ17" s="15">
        <v>10</v>
      </c>
      <c r="ZA17" s="70"/>
      <c r="ZB17" s="80"/>
      <c r="ZC17" s="93"/>
      <c r="ZD17" s="96"/>
      <c r="ZE17" s="72"/>
      <c r="ZH17" s="108"/>
      <c r="ZI17" s="15">
        <v>10</v>
      </c>
      <c r="ZJ17" s="70"/>
      <c r="ZK17" s="80"/>
      <c r="ZL17" s="93"/>
      <c r="ZM17" s="96"/>
      <c r="ZN17" s="72"/>
      <c r="ZQ17" s="108"/>
      <c r="ZR17" s="15">
        <v>10</v>
      </c>
      <c r="ZS17" s="70"/>
      <c r="ZT17" s="80"/>
      <c r="ZU17" s="70"/>
      <c r="ZV17" s="96"/>
      <c r="ZW17" s="72"/>
      <c r="ZZ17" s="108"/>
      <c r="AAA17" s="15">
        <v>10</v>
      </c>
      <c r="AAB17" s="70"/>
      <c r="AAC17" s="80"/>
      <c r="AAD17" s="93"/>
      <c r="AAE17" s="96"/>
      <c r="AAF17" s="72"/>
      <c r="AAI17" s="108"/>
      <c r="AAJ17" s="15">
        <v>10</v>
      </c>
      <c r="AAK17" s="70"/>
      <c r="AAL17" s="80"/>
      <c r="AAM17" s="93"/>
      <c r="AAN17" s="96"/>
      <c r="AAO17" s="72"/>
      <c r="AAR17" s="108"/>
      <c r="AAS17" s="15">
        <v>10</v>
      </c>
      <c r="AAT17" s="70"/>
      <c r="AAU17" s="80"/>
      <c r="AAV17" s="93"/>
      <c r="AAW17" s="96"/>
      <c r="AAX17" s="72"/>
      <c r="ABA17" s="108"/>
      <c r="ABB17" s="15">
        <v>10</v>
      </c>
      <c r="ABC17" s="70"/>
      <c r="ABD17" s="80"/>
      <c r="ABE17" s="93"/>
      <c r="ABF17" s="96"/>
      <c r="ABG17" s="72"/>
      <c r="ABJ17" s="108"/>
      <c r="ABK17" s="15">
        <v>10</v>
      </c>
      <c r="ABL17" s="70"/>
      <c r="ABM17" s="80"/>
      <c r="ABN17" s="93"/>
      <c r="ABO17" s="96"/>
      <c r="ABP17" s="72"/>
      <c r="ABS17" s="108"/>
      <c r="ABT17" s="15">
        <v>10</v>
      </c>
      <c r="ABU17" s="70"/>
      <c r="ABV17" s="80"/>
      <c r="ABW17" s="93"/>
      <c r="ABX17" s="96"/>
      <c r="ABY17" s="72"/>
      <c r="ACB17" s="108"/>
      <c r="ACC17" s="15">
        <v>10</v>
      </c>
      <c r="ACD17" s="70"/>
      <c r="ACE17" s="80"/>
      <c r="ACF17" s="93"/>
      <c r="ACG17" s="96"/>
      <c r="ACH17" s="72"/>
      <c r="ACK17" s="108"/>
      <c r="ACL17" s="15">
        <v>10</v>
      </c>
      <c r="ACM17" s="70"/>
      <c r="ACN17" s="80"/>
      <c r="ACO17" s="93"/>
      <c r="ACP17" s="96"/>
      <c r="ACQ17" s="72"/>
      <c r="ACT17" s="108"/>
      <c r="ACU17" s="15">
        <v>10</v>
      </c>
      <c r="ACV17" s="70"/>
      <c r="ACW17" s="80"/>
      <c r="ACX17" s="93"/>
      <c r="ACY17" s="96"/>
      <c r="ACZ17" s="72"/>
      <c r="ADC17" s="108"/>
      <c r="ADD17" s="15">
        <v>10</v>
      </c>
      <c r="ADE17" s="70"/>
      <c r="ADF17" s="80"/>
      <c r="ADG17" s="93"/>
      <c r="ADH17" s="96"/>
      <c r="ADI17" s="72"/>
      <c r="ADL17" s="108"/>
      <c r="ADM17" s="15">
        <v>10</v>
      </c>
      <c r="ADN17" s="70"/>
      <c r="ADO17" s="80"/>
      <c r="ADP17" s="93"/>
      <c r="ADQ17" s="96"/>
      <c r="ADR17" s="72"/>
      <c r="ADU17" s="108"/>
      <c r="ADV17" s="15">
        <v>10</v>
      </c>
      <c r="ADW17" s="70"/>
      <c r="ADX17" s="80"/>
      <c r="ADY17" s="93"/>
      <c r="ADZ17" s="96"/>
      <c r="AEA17" s="72"/>
      <c r="AED17" s="108"/>
      <c r="AEE17" s="15">
        <v>10</v>
      </c>
      <c r="AEF17" s="70"/>
      <c r="AEG17" s="80"/>
      <c r="AEH17" s="93"/>
      <c r="AEI17" s="96"/>
      <c r="AEJ17" s="72"/>
      <c r="AEM17" s="108"/>
      <c r="AEN17" s="15">
        <v>10</v>
      </c>
      <c r="AEO17" s="70"/>
      <c r="AEP17" s="80"/>
      <c r="AEQ17" s="93"/>
      <c r="AER17" s="96"/>
      <c r="AES17" s="72"/>
    </row>
    <row r="18" spans="1:828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75144557</v>
      </c>
      <c r="E18" s="141">
        <f t="shared" si="56"/>
        <v>44547</v>
      </c>
      <c r="F18" s="87">
        <f t="shared" si="56"/>
        <v>18982.43</v>
      </c>
      <c r="G18" s="74">
        <f t="shared" si="56"/>
        <v>21</v>
      </c>
      <c r="H18" s="48">
        <f t="shared" si="56"/>
        <v>19009.400000000001</v>
      </c>
      <c r="I18" s="107">
        <f t="shared" si="56"/>
        <v>-26.970000000001164</v>
      </c>
      <c r="L18" s="108"/>
      <c r="M18" s="15">
        <v>11</v>
      </c>
      <c r="N18" s="292">
        <v>869.5</v>
      </c>
      <c r="O18" s="341">
        <v>44537</v>
      </c>
      <c r="P18" s="292">
        <v>869.5</v>
      </c>
      <c r="Q18" s="96" t="s">
        <v>454</v>
      </c>
      <c r="R18" s="72">
        <v>37</v>
      </c>
      <c r="S18" s="627">
        <f t="shared" si="6"/>
        <v>32171.5</v>
      </c>
      <c r="T18" s="255"/>
      <c r="V18" s="108"/>
      <c r="W18" s="15">
        <v>11</v>
      </c>
      <c r="X18" s="292">
        <v>936.7</v>
      </c>
      <c r="Y18" s="346">
        <v>44538</v>
      </c>
      <c r="Z18" s="292">
        <v>936.7</v>
      </c>
      <c r="AA18" s="406" t="s">
        <v>469</v>
      </c>
      <c r="AB18" s="279">
        <v>37</v>
      </c>
      <c r="AC18" s="338">
        <f t="shared" si="7"/>
        <v>34657.9</v>
      </c>
      <c r="AF18" s="108"/>
      <c r="AG18" s="15">
        <v>11</v>
      </c>
      <c r="AH18" s="70">
        <v>882.7</v>
      </c>
      <c r="AI18" s="341">
        <v>44537</v>
      </c>
      <c r="AJ18" s="70">
        <v>882.7</v>
      </c>
      <c r="AK18" s="96" t="s">
        <v>465</v>
      </c>
      <c r="AL18" s="72">
        <v>37</v>
      </c>
      <c r="AM18" s="630">
        <f t="shared" si="8"/>
        <v>32659.9</v>
      </c>
      <c r="AP18" s="108"/>
      <c r="AQ18" s="15">
        <v>11</v>
      </c>
      <c r="AR18" s="335">
        <v>947.1</v>
      </c>
      <c r="AS18" s="346">
        <v>44538</v>
      </c>
      <c r="AT18" s="335">
        <v>947.1</v>
      </c>
      <c r="AU18" s="334" t="s">
        <v>488</v>
      </c>
      <c r="AV18" s="279">
        <v>37</v>
      </c>
      <c r="AW18" s="338">
        <f t="shared" si="9"/>
        <v>35042.700000000004</v>
      </c>
      <c r="AZ18" s="108"/>
      <c r="BA18" s="15">
        <v>11</v>
      </c>
      <c r="BB18" s="93">
        <v>942.56</v>
      </c>
      <c r="BC18" s="141">
        <v>44539</v>
      </c>
      <c r="BD18" s="93">
        <v>942.56</v>
      </c>
      <c r="BE18" s="96" t="s">
        <v>459</v>
      </c>
      <c r="BF18" s="400">
        <v>36</v>
      </c>
      <c r="BG18" s="646">
        <f t="shared" si="10"/>
        <v>33932.159999999996</v>
      </c>
      <c r="BJ18" s="108"/>
      <c r="BK18" s="15">
        <v>11</v>
      </c>
      <c r="BL18" s="93">
        <v>898.1</v>
      </c>
      <c r="BM18" s="141">
        <v>44540</v>
      </c>
      <c r="BN18" s="93">
        <v>898.1</v>
      </c>
      <c r="BO18" s="96" t="s">
        <v>483</v>
      </c>
      <c r="BP18" s="400">
        <v>36</v>
      </c>
      <c r="BQ18" s="857">
        <f t="shared" si="11"/>
        <v>32331.600000000002</v>
      </c>
      <c r="BT18" s="108"/>
      <c r="BU18" s="276">
        <v>11</v>
      </c>
      <c r="BV18" s="292">
        <v>867.7</v>
      </c>
      <c r="BW18" s="401">
        <v>44541</v>
      </c>
      <c r="BX18" s="292">
        <v>867.7</v>
      </c>
      <c r="BY18" s="402" t="s">
        <v>508</v>
      </c>
      <c r="BZ18" s="403">
        <v>36</v>
      </c>
      <c r="CA18" s="627">
        <f t="shared" si="12"/>
        <v>31237.200000000001</v>
      </c>
      <c r="CD18" s="909"/>
      <c r="CE18" s="15">
        <v>11</v>
      </c>
      <c r="CF18" s="70">
        <v>917.6</v>
      </c>
      <c r="CG18" s="401">
        <v>44542</v>
      </c>
      <c r="CH18" s="70">
        <v>917.6</v>
      </c>
      <c r="CI18" s="404" t="s">
        <v>513</v>
      </c>
      <c r="CJ18" s="403">
        <v>36</v>
      </c>
      <c r="CK18" s="627">
        <f t="shared" si="13"/>
        <v>33033.599999999999</v>
      </c>
      <c r="CN18" s="95"/>
      <c r="CO18" s="15">
        <v>11</v>
      </c>
      <c r="CP18" s="70">
        <v>889.9</v>
      </c>
      <c r="CQ18" s="401">
        <v>44545</v>
      </c>
      <c r="CR18" s="70">
        <v>889.9</v>
      </c>
      <c r="CS18" s="404" t="s">
        <v>524</v>
      </c>
      <c r="CT18" s="403">
        <v>38</v>
      </c>
      <c r="CU18" s="635">
        <f t="shared" si="48"/>
        <v>33816.199999999997</v>
      </c>
      <c r="CX18" s="108"/>
      <c r="CY18" s="15">
        <v>11</v>
      </c>
      <c r="CZ18" s="93">
        <v>918.1</v>
      </c>
      <c r="DA18" s="341">
        <v>44544</v>
      </c>
      <c r="DB18" s="93">
        <v>918.1</v>
      </c>
      <c r="DC18" s="96" t="s">
        <v>516</v>
      </c>
      <c r="DD18" s="72">
        <v>38</v>
      </c>
      <c r="DE18" s="627">
        <f t="shared" si="14"/>
        <v>34887.800000000003</v>
      </c>
      <c r="DH18" s="108"/>
      <c r="DI18" s="15">
        <v>11</v>
      </c>
      <c r="DJ18" s="93">
        <v>937.1</v>
      </c>
      <c r="DK18" s="401">
        <v>44544</v>
      </c>
      <c r="DL18" s="93">
        <v>937.1</v>
      </c>
      <c r="DM18" s="404" t="s">
        <v>476</v>
      </c>
      <c r="DN18" s="403">
        <v>38</v>
      </c>
      <c r="DO18" s="635">
        <f t="shared" si="15"/>
        <v>35609.800000000003</v>
      </c>
      <c r="DR18" s="108"/>
      <c r="DS18" s="15">
        <v>11</v>
      </c>
      <c r="DT18" s="93">
        <v>928.04</v>
      </c>
      <c r="DU18" s="401">
        <v>44545</v>
      </c>
      <c r="DV18" s="93">
        <v>928.04</v>
      </c>
      <c r="DW18" s="404" t="s">
        <v>477</v>
      </c>
      <c r="DX18" s="403">
        <v>38</v>
      </c>
      <c r="DY18" s="627">
        <f t="shared" si="16"/>
        <v>35265.519999999997</v>
      </c>
      <c r="EB18" s="108"/>
      <c r="EC18" s="15">
        <v>11</v>
      </c>
      <c r="ED18" s="70">
        <v>877.7</v>
      </c>
      <c r="EE18" s="357">
        <v>44546</v>
      </c>
      <c r="EF18" s="70">
        <v>877.7</v>
      </c>
      <c r="EG18" s="71" t="s">
        <v>532</v>
      </c>
      <c r="EH18" s="72">
        <v>38</v>
      </c>
      <c r="EI18" s="627">
        <f t="shared" si="17"/>
        <v>33352.6</v>
      </c>
      <c r="EL18" s="108"/>
      <c r="EM18" s="15">
        <v>11</v>
      </c>
      <c r="EN18" s="292">
        <v>918.5</v>
      </c>
      <c r="EO18" s="346">
        <v>44546</v>
      </c>
      <c r="EP18" s="292">
        <v>918.5</v>
      </c>
      <c r="EQ18" s="278" t="s">
        <v>531</v>
      </c>
      <c r="ER18" s="279">
        <v>38</v>
      </c>
      <c r="ES18" s="627">
        <f t="shared" si="18"/>
        <v>34903</v>
      </c>
      <c r="EV18" s="108"/>
      <c r="EW18" s="15">
        <v>11</v>
      </c>
      <c r="EX18" s="70">
        <v>890.4</v>
      </c>
      <c r="EY18" s="357">
        <v>44548</v>
      </c>
      <c r="EZ18" s="70">
        <v>890.4</v>
      </c>
      <c r="FA18" s="278" t="s">
        <v>541</v>
      </c>
      <c r="FB18" s="72">
        <v>38</v>
      </c>
      <c r="FC18" s="338">
        <f t="shared" si="19"/>
        <v>33835.199999999997</v>
      </c>
      <c r="FF18" s="108"/>
      <c r="FG18" s="15">
        <v>11</v>
      </c>
      <c r="FH18" s="292">
        <v>880.4</v>
      </c>
      <c r="FI18" s="346">
        <v>44548</v>
      </c>
      <c r="FJ18" s="292">
        <v>880.4</v>
      </c>
      <c r="FK18" s="278" t="s">
        <v>538</v>
      </c>
      <c r="FL18" s="279">
        <v>38</v>
      </c>
      <c r="FM18" s="627">
        <f t="shared" si="20"/>
        <v>33455.199999999997</v>
      </c>
      <c r="FP18" s="108"/>
      <c r="FQ18" s="15">
        <v>11</v>
      </c>
      <c r="FR18" s="93">
        <v>927.1</v>
      </c>
      <c r="FS18" s="341">
        <v>44551</v>
      </c>
      <c r="FT18" s="93">
        <v>927.1</v>
      </c>
      <c r="FU18" s="71" t="s">
        <v>572</v>
      </c>
      <c r="FV18" s="72">
        <v>38</v>
      </c>
      <c r="FW18" s="627">
        <f t="shared" si="21"/>
        <v>35229.800000000003</v>
      </c>
      <c r="FX18" s="72"/>
      <c r="FZ18" s="108"/>
      <c r="GA18" s="15">
        <v>11</v>
      </c>
      <c r="GB18" s="70">
        <v>896.7</v>
      </c>
      <c r="GC18" s="545">
        <v>44551</v>
      </c>
      <c r="GD18" s="70">
        <v>896.7</v>
      </c>
      <c r="GE18" s="278" t="s">
        <v>565</v>
      </c>
      <c r="GF18" s="279">
        <v>39</v>
      </c>
      <c r="GG18" s="338">
        <f t="shared" si="22"/>
        <v>34971.300000000003</v>
      </c>
      <c r="GH18" s="72"/>
      <c r="GJ18" s="108"/>
      <c r="GK18" s="15">
        <v>11</v>
      </c>
      <c r="GL18" s="523">
        <v>928</v>
      </c>
      <c r="GM18" s="341">
        <v>44551</v>
      </c>
      <c r="GN18" s="523">
        <v>928</v>
      </c>
      <c r="GO18" s="96" t="s">
        <v>566</v>
      </c>
      <c r="GP18" s="72">
        <v>39</v>
      </c>
      <c r="GQ18" s="627">
        <f t="shared" si="23"/>
        <v>36192</v>
      </c>
      <c r="GT18" s="108"/>
      <c r="GU18" s="15">
        <v>11</v>
      </c>
      <c r="GV18" s="292">
        <v>935.8</v>
      </c>
      <c r="GW18" s="346">
        <v>44551</v>
      </c>
      <c r="GX18" s="292">
        <v>935.8</v>
      </c>
      <c r="GY18" s="334" t="s">
        <v>568</v>
      </c>
      <c r="GZ18" s="279">
        <v>39</v>
      </c>
      <c r="HA18" s="627">
        <f t="shared" si="24"/>
        <v>36496.199999999997</v>
      </c>
      <c r="HD18" s="108"/>
      <c r="HE18" s="15">
        <v>11</v>
      </c>
      <c r="HF18" s="93">
        <v>905.8</v>
      </c>
      <c r="HG18" s="341">
        <v>44552</v>
      </c>
      <c r="HH18" s="93">
        <v>905.8</v>
      </c>
      <c r="HI18" s="96" t="s">
        <v>582</v>
      </c>
      <c r="HJ18" s="72">
        <v>41</v>
      </c>
      <c r="HK18" s="627">
        <f t="shared" si="25"/>
        <v>37137.799999999996</v>
      </c>
      <c r="HN18" s="108"/>
      <c r="HO18" s="15">
        <v>11</v>
      </c>
      <c r="HP18" s="292">
        <v>898.11</v>
      </c>
      <c r="HQ18" s="346">
        <v>44552</v>
      </c>
      <c r="HR18" s="292">
        <v>898.11</v>
      </c>
      <c r="HS18" s="406" t="s">
        <v>579</v>
      </c>
      <c r="HT18" s="279">
        <v>41</v>
      </c>
      <c r="HU18" s="627">
        <f t="shared" si="26"/>
        <v>36822.51</v>
      </c>
      <c r="HX18" s="95"/>
      <c r="HY18" s="15">
        <v>11</v>
      </c>
      <c r="HZ18" s="70">
        <v>894.93</v>
      </c>
      <c r="IA18" s="357">
        <v>44553</v>
      </c>
      <c r="IB18" s="70">
        <v>894.93</v>
      </c>
      <c r="IC18" s="71" t="s">
        <v>592</v>
      </c>
      <c r="ID18" s="72">
        <v>42</v>
      </c>
      <c r="IE18" s="627">
        <f t="shared" si="27"/>
        <v>37587.06</v>
      </c>
      <c r="IH18" s="95"/>
      <c r="II18" s="15">
        <v>11</v>
      </c>
      <c r="IJ18" s="70">
        <v>931.67</v>
      </c>
      <c r="IK18" s="357">
        <v>44553</v>
      </c>
      <c r="IL18" s="70">
        <v>931.67</v>
      </c>
      <c r="IM18" s="71" t="s">
        <v>599</v>
      </c>
      <c r="IN18" s="72">
        <v>41</v>
      </c>
      <c r="IO18" s="627">
        <f t="shared" si="28"/>
        <v>38198.47</v>
      </c>
      <c r="IR18" s="108"/>
      <c r="IS18" s="15">
        <v>11</v>
      </c>
      <c r="IT18" s="292">
        <v>884</v>
      </c>
      <c r="IU18" s="258">
        <v>44554</v>
      </c>
      <c r="IV18" s="292">
        <v>884</v>
      </c>
      <c r="IW18" s="552" t="s">
        <v>611</v>
      </c>
      <c r="IX18" s="279">
        <v>41</v>
      </c>
      <c r="IY18" s="338">
        <f t="shared" si="29"/>
        <v>36244</v>
      </c>
      <c r="IZ18" s="93"/>
      <c r="JA18" s="70"/>
      <c r="JB18" s="108"/>
      <c r="JC18" s="15">
        <v>11</v>
      </c>
      <c r="JD18" s="93">
        <v>937.6</v>
      </c>
      <c r="JE18" s="357">
        <v>44554</v>
      </c>
      <c r="JF18" s="93">
        <v>937.6</v>
      </c>
      <c r="JG18" s="71" t="s">
        <v>613</v>
      </c>
      <c r="JH18" s="72">
        <v>41</v>
      </c>
      <c r="JI18" s="627">
        <f t="shared" si="30"/>
        <v>38441.599999999999</v>
      </c>
      <c r="JJ18" s="107"/>
      <c r="JL18" s="108"/>
      <c r="JM18" s="15">
        <v>11</v>
      </c>
      <c r="JN18" s="93">
        <v>937.6</v>
      </c>
      <c r="JO18" s="341">
        <v>44554</v>
      </c>
      <c r="JP18" s="93">
        <v>937.6</v>
      </c>
      <c r="JQ18" s="71" t="s">
        <v>604</v>
      </c>
      <c r="JR18" s="72">
        <v>41</v>
      </c>
      <c r="JS18" s="627">
        <f t="shared" si="31"/>
        <v>38441.599999999999</v>
      </c>
      <c r="JV18" s="108"/>
      <c r="JW18" s="15">
        <v>11</v>
      </c>
      <c r="JX18" s="70">
        <v>911.3</v>
      </c>
      <c r="JY18" s="357">
        <v>44554</v>
      </c>
      <c r="JZ18" s="70">
        <v>911.3</v>
      </c>
      <c r="KA18" s="71" t="s">
        <v>605</v>
      </c>
      <c r="KB18" s="72">
        <v>41</v>
      </c>
      <c r="KC18" s="627">
        <f t="shared" si="32"/>
        <v>37363.299999999996</v>
      </c>
      <c r="KF18" s="108"/>
      <c r="KG18" s="15">
        <v>11</v>
      </c>
      <c r="KH18" s="70">
        <v>931.2</v>
      </c>
      <c r="KI18" s="357">
        <v>44556</v>
      </c>
      <c r="KJ18" s="70">
        <v>931.2</v>
      </c>
      <c r="KK18" s="71" t="s">
        <v>617</v>
      </c>
      <c r="KL18" s="72">
        <v>41</v>
      </c>
      <c r="KM18" s="627">
        <f t="shared" si="33"/>
        <v>38179.200000000004</v>
      </c>
      <c r="KP18" s="108"/>
      <c r="KQ18" s="15">
        <v>11</v>
      </c>
      <c r="KR18" s="70">
        <v>905.8</v>
      </c>
      <c r="KS18" s="357">
        <v>44558</v>
      </c>
      <c r="KT18" s="70">
        <v>905.8</v>
      </c>
      <c r="KU18" s="71" t="s">
        <v>636</v>
      </c>
      <c r="KV18" s="72">
        <v>42</v>
      </c>
      <c r="KW18" s="627">
        <f t="shared" si="34"/>
        <v>38043.599999999999</v>
      </c>
      <c r="KZ18" s="108"/>
      <c r="LA18" s="15">
        <v>11</v>
      </c>
      <c r="LB18" s="93">
        <v>872.71</v>
      </c>
      <c r="LC18" s="341">
        <v>44558</v>
      </c>
      <c r="LD18" s="93">
        <v>872.71</v>
      </c>
      <c r="LE18" s="96" t="s">
        <v>642</v>
      </c>
      <c r="LF18" s="72">
        <v>42</v>
      </c>
      <c r="LG18" s="627">
        <f t="shared" si="35"/>
        <v>36653.82</v>
      </c>
      <c r="LJ18" s="108"/>
      <c r="LK18" s="15">
        <v>11</v>
      </c>
      <c r="LL18" s="292">
        <v>911.26</v>
      </c>
      <c r="LM18" s="341">
        <v>44559</v>
      </c>
      <c r="LN18" s="292">
        <v>911.26</v>
      </c>
      <c r="LO18" s="96" t="s">
        <v>652</v>
      </c>
      <c r="LP18" s="72">
        <v>42</v>
      </c>
      <c r="LQ18" s="627">
        <f t="shared" si="36"/>
        <v>38272.92</v>
      </c>
      <c r="LT18" s="108"/>
      <c r="LU18" s="15">
        <v>11</v>
      </c>
      <c r="LV18" s="93">
        <v>932.6</v>
      </c>
      <c r="LW18" s="341">
        <v>44559</v>
      </c>
      <c r="LX18" s="93">
        <v>932.6</v>
      </c>
      <c r="LY18" s="96" t="s">
        <v>649</v>
      </c>
      <c r="LZ18" s="72">
        <v>42</v>
      </c>
      <c r="MA18" s="627">
        <f t="shared" si="37"/>
        <v>39169.200000000004</v>
      </c>
      <c r="MB18" s="627"/>
      <c r="MD18" s="108"/>
      <c r="ME18" s="15">
        <v>11</v>
      </c>
      <c r="MF18" s="412">
        <v>910.4</v>
      </c>
      <c r="MG18" s="341">
        <v>44560</v>
      </c>
      <c r="MH18" s="412">
        <v>910.4</v>
      </c>
      <c r="MI18" s="96" t="s">
        <v>661</v>
      </c>
      <c r="MJ18" s="72">
        <v>43</v>
      </c>
      <c r="MK18" s="72">
        <f t="shared" si="38"/>
        <v>39147.199999999997</v>
      </c>
      <c r="MN18" s="108"/>
      <c r="MO18" s="15">
        <v>11</v>
      </c>
      <c r="MP18" s="93">
        <v>919.45</v>
      </c>
      <c r="MQ18" s="341">
        <v>44560</v>
      </c>
      <c r="MR18" s="93">
        <v>919.45</v>
      </c>
      <c r="MS18" s="96" t="s">
        <v>665</v>
      </c>
      <c r="MT18" s="72">
        <v>43</v>
      </c>
      <c r="MU18" s="72">
        <f t="shared" si="39"/>
        <v>39536.35</v>
      </c>
      <c r="MX18" s="108"/>
      <c r="MY18" s="15">
        <v>11</v>
      </c>
      <c r="MZ18" s="93">
        <v>885</v>
      </c>
      <c r="NA18" s="341">
        <v>44561</v>
      </c>
      <c r="NB18" s="93">
        <v>885</v>
      </c>
      <c r="NC18" s="96" t="s">
        <v>672</v>
      </c>
      <c r="ND18" s="72">
        <v>40</v>
      </c>
      <c r="NE18" s="72">
        <f t="shared" si="40"/>
        <v>35400</v>
      </c>
      <c r="NH18" s="108"/>
      <c r="NI18" s="15">
        <v>11</v>
      </c>
      <c r="NJ18" s="93">
        <v>917.6</v>
      </c>
      <c r="NK18" s="341"/>
      <c r="NL18" s="93"/>
      <c r="NM18" s="96"/>
      <c r="NN18" s="72"/>
      <c r="NO18" s="72">
        <f t="shared" si="41"/>
        <v>0</v>
      </c>
      <c r="NR18" s="108"/>
      <c r="NS18" s="15">
        <v>11</v>
      </c>
      <c r="NT18" s="93">
        <v>899.9</v>
      </c>
      <c r="NU18" s="341">
        <v>44563</v>
      </c>
      <c r="NV18" s="93">
        <v>899.9</v>
      </c>
      <c r="NW18" s="96" t="s">
        <v>682</v>
      </c>
      <c r="NX18" s="72">
        <v>34</v>
      </c>
      <c r="NY18" s="72">
        <f t="shared" si="42"/>
        <v>30596.6</v>
      </c>
      <c r="OB18" s="108"/>
      <c r="OC18" s="15">
        <v>11</v>
      </c>
      <c r="OD18" s="93"/>
      <c r="OE18" s="341"/>
      <c r="OF18" s="93"/>
      <c r="OG18" s="96"/>
      <c r="OH18" s="72"/>
      <c r="OI18" s="72">
        <f t="shared" si="43"/>
        <v>0</v>
      </c>
      <c r="OL18" s="108"/>
      <c r="OM18" s="15">
        <v>11</v>
      </c>
      <c r="ON18" s="93"/>
      <c r="OO18" s="341"/>
      <c r="OP18" s="93"/>
      <c r="OQ18" s="96"/>
      <c r="OR18" s="72"/>
      <c r="OS18" s="72">
        <f t="shared" si="44"/>
        <v>0</v>
      </c>
      <c r="OV18" s="108"/>
      <c r="OW18" s="15">
        <v>11</v>
      </c>
      <c r="OX18" s="292"/>
      <c r="OY18" s="346"/>
      <c r="OZ18" s="292"/>
      <c r="PA18" s="334"/>
      <c r="PB18" s="279"/>
      <c r="PC18" s="279">
        <f t="shared" si="45"/>
        <v>0</v>
      </c>
      <c r="PF18" s="95"/>
      <c r="PG18" s="15">
        <v>11</v>
      </c>
      <c r="PH18" s="93"/>
      <c r="PI18" s="341"/>
      <c r="PJ18" s="93"/>
      <c r="PK18" s="96"/>
      <c r="PL18" s="72"/>
      <c r="PM18" s="72">
        <f t="shared" si="46"/>
        <v>0</v>
      </c>
      <c r="PP18" s="108"/>
      <c r="PQ18" s="15">
        <v>11</v>
      </c>
      <c r="PR18" s="93"/>
      <c r="PS18" s="341"/>
      <c r="PT18" s="93"/>
      <c r="PU18" s="96"/>
      <c r="PV18" s="72"/>
      <c r="PY18" s="108"/>
      <c r="PZ18" s="15">
        <v>11</v>
      </c>
      <c r="QA18" s="93"/>
      <c r="QB18" s="141"/>
      <c r="QC18" s="93"/>
      <c r="QD18" s="96"/>
      <c r="QE18" s="72"/>
      <c r="QH18" s="108"/>
      <c r="QI18" s="15">
        <v>11</v>
      </c>
      <c r="QJ18" s="93"/>
      <c r="QK18" s="341"/>
      <c r="QL18" s="93"/>
      <c r="QM18" s="96"/>
      <c r="QN18" s="72"/>
      <c r="QQ18" s="108"/>
      <c r="QR18" s="15">
        <v>11</v>
      </c>
      <c r="QS18" s="93"/>
      <c r="QT18" s="341"/>
      <c r="QU18" s="93"/>
      <c r="QV18" s="96"/>
      <c r="QW18" s="72"/>
      <c r="QZ18" s="108"/>
      <c r="RA18" s="15">
        <v>11</v>
      </c>
      <c r="RB18" s="93"/>
      <c r="RC18" s="341"/>
      <c r="RD18" s="93"/>
      <c r="RE18" s="96"/>
      <c r="RF18" s="72"/>
      <c r="RI18" s="108"/>
      <c r="RJ18" s="15">
        <v>11</v>
      </c>
      <c r="RK18" s="93"/>
      <c r="RL18" s="341"/>
      <c r="RM18" s="93"/>
      <c r="RN18" s="96"/>
      <c r="RO18" s="400"/>
      <c r="RR18" s="108"/>
      <c r="RS18" s="15">
        <v>11</v>
      </c>
      <c r="RT18" s="93"/>
      <c r="RU18" s="141"/>
      <c r="RV18" s="93"/>
      <c r="RW18" s="96"/>
      <c r="RX18" s="72"/>
      <c r="SA18" s="108"/>
      <c r="SB18" s="15">
        <v>11</v>
      </c>
      <c r="SC18" s="93"/>
      <c r="SD18" s="80"/>
      <c r="SE18" s="93"/>
      <c r="SF18" s="96"/>
      <c r="SG18" s="72"/>
      <c r="SJ18" s="108"/>
      <c r="SK18" s="15">
        <v>11</v>
      </c>
      <c r="SL18" s="93"/>
      <c r="SM18" s="80"/>
      <c r="SN18" s="93"/>
      <c r="SO18" s="96"/>
      <c r="SP18" s="72"/>
      <c r="SS18" s="108"/>
      <c r="ST18" s="15"/>
      <c r="SU18" s="93"/>
      <c r="SV18" s="80"/>
      <c r="SW18" s="93"/>
      <c r="SX18" s="96"/>
      <c r="SY18" s="72"/>
      <c r="TB18" s="108"/>
      <c r="TC18" s="15">
        <v>11</v>
      </c>
      <c r="TD18" s="93"/>
      <c r="TE18" s="411"/>
      <c r="TF18" s="189"/>
      <c r="TG18" s="404"/>
      <c r="TH18" s="403"/>
      <c r="TK18" s="108"/>
      <c r="TL18" s="15">
        <v>11</v>
      </c>
      <c r="TM18" s="93"/>
      <c r="TN18" s="80"/>
      <c r="TO18" s="93"/>
      <c r="TP18" s="96"/>
      <c r="TQ18" s="72"/>
      <c r="TT18" s="108"/>
      <c r="TU18" s="15">
        <v>11</v>
      </c>
      <c r="TV18" s="93"/>
      <c r="TW18" s="80"/>
      <c r="TX18" s="93"/>
      <c r="TY18" s="96"/>
      <c r="TZ18" s="72"/>
      <c r="UC18" s="108"/>
      <c r="UD18" s="15">
        <v>11</v>
      </c>
      <c r="UE18" s="93"/>
      <c r="UF18" s="80"/>
      <c r="UG18" s="93"/>
      <c r="UH18" s="96"/>
      <c r="UI18" s="72"/>
      <c r="UL18" s="108"/>
      <c r="UM18" s="15">
        <v>11</v>
      </c>
      <c r="UN18" s="93"/>
      <c r="UO18" s="80"/>
      <c r="UP18" s="93"/>
      <c r="UQ18" s="96"/>
      <c r="UR18" s="72"/>
      <c r="UU18" s="108"/>
      <c r="UV18" s="15">
        <v>11</v>
      </c>
      <c r="UW18" s="93"/>
      <c r="UX18" s="80"/>
      <c r="UY18" s="93"/>
      <c r="UZ18" s="96"/>
      <c r="VA18" s="72"/>
      <c r="VD18" s="108"/>
      <c r="VE18" s="15">
        <v>11</v>
      </c>
      <c r="VF18" s="93"/>
      <c r="VG18" s="80"/>
      <c r="VH18" s="93"/>
      <c r="VI18" s="96"/>
      <c r="VJ18" s="72"/>
      <c r="VM18" s="108"/>
      <c r="VN18" s="15">
        <v>11</v>
      </c>
      <c r="VO18" s="93"/>
      <c r="VP18" s="80"/>
      <c r="VQ18" s="93"/>
      <c r="VR18" s="96"/>
      <c r="VS18" s="72"/>
      <c r="VV18" s="108"/>
      <c r="VW18" s="15">
        <v>11</v>
      </c>
      <c r="VX18" s="93"/>
      <c r="VY18" s="80"/>
      <c r="VZ18" s="93"/>
      <c r="WA18" s="96"/>
      <c r="WB18" s="72"/>
      <c r="WE18" s="108"/>
      <c r="WF18" s="15">
        <v>11</v>
      </c>
      <c r="WG18" s="93"/>
      <c r="WH18" s="80"/>
      <c r="WI18" s="93"/>
      <c r="WJ18" s="96"/>
      <c r="WK18" s="72"/>
      <c r="WN18" s="108"/>
      <c r="WO18" s="15">
        <v>11</v>
      </c>
      <c r="WP18" s="93"/>
      <c r="WQ18" s="80"/>
      <c r="WR18" s="93"/>
      <c r="WS18" s="96"/>
      <c r="WT18" s="72"/>
      <c r="WW18" s="108"/>
      <c r="WX18" s="15">
        <v>11</v>
      </c>
      <c r="WY18" s="93"/>
      <c r="WZ18" s="80"/>
      <c r="XA18" s="93"/>
      <c r="XB18" s="96"/>
      <c r="XC18" s="72"/>
      <c r="XF18" s="108"/>
      <c r="XG18" s="15">
        <v>11</v>
      </c>
      <c r="XH18" s="93"/>
      <c r="XI18" s="80"/>
      <c r="XJ18" s="93"/>
      <c r="XK18" s="96"/>
      <c r="XL18" s="72"/>
      <c r="XO18" s="108"/>
      <c r="XP18" s="15">
        <v>11</v>
      </c>
      <c r="XQ18" s="93"/>
      <c r="XR18" s="80"/>
      <c r="XS18" s="93"/>
      <c r="XT18" s="96"/>
      <c r="XU18" s="72"/>
      <c r="XX18" s="108"/>
      <c r="XY18" s="15">
        <v>11</v>
      </c>
      <c r="XZ18" s="93"/>
      <c r="YA18" s="80"/>
      <c r="YB18" s="93"/>
      <c r="YC18" s="96"/>
      <c r="YD18" s="72"/>
      <c r="YG18" s="108"/>
      <c r="YH18" s="15">
        <v>11</v>
      </c>
      <c r="YI18" s="93"/>
      <c r="YJ18" s="80"/>
      <c r="YK18" s="93"/>
      <c r="YL18" s="96"/>
      <c r="YM18" s="72"/>
      <c r="YP18" s="108"/>
      <c r="YQ18" s="15">
        <v>11</v>
      </c>
      <c r="YR18" s="93"/>
      <c r="YS18" s="80"/>
      <c r="YT18" s="93"/>
      <c r="YU18" s="96"/>
      <c r="YV18" s="72"/>
      <c r="YY18" s="108"/>
      <c r="YZ18" s="15">
        <v>11</v>
      </c>
      <c r="ZA18" s="93"/>
      <c r="ZB18" s="80"/>
      <c r="ZC18" s="93"/>
      <c r="ZD18" s="96"/>
      <c r="ZE18" s="72"/>
      <c r="ZH18" s="108"/>
      <c r="ZI18" s="15">
        <v>11</v>
      </c>
      <c r="ZJ18" s="93"/>
      <c r="ZK18" s="80"/>
      <c r="ZL18" s="93"/>
      <c r="ZM18" s="96"/>
      <c r="ZN18" s="72"/>
      <c r="ZQ18" s="108"/>
      <c r="ZR18" s="15">
        <v>11</v>
      </c>
      <c r="ZS18" s="93"/>
      <c r="ZT18" s="80"/>
      <c r="ZU18" s="93"/>
      <c r="ZV18" s="96"/>
      <c r="ZW18" s="72"/>
      <c r="ZZ18" s="108"/>
      <c r="AAA18" s="15">
        <v>11</v>
      </c>
      <c r="AAB18" s="93"/>
      <c r="AAC18" s="80"/>
      <c r="AAD18" s="93"/>
      <c r="AAE18" s="96"/>
      <c r="AAF18" s="72"/>
      <c r="AAI18" s="108"/>
      <c r="AAJ18" s="15">
        <v>11</v>
      </c>
      <c r="AAK18" s="93"/>
      <c r="AAL18" s="80"/>
      <c r="AAM18" s="93"/>
      <c r="AAN18" s="96"/>
      <c r="AAO18" s="72"/>
      <c r="AAR18" s="108"/>
      <c r="AAS18" s="15">
        <v>11</v>
      </c>
      <c r="AAT18" s="93"/>
      <c r="AAU18" s="80"/>
      <c r="AAV18" s="93"/>
      <c r="AAW18" s="96"/>
      <c r="AAX18" s="72"/>
      <c r="ABA18" s="108"/>
      <c r="ABB18" s="15">
        <v>11</v>
      </c>
      <c r="ABC18" s="93"/>
      <c r="ABD18" s="80"/>
      <c r="ABE18" s="93"/>
      <c r="ABF18" s="96"/>
      <c r="ABG18" s="72"/>
      <c r="ABJ18" s="108"/>
      <c r="ABK18" s="15">
        <v>11</v>
      </c>
      <c r="ABL18" s="93"/>
      <c r="ABM18" s="80"/>
      <c r="ABN18" s="93"/>
      <c r="ABO18" s="96"/>
      <c r="ABP18" s="72"/>
      <c r="ABS18" s="108"/>
      <c r="ABT18" s="15">
        <v>11</v>
      </c>
      <c r="ABU18" s="93"/>
      <c r="ABV18" s="80"/>
      <c r="ABW18" s="93"/>
      <c r="ABX18" s="96"/>
      <c r="ABY18" s="72"/>
      <c r="ACB18" s="108"/>
      <c r="ACC18" s="15">
        <v>11</v>
      </c>
      <c r="ACD18" s="93"/>
      <c r="ACE18" s="80"/>
      <c r="ACF18" s="93"/>
      <c r="ACG18" s="96"/>
      <c r="ACH18" s="72"/>
      <c r="ACK18" s="108"/>
      <c r="ACL18" s="15">
        <v>11</v>
      </c>
      <c r="ACM18" s="93"/>
      <c r="ACN18" s="80"/>
      <c r="ACO18" s="93"/>
      <c r="ACP18" s="96"/>
      <c r="ACQ18" s="72"/>
      <c r="ACT18" s="108"/>
      <c r="ACU18" s="15">
        <v>11</v>
      </c>
      <c r="ACV18" s="93"/>
      <c r="ACW18" s="80"/>
      <c r="ACX18" s="93"/>
      <c r="ACY18" s="96"/>
      <c r="ACZ18" s="72"/>
      <c r="ADC18" s="108"/>
      <c r="ADD18" s="15">
        <v>11</v>
      </c>
      <c r="ADE18" s="93"/>
      <c r="ADF18" s="80"/>
      <c r="ADG18" s="93"/>
      <c r="ADH18" s="96"/>
      <c r="ADI18" s="72"/>
      <c r="ADL18" s="108"/>
      <c r="ADM18" s="15">
        <v>11</v>
      </c>
      <c r="ADN18" s="93"/>
      <c r="ADO18" s="80"/>
      <c r="ADP18" s="93"/>
      <c r="ADQ18" s="96"/>
      <c r="ADR18" s="72"/>
      <c r="ADU18" s="108"/>
      <c r="ADV18" s="15">
        <v>11</v>
      </c>
      <c r="ADW18" s="93"/>
      <c r="ADX18" s="80"/>
      <c r="ADY18" s="93"/>
      <c r="ADZ18" s="96"/>
      <c r="AEA18" s="72"/>
      <c r="AED18" s="108"/>
      <c r="AEE18" s="15">
        <v>11</v>
      </c>
      <c r="AEF18" s="93"/>
      <c r="AEG18" s="80"/>
      <c r="AEH18" s="93"/>
      <c r="AEI18" s="96"/>
      <c r="AEJ18" s="72"/>
      <c r="AEM18" s="108"/>
      <c r="AEN18" s="15">
        <v>11</v>
      </c>
      <c r="AEO18" s="93"/>
      <c r="AEP18" s="80"/>
      <c r="AEQ18" s="93"/>
      <c r="AER18" s="96"/>
      <c r="AES18" s="72"/>
    </row>
    <row r="19" spans="1:828" x14ac:dyDescent="0.25">
      <c r="A19" s="143">
        <v>16</v>
      </c>
      <c r="B19" s="76" t="str">
        <f t="shared" ref="B19:I19" si="57">FE5</f>
        <v>SEABOARD FOODS</v>
      </c>
      <c r="C19" s="76" t="str">
        <f t="shared" si="57"/>
        <v>Seaboard</v>
      </c>
      <c r="D19" s="104" t="str">
        <f t="shared" si="57"/>
        <v>PED. 75147700</v>
      </c>
      <c r="E19" s="141">
        <f t="shared" si="57"/>
        <v>44548</v>
      </c>
      <c r="F19" s="87">
        <f t="shared" si="57"/>
        <v>18979.97</v>
      </c>
      <c r="G19" s="74">
        <f t="shared" si="57"/>
        <v>21</v>
      </c>
      <c r="H19" s="48">
        <f t="shared" si="57"/>
        <v>18965.2</v>
      </c>
      <c r="I19" s="107">
        <f t="shared" si="57"/>
        <v>14.770000000000437</v>
      </c>
      <c r="L19" s="108"/>
      <c r="M19" s="15">
        <v>12</v>
      </c>
      <c r="N19" s="292">
        <v>880.9</v>
      </c>
      <c r="O19" s="341">
        <v>44537</v>
      </c>
      <c r="P19" s="292">
        <v>880.9</v>
      </c>
      <c r="Q19" s="96" t="s">
        <v>455</v>
      </c>
      <c r="R19" s="72">
        <v>37</v>
      </c>
      <c r="S19" s="627">
        <f t="shared" si="6"/>
        <v>32593.3</v>
      </c>
      <c r="T19" s="255"/>
      <c r="V19" s="108"/>
      <c r="W19" s="15">
        <v>12</v>
      </c>
      <c r="X19" s="292">
        <v>883.1</v>
      </c>
      <c r="Y19" s="346">
        <v>44538</v>
      </c>
      <c r="Z19" s="292">
        <v>883.1</v>
      </c>
      <c r="AA19" s="406" t="s">
        <v>469</v>
      </c>
      <c r="AB19" s="279">
        <v>37</v>
      </c>
      <c r="AC19" s="338">
        <f t="shared" si="7"/>
        <v>32674.7</v>
      </c>
      <c r="AF19" s="108"/>
      <c r="AG19" s="15">
        <v>12</v>
      </c>
      <c r="AH19" s="93">
        <v>869.5</v>
      </c>
      <c r="AI19" s="341">
        <v>44537</v>
      </c>
      <c r="AJ19" s="93">
        <v>869.5</v>
      </c>
      <c r="AK19" s="96" t="s">
        <v>465</v>
      </c>
      <c r="AL19" s="72">
        <v>37</v>
      </c>
      <c r="AM19" s="630">
        <f t="shared" si="8"/>
        <v>32171.5</v>
      </c>
      <c r="AP19" s="108"/>
      <c r="AQ19" s="15">
        <v>12</v>
      </c>
      <c r="AR19" s="335">
        <v>923.51</v>
      </c>
      <c r="AS19" s="346">
        <v>44538</v>
      </c>
      <c r="AT19" s="335">
        <v>923.51</v>
      </c>
      <c r="AU19" s="334" t="s">
        <v>488</v>
      </c>
      <c r="AV19" s="279">
        <v>37</v>
      </c>
      <c r="AW19" s="338">
        <f t="shared" si="9"/>
        <v>34169.870000000003</v>
      </c>
      <c r="AZ19" s="108"/>
      <c r="BA19" s="15">
        <v>12</v>
      </c>
      <c r="BB19" s="70">
        <v>939.84</v>
      </c>
      <c r="BC19" s="141">
        <v>44539</v>
      </c>
      <c r="BD19" s="70">
        <v>939.84</v>
      </c>
      <c r="BE19" s="96" t="s">
        <v>492</v>
      </c>
      <c r="BF19" s="400">
        <v>36</v>
      </c>
      <c r="BG19" s="646">
        <f t="shared" si="10"/>
        <v>33834.239999999998</v>
      </c>
      <c r="BJ19" s="108"/>
      <c r="BK19" s="15">
        <v>12</v>
      </c>
      <c r="BL19" s="70">
        <v>929.4</v>
      </c>
      <c r="BM19" s="141">
        <v>44540</v>
      </c>
      <c r="BN19" s="70">
        <v>929.4</v>
      </c>
      <c r="BO19" s="96" t="s">
        <v>483</v>
      </c>
      <c r="BP19" s="400">
        <v>36</v>
      </c>
      <c r="BQ19" s="857">
        <f t="shared" si="11"/>
        <v>33458.400000000001</v>
      </c>
      <c r="BT19" s="108"/>
      <c r="BU19" s="276">
        <v>12</v>
      </c>
      <c r="BV19" s="292">
        <v>903.3</v>
      </c>
      <c r="BW19" s="401">
        <v>44541</v>
      </c>
      <c r="BX19" s="292">
        <v>903.3</v>
      </c>
      <c r="BY19" s="402" t="s">
        <v>508</v>
      </c>
      <c r="BZ19" s="403">
        <v>36</v>
      </c>
      <c r="CA19" s="627">
        <f t="shared" si="12"/>
        <v>32518.799999999999</v>
      </c>
      <c r="CD19" s="909"/>
      <c r="CE19" s="15">
        <v>12</v>
      </c>
      <c r="CF19" s="93">
        <v>938.9</v>
      </c>
      <c r="CG19" s="401">
        <v>44542</v>
      </c>
      <c r="CH19" s="93">
        <v>938.9</v>
      </c>
      <c r="CI19" s="404" t="s">
        <v>512</v>
      </c>
      <c r="CJ19" s="403">
        <v>36</v>
      </c>
      <c r="CK19" s="627">
        <f t="shared" si="13"/>
        <v>33800.400000000001</v>
      </c>
      <c r="CN19" s="673"/>
      <c r="CO19" s="15">
        <v>12</v>
      </c>
      <c r="CP19" s="93">
        <v>894</v>
      </c>
      <c r="CQ19" s="401">
        <v>44545</v>
      </c>
      <c r="CR19" s="93">
        <v>894</v>
      </c>
      <c r="CS19" s="404" t="s">
        <v>464</v>
      </c>
      <c r="CT19" s="403">
        <v>38</v>
      </c>
      <c r="CU19" s="635">
        <f t="shared" si="48"/>
        <v>33972</v>
      </c>
      <c r="CX19" s="108"/>
      <c r="CY19" s="15">
        <v>12</v>
      </c>
      <c r="CZ19" s="93">
        <v>930.8</v>
      </c>
      <c r="DA19" s="341">
        <v>44544</v>
      </c>
      <c r="DB19" s="93">
        <v>930.8</v>
      </c>
      <c r="DC19" s="96" t="s">
        <v>516</v>
      </c>
      <c r="DD19" s="72">
        <v>38</v>
      </c>
      <c r="DE19" s="627">
        <f t="shared" si="14"/>
        <v>35370.400000000001</v>
      </c>
      <c r="DH19" s="108"/>
      <c r="DI19" s="15">
        <v>12</v>
      </c>
      <c r="DJ19" s="93">
        <v>874.5</v>
      </c>
      <c r="DK19" s="401">
        <v>44544</v>
      </c>
      <c r="DL19" s="93">
        <v>874.5</v>
      </c>
      <c r="DM19" s="404" t="s">
        <v>521</v>
      </c>
      <c r="DN19" s="403">
        <v>38</v>
      </c>
      <c r="DO19" s="635">
        <f t="shared" si="15"/>
        <v>33231</v>
      </c>
      <c r="DR19" s="108"/>
      <c r="DS19" s="15">
        <v>12</v>
      </c>
      <c r="DT19" s="93">
        <v>958.44</v>
      </c>
      <c r="DU19" s="401">
        <v>44545</v>
      </c>
      <c r="DV19" s="93">
        <v>958.44</v>
      </c>
      <c r="DW19" s="404" t="s">
        <v>528</v>
      </c>
      <c r="DX19" s="403">
        <v>38</v>
      </c>
      <c r="DY19" s="627">
        <f t="shared" si="16"/>
        <v>36420.720000000001</v>
      </c>
      <c r="EB19" s="108"/>
      <c r="EC19" s="15">
        <v>12</v>
      </c>
      <c r="ED19" s="70">
        <v>924</v>
      </c>
      <c r="EE19" s="357">
        <v>44546</v>
      </c>
      <c r="EF19" s="70">
        <v>924</v>
      </c>
      <c r="EG19" s="71" t="s">
        <v>532</v>
      </c>
      <c r="EH19" s="72">
        <v>38</v>
      </c>
      <c r="EI19" s="627">
        <f t="shared" si="17"/>
        <v>35112</v>
      </c>
      <c r="EL19" s="108"/>
      <c r="EM19" s="15">
        <v>12</v>
      </c>
      <c r="EN19" s="292">
        <v>918.1</v>
      </c>
      <c r="EO19" s="346">
        <v>44546</v>
      </c>
      <c r="EP19" s="292">
        <v>918.1</v>
      </c>
      <c r="EQ19" s="278" t="s">
        <v>531</v>
      </c>
      <c r="ER19" s="279">
        <v>38</v>
      </c>
      <c r="ES19" s="627">
        <f t="shared" si="18"/>
        <v>34887.800000000003</v>
      </c>
      <c r="EV19" s="108"/>
      <c r="EW19" s="15">
        <v>12</v>
      </c>
      <c r="EX19" s="70">
        <v>946.6</v>
      </c>
      <c r="EY19" s="357">
        <v>44548</v>
      </c>
      <c r="EZ19" s="70">
        <v>946.6</v>
      </c>
      <c r="FA19" s="278" t="s">
        <v>541</v>
      </c>
      <c r="FB19" s="72">
        <v>38</v>
      </c>
      <c r="FC19" s="338">
        <f t="shared" si="19"/>
        <v>35970.800000000003</v>
      </c>
      <c r="FF19" s="108"/>
      <c r="FG19" s="15">
        <v>12</v>
      </c>
      <c r="FH19" s="292">
        <v>903.1</v>
      </c>
      <c r="FI19" s="346">
        <v>44548</v>
      </c>
      <c r="FJ19" s="292">
        <v>903.1</v>
      </c>
      <c r="FK19" s="278" t="s">
        <v>539</v>
      </c>
      <c r="FL19" s="279">
        <v>38</v>
      </c>
      <c r="FM19" s="627">
        <f t="shared" si="20"/>
        <v>34317.800000000003</v>
      </c>
      <c r="FP19" s="108"/>
      <c r="FQ19" s="15">
        <v>12</v>
      </c>
      <c r="FR19" s="93">
        <v>869.1</v>
      </c>
      <c r="FS19" s="341">
        <v>44551</v>
      </c>
      <c r="FT19" s="93">
        <v>869.1</v>
      </c>
      <c r="FU19" s="71" t="s">
        <v>572</v>
      </c>
      <c r="FV19" s="72">
        <v>38</v>
      </c>
      <c r="FW19" s="627">
        <f t="shared" si="21"/>
        <v>33025.800000000003</v>
      </c>
      <c r="FX19" s="72"/>
      <c r="FZ19" s="108"/>
      <c r="GA19" s="15">
        <v>12</v>
      </c>
      <c r="GB19" s="70">
        <v>902.6</v>
      </c>
      <c r="GC19" s="545">
        <v>44551</v>
      </c>
      <c r="GD19" s="70">
        <v>902.6</v>
      </c>
      <c r="GE19" s="278" t="s">
        <v>565</v>
      </c>
      <c r="GF19" s="279">
        <v>39</v>
      </c>
      <c r="GG19" s="338">
        <f t="shared" si="22"/>
        <v>35201.4</v>
      </c>
      <c r="GJ19" s="108"/>
      <c r="GK19" s="15">
        <v>12</v>
      </c>
      <c r="GL19" s="523">
        <v>917.2</v>
      </c>
      <c r="GM19" s="341">
        <v>44551</v>
      </c>
      <c r="GN19" s="523">
        <v>917.2</v>
      </c>
      <c r="GO19" s="96" t="s">
        <v>566</v>
      </c>
      <c r="GP19" s="72">
        <v>39</v>
      </c>
      <c r="GQ19" s="627">
        <f t="shared" si="23"/>
        <v>35770.800000000003</v>
      </c>
      <c r="GT19" s="108"/>
      <c r="GU19" s="15">
        <v>12</v>
      </c>
      <c r="GV19" s="292">
        <v>909.4</v>
      </c>
      <c r="GW19" s="346">
        <v>44551</v>
      </c>
      <c r="GX19" s="292">
        <v>909.4</v>
      </c>
      <c r="GY19" s="334" t="s">
        <v>568</v>
      </c>
      <c r="GZ19" s="279">
        <v>39</v>
      </c>
      <c r="HA19" s="627">
        <f t="shared" si="24"/>
        <v>35466.6</v>
      </c>
      <c r="HD19" s="108"/>
      <c r="HE19" s="15">
        <v>12</v>
      </c>
      <c r="HF19" s="93">
        <v>926.7</v>
      </c>
      <c r="HG19" s="341">
        <v>44552</v>
      </c>
      <c r="HH19" s="93">
        <v>926.7</v>
      </c>
      <c r="HI19" s="96" t="s">
        <v>582</v>
      </c>
      <c r="HJ19" s="72">
        <v>41</v>
      </c>
      <c r="HK19" s="627">
        <f t="shared" si="25"/>
        <v>37994.700000000004</v>
      </c>
      <c r="HN19" s="108"/>
      <c r="HO19" s="15">
        <v>12</v>
      </c>
      <c r="HP19" s="292">
        <v>927.59</v>
      </c>
      <c r="HQ19" s="346">
        <v>44552</v>
      </c>
      <c r="HR19" s="292">
        <v>927.59</v>
      </c>
      <c r="HS19" s="406" t="s">
        <v>579</v>
      </c>
      <c r="HT19" s="279">
        <v>41</v>
      </c>
      <c r="HU19" s="627">
        <f t="shared" si="26"/>
        <v>38031.19</v>
      </c>
      <c r="HX19" s="95"/>
      <c r="HY19" s="15">
        <v>12</v>
      </c>
      <c r="HZ19" s="70">
        <v>889.49</v>
      </c>
      <c r="IA19" s="357">
        <v>44553</v>
      </c>
      <c r="IB19" s="70">
        <v>889.49</v>
      </c>
      <c r="IC19" s="71" t="s">
        <v>592</v>
      </c>
      <c r="ID19" s="72">
        <v>42</v>
      </c>
      <c r="IE19" s="627">
        <f t="shared" si="27"/>
        <v>37358.58</v>
      </c>
      <c r="IH19" s="95"/>
      <c r="II19" s="15">
        <v>12</v>
      </c>
      <c r="IJ19" s="70">
        <v>971.59</v>
      </c>
      <c r="IK19" s="357">
        <v>44553</v>
      </c>
      <c r="IL19" s="70">
        <v>971.59</v>
      </c>
      <c r="IM19" s="71" t="s">
        <v>599</v>
      </c>
      <c r="IN19" s="72">
        <v>41</v>
      </c>
      <c r="IO19" s="627">
        <f t="shared" si="28"/>
        <v>39835.19</v>
      </c>
      <c r="IR19" s="108"/>
      <c r="IS19" s="15">
        <v>12</v>
      </c>
      <c r="IT19" s="292">
        <v>904.9</v>
      </c>
      <c r="IU19" s="258">
        <v>44554</v>
      </c>
      <c r="IV19" s="292">
        <v>904.9</v>
      </c>
      <c r="IW19" s="552" t="s">
        <v>611</v>
      </c>
      <c r="IX19" s="279">
        <v>41</v>
      </c>
      <c r="IY19" s="338">
        <f t="shared" si="29"/>
        <v>37100.9</v>
      </c>
      <c r="IZ19" s="93"/>
      <c r="JA19" s="107"/>
      <c r="JB19" s="108"/>
      <c r="JC19" s="15">
        <v>12</v>
      </c>
      <c r="JD19" s="93">
        <v>873.2</v>
      </c>
      <c r="JE19" s="357">
        <v>44554</v>
      </c>
      <c r="JF19" s="93">
        <v>873.2</v>
      </c>
      <c r="JG19" s="71" t="s">
        <v>613</v>
      </c>
      <c r="JH19" s="72">
        <v>41</v>
      </c>
      <c r="JI19" s="627">
        <f t="shared" si="30"/>
        <v>35801.200000000004</v>
      </c>
      <c r="JL19" s="108"/>
      <c r="JM19" s="15">
        <v>12</v>
      </c>
      <c r="JN19" s="93">
        <v>867.7</v>
      </c>
      <c r="JO19" s="341">
        <v>44554</v>
      </c>
      <c r="JP19" s="93">
        <v>867.7</v>
      </c>
      <c r="JQ19" s="71" t="s">
        <v>604</v>
      </c>
      <c r="JR19" s="72">
        <v>41</v>
      </c>
      <c r="JS19" s="627">
        <f t="shared" si="31"/>
        <v>35575.700000000004</v>
      </c>
      <c r="JV19" s="95"/>
      <c r="JW19" s="15">
        <v>12</v>
      </c>
      <c r="JX19" s="70">
        <v>904.9</v>
      </c>
      <c r="JY19" s="357">
        <v>44554</v>
      </c>
      <c r="JZ19" s="70">
        <v>904.9</v>
      </c>
      <c r="KA19" s="71" t="s">
        <v>605</v>
      </c>
      <c r="KB19" s="72">
        <v>41</v>
      </c>
      <c r="KC19" s="627">
        <f t="shared" si="32"/>
        <v>37100.9</v>
      </c>
      <c r="KF19" s="95"/>
      <c r="KG19" s="15">
        <v>12</v>
      </c>
      <c r="KH19" s="70">
        <v>913.5</v>
      </c>
      <c r="KI19" s="357">
        <v>44556</v>
      </c>
      <c r="KJ19" s="70">
        <v>913.5</v>
      </c>
      <c r="KK19" s="71" t="s">
        <v>617</v>
      </c>
      <c r="KL19" s="72">
        <v>41</v>
      </c>
      <c r="KM19" s="627">
        <f t="shared" si="33"/>
        <v>37453.5</v>
      </c>
      <c r="KP19" s="95"/>
      <c r="KQ19" s="15">
        <v>12</v>
      </c>
      <c r="KR19" s="70">
        <v>906.7</v>
      </c>
      <c r="KS19" s="357">
        <v>44558</v>
      </c>
      <c r="KT19" s="70">
        <v>906.7</v>
      </c>
      <c r="KU19" s="71" t="s">
        <v>636</v>
      </c>
      <c r="KV19" s="72">
        <v>42</v>
      </c>
      <c r="KW19" s="627">
        <f t="shared" si="34"/>
        <v>38081.4</v>
      </c>
      <c r="KZ19" s="108"/>
      <c r="LA19" s="15">
        <v>12</v>
      </c>
      <c r="LB19" s="70">
        <v>934.85</v>
      </c>
      <c r="LC19" s="341">
        <v>44558</v>
      </c>
      <c r="LD19" s="70">
        <v>934.85</v>
      </c>
      <c r="LE19" s="96" t="s">
        <v>642</v>
      </c>
      <c r="LF19" s="72">
        <v>42</v>
      </c>
      <c r="LG19" s="627">
        <f t="shared" si="35"/>
        <v>39263.700000000004</v>
      </c>
      <c r="LJ19" s="108"/>
      <c r="LK19" s="15">
        <v>12</v>
      </c>
      <c r="LL19" s="292">
        <v>910.81</v>
      </c>
      <c r="LM19" s="341">
        <v>44559</v>
      </c>
      <c r="LN19" s="292">
        <v>910.81</v>
      </c>
      <c r="LO19" s="96" t="s">
        <v>655</v>
      </c>
      <c r="LP19" s="72">
        <v>42</v>
      </c>
      <c r="LQ19" s="627">
        <f t="shared" si="36"/>
        <v>38254.019999999997</v>
      </c>
      <c r="LT19" s="108"/>
      <c r="LU19" s="15">
        <v>12</v>
      </c>
      <c r="LV19" s="93">
        <v>931.2</v>
      </c>
      <c r="LW19" s="341">
        <v>44559</v>
      </c>
      <c r="LX19" s="93">
        <v>931.2</v>
      </c>
      <c r="LY19" s="96" t="s">
        <v>649</v>
      </c>
      <c r="LZ19" s="72">
        <v>42</v>
      </c>
      <c r="MA19" s="627">
        <f t="shared" si="37"/>
        <v>39110.400000000001</v>
      </c>
      <c r="MB19" s="627"/>
      <c r="MD19" s="108"/>
      <c r="ME19" s="15">
        <v>12</v>
      </c>
      <c r="MF19" s="412">
        <v>916.7</v>
      </c>
      <c r="MG19" s="341">
        <v>44560</v>
      </c>
      <c r="MH19" s="412">
        <v>916.7</v>
      </c>
      <c r="MI19" s="96" t="s">
        <v>661</v>
      </c>
      <c r="MJ19" s="72">
        <v>43</v>
      </c>
      <c r="MK19" s="72">
        <f t="shared" si="38"/>
        <v>39418.1</v>
      </c>
      <c r="MN19" s="108"/>
      <c r="MO19" s="15">
        <v>12</v>
      </c>
      <c r="MP19" s="93">
        <v>953.47</v>
      </c>
      <c r="MQ19" s="341">
        <v>44560</v>
      </c>
      <c r="MR19" s="93">
        <v>953.47</v>
      </c>
      <c r="MS19" s="96" t="s">
        <v>665</v>
      </c>
      <c r="MT19" s="72">
        <v>43</v>
      </c>
      <c r="MU19" s="72">
        <f t="shared" si="39"/>
        <v>40999.21</v>
      </c>
      <c r="MX19" s="108"/>
      <c r="MY19" s="15">
        <v>12</v>
      </c>
      <c r="MZ19" s="93">
        <v>916.3</v>
      </c>
      <c r="NA19" s="341">
        <v>44561</v>
      </c>
      <c r="NB19" s="93">
        <v>916.3</v>
      </c>
      <c r="NC19" s="96" t="s">
        <v>667</v>
      </c>
      <c r="ND19" s="72">
        <v>40</v>
      </c>
      <c r="NE19" s="72">
        <f t="shared" si="40"/>
        <v>36652</v>
      </c>
      <c r="NH19" s="108"/>
      <c r="NI19" s="15">
        <v>12</v>
      </c>
      <c r="NJ19" s="93">
        <v>880.4</v>
      </c>
      <c r="NK19" s="341"/>
      <c r="NL19" s="93"/>
      <c r="NM19" s="96"/>
      <c r="NN19" s="72"/>
      <c r="NO19" s="72">
        <f t="shared" si="41"/>
        <v>0</v>
      </c>
      <c r="NR19" s="108"/>
      <c r="NS19" s="15">
        <v>12</v>
      </c>
      <c r="NT19" s="93">
        <v>903.1</v>
      </c>
      <c r="NU19" s="341">
        <v>44563</v>
      </c>
      <c r="NV19" s="93">
        <v>903.1</v>
      </c>
      <c r="NW19" s="96" t="s">
        <v>682</v>
      </c>
      <c r="NX19" s="72">
        <v>34</v>
      </c>
      <c r="NY19" s="72">
        <f t="shared" si="42"/>
        <v>30705.4</v>
      </c>
      <c r="OB19" s="108"/>
      <c r="OC19" s="15">
        <v>12</v>
      </c>
      <c r="OD19" s="93"/>
      <c r="OE19" s="341"/>
      <c r="OF19" s="93"/>
      <c r="OG19" s="96"/>
      <c r="OH19" s="72"/>
      <c r="OI19" s="72">
        <f t="shared" si="43"/>
        <v>0</v>
      </c>
      <c r="OL19" s="108"/>
      <c r="OM19" s="15">
        <v>12</v>
      </c>
      <c r="ON19" s="93"/>
      <c r="OO19" s="341"/>
      <c r="OP19" s="93"/>
      <c r="OQ19" s="96"/>
      <c r="OR19" s="72"/>
      <c r="OS19" s="72">
        <f t="shared" si="44"/>
        <v>0</v>
      </c>
      <c r="OV19" s="108"/>
      <c r="OW19" s="15">
        <v>12</v>
      </c>
      <c r="OX19" s="292"/>
      <c r="OY19" s="346"/>
      <c r="OZ19" s="292"/>
      <c r="PA19" s="334"/>
      <c r="PB19" s="279"/>
      <c r="PC19" s="279">
        <f t="shared" si="45"/>
        <v>0</v>
      </c>
      <c r="PF19" s="95"/>
      <c r="PG19" s="15">
        <v>12</v>
      </c>
      <c r="PH19" s="93"/>
      <c r="PI19" s="341"/>
      <c r="PJ19" s="93"/>
      <c r="PK19" s="96"/>
      <c r="PL19" s="72"/>
      <c r="PM19" s="72">
        <f t="shared" si="46"/>
        <v>0</v>
      </c>
      <c r="PP19" s="108"/>
      <c r="PQ19" s="15">
        <v>12</v>
      </c>
      <c r="PR19" s="93"/>
      <c r="PS19" s="341"/>
      <c r="PT19" s="93"/>
      <c r="PU19" s="96"/>
      <c r="PV19" s="72"/>
      <c r="PY19" s="108"/>
      <c r="PZ19" s="15">
        <v>12</v>
      </c>
      <c r="QA19" s="93"/>
      <c r="QB19" s="141"/>
      <c r="QC19" s="93"/>
      <c r="QD19" s="96"/>
      <c r="QE19" s="72"/>
      <c r="QH19" s="108"/>
      <c r="QI19" s="15">
        <v>12</v>
      </c>
      <c r="QJ19" s="93"/>
      <c r="QK19" s="341"/>
      <c r="QL19" s="93"/>
      <c r="QM19" s="96"/>
      <c r="QN19" s="72"/>
      <c r="QQ19" s="108"/>
      <c r="QR19" s="15">
        <v>12</v>
      </c>
      <c r="QS19" s="93"/>
      <c r="QT19" s="341"/>
      <c r="QU19" s="93"/>
      <c r="QV19" s="96"/>
      <c r="QW19" s="72"/>
      <c r="QZ19" s="108"/>
      <c r="RA19" s="15">
        <v>12</v>
      </c>
      <c r="RB19" s="93"/>
      <c r="RC19" s="341"/>
      <c r="RD19" s="93"/>
      <c r="RE19" s="96"/>
      <c r="RF19" s="72"/>
      <c r="RI19" s="108"/>
      <c r="RJ19" s="15">
        <v>12</v>
      </c>
      <c r="RK19" s="93"/>
      <c r="RL19" s="341"/>
      <c r="RM19" s="93"/>
      <c r="RN19" s="96"/>
      <c r="RO19" s="400"/>
      <c r="RR19" s="108"/>
      <c r="RS19" s="15">
        <v>12</v>
      </c>
      <c r="RT19" s="93"/>
      <c r="RU19" s="141"/>
      <c r="RV19" s="93"/>
      <c r="RW19" s="96"/>
      <c r="RX19" s="72"/>
      <c r="SA19" s="108"/>
      <c r="SB19" s="15">
        <v>12</v>
      </c>
      <c r="SC19" s="93"/>
      <c r="SD19" s="80"/>
      <c r="SE19" s="93"/>
      <c r="SF19" s="96"/>
      <c r="SG19" s="72"/>
      <c r="SJ19" s="108"/>
      <c r="SK19" s="15">
        <v>12</v>
      </c>
      <c r="SL19" s="93"/>
      <c r="SM19" s="80"/>
      <c r="SN19" s="93"/>
      <c r="SO19" s="96"/>
      <c r="SP19" s="72"/>
      <c r="SS19" s="108"/>
      <c r="ST19" s="15"/>
      <c r="SU19" s="93"/>
      <c r="SV19" s="80"/>
      <c r="SW19" s="93"/>
      <c r="SX19" s="96"/>
      <c r="SY19" s="72"/>
      <c r="TB19" s="108"/>
      <c r="TC19" s="15">
        <v>12</v>
      </c>
      <c r="TD19" s="93"/>
      <c r="TE19" s="411"/>
      <c r="TF19" s="189"/>
      <c r="TG19" s="404"/>
      <c r="TH19" s="403"/>
      <c r="TK19" s="108"/>
      <c r="TL19" s="15">
        <v>12</v>
      </c>
      <c r="TM19" s="93"/>
      <c r="TN19" s="80"/>
      <c r="TO19" s="93"/>
      <c r="TP19" s="96"/>
      <c r="TQ19" s="72"/>
      <c r="TT19" s="108"/>
      <c r="TU19" s="15">
        <v>12</v>
      </c>
      <c r="TV19" s="93"/>
      <c r="TW19" s="80"/>
      <c r="TX19" s="93"/>
      <c r="TY19" s="96"/>
      <c r="TZ19" s="72"/>
      <c r="UC19" s="108"/>
      <c r="UD19" s="15">
        <v>12</v>
      </c>
      <c r="UE19" s="93"/>
      <c r="UF19" s="80"/>
      <c r="UG19" s="93"/>
      <c r="UH19" s="96"/>
      <c r="UI19" s="72"/>
      <c r="UL19" s="108"/>
      <c r="UM19" s="15">
        <v>12</v>
      </c>
      <c r="UN19" s="93"/>
      <c r="UO19" s="80"/>
      <c r="UP19" s="93"/>
      <c r="UQ19" s="96"/>
      <c r="UR19" s="72"/>
      <c r="UU19" s="108"/>
      <c r="UV19" s="15">
        <v>12</v>
      </c>
      <c r="UW19" s="93"/>
      <c r="UX19" s="80"/>
      <c r="UY19" s="93"/>
      <c r="UZ19" s="96"/>
      <c r="VA19" s="72"/>
      <c r="VD19" s="108"/>
      <c r="VE19" s="15">
        <v>12</v>
      </c>
      <c r="VF19" s="93"/>
      <c r="VG19" s="80"/>
      <c r="VH19" s="93"/>
      <c r="VI19" s="96"/>
      <c r="VJ19" s="72"/>
      <c r="VM19" s="108"/>
      <c r="VN19" s="15">
        <v>12</v>
      </c>
      <c r="VO19" s="93"/>
      <c r="VP19" s="80"/>
      <c r="VQ19" s="93"/>
      <c r="VR19" s="96"/>
      <c r="VS19" s="72"/>
      <c r="VV19" s="108"/>
      <c r="VW19" s="15">
        <v>12</v>
      </c>
      <c r="VX19" s="93"/>
      <c r="VY19" s="80"/>
      <c r="VZ19" s="93"/>
      <c r="WA19" s="96"/>
      <c r="WB19" s="72"/>
      <c r="WE19" s="108"/>
      <c r="WF19" s="15">
        <v>12</v>
      </c>
      <c r="WG19" s="93"/>
      <c r="WH19" s="80"/>
      <c r="WI19" s="93"/>
      <c r="WJ19" s="96"/>
      <c r="WK19" s="72"/>
      <c r="WN19" s="108"/>
      <c r="WO19" s="15">
        <v>12</v>
      </c>
      <c r="WP19" s="93"/>
      <c r="WQ19" s="80"/>
      <c r="WR19" s="93"/>
      <c r="WS19" s="96"/>
      <c r="WT19" s="72"/>
      <c r="WW19" s="108"/>
      <c r="WX19" s="15">
        <v>12</v>
      </c>
      <c r="WY19" s="93"/>
      <c r="WZ19" s="80"/>
      <c r="XA19" s="93"/>
      <c r="XB19" s="96"/>
      <c r="XC19" s="72"/>
      <c r="XF19" s="108"/>
      <c r="XG19" s="15">
        <v>12</v>
      </c>
      <c r="XH19" s="93"/>
      <c r="XI19" s="80"/>
      <c r="XJ19" s="93"/>
      <c r="XK19" s="96"/>
      <c r="XL19" s="72"/>
      <c r="XO19" s="108"/>
      <c r="XP19" s="15">
        <v>12</v>
      </c>
      <c r="XQ19" s="93"/>
      <c r="XR19" s="80"/>
      <c r="XS19" s="93"/>
      <c r="XT19" s="96"/>
      <c r="XU19" s="72"/>
      <c r="XX19" s="108"/>
      <c r="XY19" s="15">
        <v>12</v>
      </c>
      <c r="XZ19" s="93"/>
      <c r="YA19" s="80"/>
      <c r="YB19" s="93"/>
      <c r="YC19" s="96"/>
      <c r="YD19" s="72"/>
      <c r="YG19" s="108"/>
      <c r="YH19" s="15">
        <v>12</v>
      </c>
      <c r="YI19" s="93"/>
      <c r="YJ19" s="80"/>
      <c r="YK19" s="93"/>
      <c r="YL19" s="96"/>
      <c r="YM19" s="72"/>
      <c r="YP19" s="108"/>
      <c r="YQ19" s="15">
        <v>12</v>
      </c>
      <c r="YR19" s="93"/>
      <c r="YS19" s="80"/>
      <c r="YT19" s="93"/>
      <c r="YU19" s="96"/>
      <c r="YV19" s="72"/>
      <c r="YY19" s="108"/>
      <c r="YZ19" s="15">
        <v>12</v>
      </c>
      <c r="ZA19" s="93"/>
      <c r="ZB19" s="80"/>
      <c r="ZC19" s="93"/>
      <c r="ZD19" s="96"/>
      <c r="ZE19" s="72"/>
      <c r="ZH19" s="108"/>
      <c r="ZI19" s="15">
        <v>12</v>
      </c>
      <c r="ZJ19" s="93"/>
      <c r="ZK19" s="80"/>
      <c r="ZL19" s="93"/>
      <c r="ZM19" s="96"/>
      <c r="ZN19" s="72"/>
      <c r="ZQ19" s="108"/>
      <c r="ZR19" s="15">
        <v>12</v>
      </c>
      <c r="ZS19" s="93"/>
      <c r="ZT19" s="80"/>
      <c r="ZU19" s="93"/>
      <c r="ZV19" s="96"/>
      <c r="ZW19" s="72"/>
      <c r="ZZ19" s="108"/>
      <c r="AAA19" s="15">
        <v>12</v>
      </c>
      <c r="AAB19" s="93"/>
      <c r="AAC19" s="80"/>
      <c r="AAD19" s="93"/>
      <c r="AAE19" s="96"/>
      <c r="AAF19" s="72"/>
      <c r="AAI19" s="108"/>
      <c r="AAJ19" s="15">
        <v>12</v>
      </c>
      <c r="AAK19" s="93"/>
      <c r="AAL19" s="80"/>
      <c r="AAM19" s="93"/>
      <c r="AAN19" s="96"/>
      <c r="AAO19" s="72"/>
      <c r="AAR19" s="108"/>
      <c r="AAS19" s="15">
        <v>12</v>
      </c>
      <c r="AAT19" s="93"/>
      <c r="AAU19" s="80"/>
      <c r="AAV19" s="93"/>
      <c r="AAW19" s="96"/>
      <c r="AAX19" s="72"/>
      <c r="ABA19" s="108"/>
      <c r="ABB19" s="15">
        <v>12</v>
      </c>
      <c r="ABC19" s="93"/>
      <c r="ABD19" s="80"/>
      <c r="ABE19" s="93"/>
      <c r="ABF19" s="96"/>
      <c r="ABG19" s="72"/>
      <c r="ABJ19" s="108"/>
      <c r="ABK19" s="15">
        <v>12</v>
      </c>
      <c r="ABL19" s="93"/>
      <c r="ABM19" s="80"/>
      <c r="ABN19" s="93"/>
      <c r="ABO19" s="96"/>
      <c r="ABP19" s="72"/>
      <c r="ABS19" s="108"/>
      <c r="ABT19" s="15">
        <v>12</v>
      </c>
      <c r="ABU19" s="93"/>
      <c r="ABV19" s="80"/>
      <c r="ABW19" s="93"/>
      <c r="ABX19" s="96"/>
      <c r="ABY19" s="72"/>
      <c r="ACB19" s="108"/>
      <c r="ACC19" s="15">
        <v>12</v>
      </c>
      <c r="ACD19" s="93"/>
      <c r="ACE19" s="80"/>
      <c r="ACF19" s="93"/>
      <c r="ACG19" s="96"/>
      <c r="ACH19" s="72"/>
      <c r="ACK19" s="108"/>
      <c r="ACL19" s="15">
        <v>12</v>
      </c>
      <c r="ACM19" s="93"/>
      <c r="ACN19" s="80"/>
      <c r="ACO19" s="93"/>
      <c r="ACP19" s="96"/>
      <c r="ACQ19" s="72"/>
      <c r="ACT19" s="108"/>
      <c r="ACU19" s="15">
        <v>12</v>
      </c>
      <c r="ACV19" s="93"/>
      <c r="ACW19" s="80"/>
      <c r="ACX19" s="93"/>
      <c r="ACY19" s="96"/>
      <c r="ACZ19" s="72"/>
      <c r="ADC19" s="108"/>
      <c r="ADD19" s="15">
        <v>12</v>
      </c>
      <c r="ADE19" s="93"/>
      <c r="ADF19" s="80"/>
      <c r="ADG19" s="93"/>
      <c r="ADH19" s="96"/>
      <c r="ADI19" s="72"/>
      <c r="ADL19" s="108"/>
      <c r="ADM19" s="15">
        <v>12</v>
      </c>
      <c r="ADN19" s="93"/>
      <c r="ADO19" s="80"/>
      <c r="ADP19" s="93"/>
      <c r="ADQ19" s="96"/>
      <c r="ADR19" s="72"/>
      <c r="ADU19" s="108"/>
      <c r="ADV19" s="15">
        <v>12</v>
      </c>
      <c r="ADW19" s="93"/>
      <c r="ADX19" s="80"/>
      <c r="ADY19" s="93"/>
      <c r="ADZ19" s="96"/>
      <c r="AEA19" s="72"/>
      <c r="AED19" s="108"/>
      <c r="AEE19" s="15">
        <v>12</v>
      </c>
      <c r="AEF19" s="93"/>
      <c r="AEG19" s="80"/>
      <c r="AEH19" s="93"/>
      <c r="AEI19" s="96"/>
      <c r="AEJ19" s="72"/>
      <c r="AEM19" s="108"/>
      <c r="AEN19" s="15">
        <v>12</v>
      </c>
      <c r="AEO19" s="93"/>
      <c r="AEP19" s="80"/>
      <c r="AEQ19" s="93"/>
      <c r="AER19" s="96"/>
      <c r="AES19" s="72"/>
    </row>
    <row r="20" spans="1:828" x14ac:dyDescent="0.25">
      <c r="A20" s="143">
        <v>17</v>
      </c>
      <c r="B20" s="135" t="str">
        <f t="shared" ref="B20:I20" si="58">FO5</f>
        <v>SEABOARD FOODS</v>
      </c>
      <c r="C20" s="76" t="str">
        <f t="shared" si="58"/>
        <v>Seaboard</v>
      </c>
      <c r="D20" s="104" t="str">
        <f t="shared" si="58"/>
        <v>PED. 75144206</v>
      </c>
      <c r="E20" s="141">
        <f t="shared" si="58"/>
        <v>44548</v>
      </c>
      <c r="F20" s="87">
        <f t="shared" si="58"/>
        <v>16374.71</v>
      </c>
      <c r="G20" s="74">
        <f t="shared" si="58"/>
        <v>18</v>
      </c>
      <c r="H20" s="48">
        <f t="shared" si="58"/>
        <v>16413.599999999999</v>
      </c>
      <c r="I20" s="107">
        <f t="shared" si="58"/>
        <v>-38.889999999999418</v>
      </c>
      <c r="L20" s="108"/>
      <c r="M20" s="15">
        <v>13</v>
      </c>
      <c r="N20" s="292">
        <v>917.7</v>
      </c>
      <c r="O20" s="341">
        <v>44537</v>
      </c>
      <c r="P20" s="292">
        <v>917.7</v>
      </c>
      <c r="Q20" s="96" t="s">
        <v>455</v>
      </c>
      <c r="R20" s="72">
        <v>37</v>
      </c>
      <c r="S20" s="627">
        <f t="shared" si="6"/>
        <v>33954.9</v>
      </c>
      <c r="T20" s="255"/>
      <c r="V20" s="108"/>
      <c r="W20" s="15">
        <v>13</v>
      </c>
      <c r="X20" s="292">
        <v>889.9</v>
      </c>
      <c r="Y20" s="346">
        <v>44538</v>
      </c>
      <c r="Z20" s="292">
        <v>889.9</v>
      </c>
      <c r="AA20" s="406" t="s">
        <v>469</v>
      </c>
      <c r="AB20" s="279">
        <v>37</v>
      </c>
      <c r="AC20" s="338">
        <f t="shared" si="7"/>
        <v>32926.299999999996</v>
      </c>
      <c r="AF20" s="108"/>
      <c r="AG20" s="15">
        <v>13</v>
      </c>
      <c r="AH20" s="93">
        <v>933.5</v>
      </c>
      <c r="AI20" s="341">
        <v>44537</v>
      </c>
      <c r="AJ20" s="93">
        <v>933.5</v>
      </c>
      <c r="AK20" s="96" t="s">
        <v>465</v>
      </c>
      <c r="AL20" s="72">
        <v>37</v>
      </c>
      <c r="AM20" s="630">
        <f t="shared" si="8"/>
        <v>34539.5</v>
      </c>
      <c r="AP20" s="108"/>
      <c r="AQ20" s="15">
        <v>13</v>
      </c>
      <c r="AR20" s="335">
        <v>902.19</v>
      </c>
      <c r="AS20" s="346">
        <v>44538</v>
      </c>
      <c r="AT20" s="335">
        <v>902.19</v>
      </c>
      <c r="AU20" s="334" t="s">
        <v>488</v>
      </c>
      <c r="AV20" s="279">
        <v>37</v>
      </c>
      <c r="AW20" s="338">
        <f t="shared" si="9"/>
        <v>33381.03</v>
      </c>
      <c r="AZ20" s="108"/>
      <c r="BA20" s="15">
        <v>13</v>
      </c>
      <c r="BB20" s="93">
        <v>931.22</v>
      </c>
      <c r="BC20" s="141">
        <v>44539</v>
      </c>
      <c r="BD20" s="93">
        <v>931.22</v>
      </c>
      <c r="BE20" s="96" t="s">
        <v>459</v>
      </c>
      <c r="BF20" s="400">
        <v>36</v>
      </c>
      <c r="BG20" s="646">
        <f t="shared" si="10"/>
        <v>33523.919999999998</v>
      </c>
      <c r="BJ20" s="108"/>
      <c r="BK20" s="15">
        <v>13</v>
      </c>
      <c r="BL20" s="93">
        <v>889.5</v>
      </c>
      <c r="BM20" s="141">
        <v>44540</v>
      </c>
      <c r="BN20" s="93">
        <v>889.5</v>
      </c>
      <c r="BO20" s="96" t="s">
        <v>483</v>
      </c>
      <c r="BP20" s="400">
        <v>36</v>
      </c>
      <c r="BQ20" s="857">
        <f t="shared" si="11"/>
        <v>32022</v>
      </c>
      <c r="BT20" s="108"/>
      <c r="BU20" s="276">
        <v>13</v>
      </c>
      <c r="BV20" s="292">
        <v>933.5</v>
      </c>
      <c r="BW20" s="401">
        <v>44541</v>
      </c>
      <c r="BX20" s="292">
        <v>933.5</v>
      </c>
      <c r="BY20" s="402" t="s">
        <v>508</v>
      </c>
      <c r="BZ20" s="403">
        <v>36</v>
      </c>
      <c r="CA20" s="627">
        <f t="shared" si="12"/>
        <v>33606</v>
      </c>
      <c r="CD20" s="909"/>
      <c r="CE20" s="15">
        <v>13</v>
      </c>
      <c r="CF20" s="93">
        <v>887.7</v>
      </c>
      <c r="CG20" s="401">
        <v>44542</v>
      </c>
      <c r="CH20" s="93">
        <v>887.7</v>
      </c>
      <c r="CI20" s="404" t="s">
        <v>512</v>
      </c>
      <c r="CJ20" s="403">
        <v>36</v>
      </c>
      <c r="CK20" s="627">
        <f t="shared" si="13"/>
        <v>31957.200000000001</v>
      </c>
      <c r="CN20" s="673"/>
      <c r="CO20" s="15">
        <v>13</v>
      </c>
      <c r="CP20" s="292">
        <v>927.1</v>
      </c>
      <c r="CQ20" s="401">
        <v>44545</v>
      </c>
      <c r="CR20" s="292">
        <v>927.1</v>
      </c>
      <c r="CS20" s="404" t="s">
        <v>525</v>
      </c>
      <c r="CT20" s="403">
        <v>38</v>
      </c>
      <c r="CU20" s="635">
        <f t="shared" si="48"/>
        <v>35229.800000000003</v>
      </c>
      <c r="CX20" s="108"/>
      <c r="CY20" s="15">
        <v>13</v>
      </c>
      <c r="CZ20" s="93">
        <v>902.6</v>
      </c>
      <c r="DA20" s="341">
        <v>44544</v>
      </c>
      <c r="DB20" s="93">
        <v>902.6</v>
      </c>
      <c r="DC20" s="96" t="s">
        <v>516</v>
      </c>
      <c r="DD20" s="72">
        <v>38</v>
      </c>
      <c r="DE20" s="627">
        <f t="shared" si="14"/>
        <v>34298.800000000003</v>
      </c>
      <c r="DH20" s="108"/>
      <c r="DI20" s="15">
        <v>13</v>
      </c>
      <c r="DJ20" s="93">
        <v>895.4</v>
      </c>
      <c r="DK20" s="401">
        <v>44544</v>
      </c>
      <c r="DL20" s="93">
        <v>895.4</v>
      </c>
      <c r="DM20" s="404" t="s">
        <v>521</v>
      </c>
      <c r="DN20" s="403">
        <v>38</v>
      </c>
      <c r="DO20" s="635">
        <f t="shared" si="15"/>
        <v>34025.199999999997</v>
      </c>
      <c r="DR20" s="108"/>
      <c r="DS20" s="15">
        <v>13</v>
      </c>
      <c r="DT20" s="93">
        <v>923.96</v>
      </c>
      <c r="DU20" s="401">
        <v>44545</v>
      </c>
      <c r="DV20" s="93">
        <v>923.96</v>
      </c>
      <c r="DW20" s="404" t="s">
        <v>528</v>
      </c>
      <c r="DX20" s="403">
        <v>38</v>
      </c>
      <c r="DY20" s="627">
        <f t="shared" si="16"/>
        <v>35110.480000000003</v>
      </c>
      <c r="EB20" s="108"/>
      <c r="EC20" s="15">
        <v>13</v>
      </c>
      <c r="ED20" s="70">
        <v>906.3</v>
      </c>
      <c r="EE20" s="357">
        <v>44546</v>
      </c>
      <c r="EF20" s="70">
        <v>906.3</v>
      </c>
      <c r="EG20" s="71" t="s">
        <v>532</v>
      </c>
      <c r="EH20" s="72">
        <v>38</v>
      </c>
      <c r="EI20" s="627">
        <f t="shared" si="17"/>
        <v>34439.4</v>
      </c>
      <c r="EL20" s="108"/>
      <c r="EM20" s="15">
        <v>13</v>
      </c>
      <c r="EN20" s="292">
        <v>926.7</v>
      </c>
      <c r="EO20" s="346">
        <v>44546</v>
      </c>
      <c r="EP20" s="292">
        <v>926.7</v>
      </c>
      <c r="EQ20" s="278" t="s">
        <v>531</v>
      </c>
      <c r="ER20" s="279">
        <v>38</v>
      </c>
      <c r="ES20" s="627">
        <f t="shared" si="18"/>
        <v>35214.6</v>
      </c>
      <c r="EV20" s="108"/>
      <c r="EW20" s="15">
        <v>13</v>
      </c>
      <c r="EX20" s="70">
        <v>944.8</v>
      </c>
      <c r="EY20" s="357">
        <v>44548</v>
      </c>
      <c r="EZ20" s="70">
        <v>944.8</v>
      </c>
      <c r="FA20" s="278" t="s">
        <v>550</v>
      </c>
      <c r="FB20" s="72">
        <v>38</v>
      </c>
      <c r="FC20" s="338">
        <f t="shared" si="19"/>
        <v>35902.400000000001</v>
      </c>
      <c r="FF20" s="108"/>
      <c r="FG20" s="15">
        <v>13</v>
      </c>
      <c r="FH20" s="292">
        <v>918.5</v>
      </c>
      <c r="FI20" s="346">
        <v>44548</v>
      </c>
      <c r="FJ20" s="292">
        <v>918.5</v>
      </c>
      <c r="FK20" s="278" t="s">
        <v>538</v>
      </c>
      <c r="FL20" s="279">
        <v>38</v>
      </c>
      <c r="FM20" s="627">
        <f t="shared" si="20"/>
        <v>34903</v>
      </c>
      <c r="FP20" s="108"/>
      <c r="FQ20" s="15">
        <v>13</v>
      </c>
      <c r="FR20" s="93">
        <v>866.8</v>
      </c>
      <c r="FS20" s="341">
        <v>44551</v>
      </c>
      <c r="FT20" s="93">
        <v>866.8</v>
      </c>
      <c r="FU20" s="71" t="s">
        <v>572</v>
      </c>
      <c r="FV20" s="72">
        <v>38</v>
      </c>
      <c r="FW20" s="627">
        <f t="shared" si="21"/>
        <v>32938.400000000001</v>
      </c>
      <c r="FX20" s="72"/>
      <c r="FZ20" s="108"/>
      <c r="GA20" s="15">
        <v>13</v>
      </c>
      <c r="GB20" s="70">
        <v>918</v>
      </c>
      <c r="GC20" s="545">
        <v>44551</v>
      </c>
      <c r="GD20" s="70">
        <v>918</v>
      </c>
      <c r="GE20" s="278" t="s">
        <v>565</v>
      </c>
      <c r="GF20" s="279">
        <v>39</v>
      </c>
      <c r="GG20" s="338">
        <f t="shared" si="22"/>
        <v>35802</v>
      </c>
      <c r="GJ20" s="108"/>
      <c r="GK20" s="15">
        <v>13</v>
      </c>
      <c r="GL20" s="523">
        <v>900.8</v>
      </c>
      <c r="GM20" s="341">
        <v>44551</v>
      </c>
      <c r="GN20" s="523">
        <v>900.8</v>
      </c>
      <c r="GO20" s="96" t="s">
        <v>566</v>
      </c>
      <c r="GP20" s="72">
        <v>39</v>
      </c>
      <c r="GQ20" s="627">
        <f t="shared" si="23"/>
        <v>35131.199999999997</v>
      </c>
      <c r="GT20" s="108"/>
      <c r="GU20" s="15">
        <v>13</v>
      </c>
      <c r="GV20" s="292">
        <v>893.6</v>
      </c>
      <c r="GW20" s="346">
        <v>44551</v>
      </c>
      <c r="GX20" s="292">
        <v>893.6</v>
      </c>
      <c r="GY20" s="334" t="s">
        <v>569</v>
      </c>
      <c r="GZ20" s="279">
        <v>39</v>
      </c>
      <c r="HA20" s="627">
        <f t="shared" si="24"/>
        <v>34850.400000000001</v>
      </c>
      <c r="HD20" s="108"/>
      <c r="HE20" s="15">
        <v>13</v>
      </c>
      <c r="HF20" s="93">
        <v>883.1</v>
      </c>
      <c r="HG20" s="341">
        <v>44552</v>
      </c>
      <c r="HH20" s="93">
        <v>883.1</v>
      </c>
      <c r="HI20" s="96" t="s">
        <v>582</v>
      </c>
      <c r="HJ20" s="72">
        <v>41</v>
      </c>
      <c r="HK20" s="338">
        <f t="shared" si="25"/>
        <v>36207.1</v>
      </c>
      <c r="HN20" s="108"/>
      <c r="HO20" s="15">
        <v>13</v>
      </c>
      <c r="HP20" s="292">
        <v>916.25</v>
      </c>
      <c r="HQ20" s="346">
        <v>44552</v>
      </c>
      <c r="HR20" s="292">
        <v>916.25</v>
      </c>
      <c r="HS20" s="406" t="s">
        <v>579</v>
      </c>
      <c r="HT20" s="279">
        <v>41</v>
      </c>
      <c r="HU20" s="627">
        <f t="shared" si="26"/>
        <v>37566.25</v>
      </c>
      <c r="HX20" s="95"/>
      <c r="HY20" s="15">
        <v>13</v>
      </c>
      <c r="HZ20" s="70">
        <v>922.6</v>
      </c>
      <c r="IA20" s="357">
        <v>44553</v>
      </c>
      <c r="IB20" s="70">
        <v>922.6</v>
      </c>
      <c r="IC20" s="71" t="s">
        <v>592</v>
      </c>
      <c r="ID20" s="72">
        <v>42</v>
      </c>
      <c r="IE20" s="627">
        <f t="shared" si="27"/>
        <v>38749.200000000004</v>
      </c>
      <c r="IH20" s="95"/>
      <c r="II20" s="15">
        <v>13</v>
      </c>
      <c r="IJ20" s="70">
        <v>899.47</v>
      </c>
      <c r="IK20" s="357">
        <v>44553</v>
      </c>
      <c r="IL20" s="70">
        <v>899.47</v>
      </c>
      <c r="IM20" s="71" t="s">
        <v>599</v>
      </c>
      <c r="IN20" s="72">
        <v>41</v>
      </c>
      <c r="IO20" s="627">
        <f t="shared" si="28"/>
        <v>36878.270000000004</v>
      </c>
      <c r="IR20" s="108"/>
      <c r="IS20" s="15">
        <v>13</v>
      </c>
      <c r="IT20" s="292">
        <v>917.6</v>
      </c>
      <c r="IU20" s="258">
        <v>44554</v>
      </c>
      <c r="IV20" s="292">
        <v>917.6</v>
      </c>
      <c r="IW20" s="552" t="s">
        <v>611</v>
      </c>
      <c r="IX20" s="279">
        <v>41</v>
      </c>
      <c r="IY20" s="338">
        <f t="shared" si="29"/>
        <v>37621.599999999999</v>
      </c>
      <c r="IZ20" s="93"/>
      <c r="JB20" s="108"/>
      <c r="JC20" s="15">
        <v>13</v>
      </c>
      <c r="JD20" s="93">
        <v>903.5</v>
      </c>
      <c r="JE20" s="357">
        <v>44554</v>
      </c>
      <c r="JF20" s="93">
        <v>903.5</v>
      </c>
      <c r="JG20" s="71" t="s">
        <v>613</v>
      </c>
      <c r="JH20" s="72">
        <v>41</v>
      </c>
      <c r="JI20" s="627">
        <f t="shared" si="30"/>
        <v>37043.5</v>
      </c>
      <c r="JL20" s="108"/>
      <c r="JM20" s="15">
        <v>13</v>
      </c>
      <c r="JN20" s="93">
        <v>916.3</v>
      </c>
      <c r="JO20" s="341">
        <v>44554</v>
      </c>
      <c r="JP20" s="93">
        <v>916.3</v>
      </c>
      <c r="JQ20" s="71" t="s">
        <v>604</v>
      </c>
      <c r="JR20" s="72">
        <v>41</v>
      </c>
      <c r="JS20" s="627">
        <f t="shared" si="31"/>
        <v>37568.299999999996</v>
      </c>
      <c r="JV20" s="95"/>
      <c r="JW20" s="15">
        <v>13</v>
      </c>
      <c r="JX20" s="70">
        <v>913.5</v>
      </c>
      <c r="JY20" s="357">
        <v>44554</v>
      </c>
      <c r="JZ20" s="70">
        <v>913.5</v>
      </c>
      <c r="KA20" s="71" t="s">
        <v>605</v>
      </c>
      <c r="KB20" s="72">
        <v>41</v>
      </c>
      <c r="KC20" s="627">
        <f t="shared" si="32"/>
        <v>37453.5</v>
      </c>
      <c r="KF20" s="95"/>
      <c r="KG20" s="15">
        <v>13</v>
      </c>
      <c r="KH20" s="70">
        <v>914</v>
      </c>
      <c r="KI20" s="357">
        <v>44556</v>
      </c>
      <c r="KJ20" s="70">
        <v>914</v>
      </c>
      <c r="KK20" s="71" t="s">
        <v>618</v>
      </c>
      <c r="KL20" s="72">
        <v>41</v>
      </c>
      <c r="KM20" s="627">
        <f t="shared" si="33"/>
        <v>37474</v>
      </c>
      <c r="KP20" s="95"/>
      <c r="KQ20" s="15">
        <v>13</v>
      </c>
      <c r="KR20" s="70">
        <v>914.9</v>
      </c>
      <c r="KS20" s="357">
        <v>44558</v>
      </c>
      <c r="KT20" s="70">
        <v>914.9</v>
      </c>
      <c r="KU20" s="71" t="s">
        <v>636</v>
      </c>
      <c r="KV20" s="72">
        <v>42</v>
      </c>
      <c r="KW20" s="627">
        <f t="shared" si="34"/>
        <v>38425.799999999996</v>
      </c>
      <c r="KZ20" s="108"/>
      <c r="LA20" s="15">
        <v>13</v>
      </c>
      <c r="LB20" s="93">
        <v>973.86</v>
      </c>
      <c r="LC20" s="341">
        <v>44558</v>
      </c>
      <c r="LD20" s="93">
        <v>973.86</v>
      </c>
      <c r="LE20" s="96" t="s">
        <v>642</v>
      </c>
      <c r="LF20" s="72">
        <v>42</v>
      </c>
      <c r="LG20" s="627">
        <f t="shared" si="35"/>
        <v>40902.120000000003</v>
      </c>
      <c r="LJ20" s="108"/>
      <c r="LK20" s="15">
        <v>13</v>
      </c>
      <c r="LL20" s="292">
        <v>917.61</v>
      </c>
      <c r="LM20" s="341">
        <v>44559</v>
      </c>
      <c r="LN20" s="292">
        <v>917.61</v>
      </c>
      <c r="LO20" s="96" t="s">
        <v>655</v>
      </c>
      <c r="LP20" s="72">
        <v>42</v>
      </c>
      <c r="LQ20" s="627">
        <f t="shared" si="36"/>
        <v>38539.620000000003</v>
      </c>
      <c r="LT20" s="108"/>
      <c r="LU20" s="15">
        <v>13</v>
      </c>
      <c r="LV20" s="93">
        <v>928.5</v>
      </c>
      <c r="LW20" s="341">
        <v>44559</v>
      </c>
      <c r="LX20" s="93">
        <v>928.5</v>
      </c>
      <c r="LY20" s="96" t="s">
        <v>649</v>
      </c>
      <c r="LZ20" s="72">
        <v>42</v>
      </c>
      <c r="MA20" s="627">
        <f t="shared" si="37"/>
        <v>38997</v>
      </c>
      <c r="MB20" s="627"/>
      <c r="MD20" s="108"/>
      <c r="ME20" s="15">
        <v>13</v>
      </c>
      <c r="MF20" s="412">
        <v>916.7</v>
      </c>
      <c r="MG20" s="341">
        <v>44560</v>
      </c>
      <c r="MH20" s="412">
        <v>916.7</v>
      </c>
      <c r="MI20" s="96" t="s">
        <v>661</v>
      </c>
      <c r="MJ20" s="72">
        <v>43</v>
      </c>
      <c r="MK20" s="72">
        <f t="shared" si="38"/>
        <v>39418.1</v>
      </c>
      <c r="MN20" s="108"/>
      <c r="MO20" s="15">
        <v>13</v>
      </c>
      <c r="MP20" s="93">
        <v>933.06</v>
      </c>
      <c r="MQ20" s="341">
        <v>44560</v>
      </c>
      <c r="MR20" s="93">
        <v>933.06</v>
      </c>
      <c r="MS20" s="96" t="s">
        <v>665</v>
      </c>
      <c r="MT20" s="72">
        <v>43</v>
      </c>
      <c r="MU20" s="72">
        <f t="shared" si="39"/>
        <v>40121.579999999994</v>
      </c>
      <c r="MX20" s="108"/>
      <c r="MY20" s="15">
        <v>13</v>
      </c>
      <c r="MZ20" s="93">
        <v>913.5</v>
      </c>
      <c r="NA20" s="341">
        <v>44561</v>
      </c>
      <c r="NB20" s="93">
        <v>913.5</v>
      </c>
      <c r="NC20" s="96" t="s">
        <v>667</v>
      </c>
      <c r="ND20" s="72">
        <v>40</v>
      </c>
      <c r="NE20" s="72">
        <f t="shared" si="40"/>
        <v>36540</v>
      </c>
      <c r="NH20" s="108"/>
      <c r="NI20" s="15">
        <v>13</v>
      </c>
      <c r="NJ20" s="93">
        <v>939.8</v>
      </c>
      <c r="NK20" s="341"/>
      <c r="NL20" s="93"/>
      <c r="NM20" s="96"/>
      <c r="NN20" s="72"/>
      <c r="NO20" s="72">
        <f t="shared" si="41"/>
        <v>0</v>
      </c>
      <c r="NR20" s="108"/>
      <c r="NS20" s="15">
        <v>13</v>
      </c>
      <c r="NT20" s="93">
        <v>889.5</v>
      </c>
      <c r="NU20" s="341">
        <v>44563</v>
      </c>
      <c r="NV20" s="93">
        <v>899.5</v>
      </c>
      <c r="NW20" s="96" t="s">
        <v>682</v>
      </c>
      <c r="NX20" s="72">
        <v>34</v>
      </c>
      <c r="NY20" s="72">
        <f t="shared" si="42"/>
        <v>30583</v>
      </c>
      <c r="OB20" s="108"/>
      <c r="OC20" s="15">
        <v>13</v>
      </c>
      <c r="OD20" s="93"/>
      <c r="OE20" s="341"/>
      <c r="OF20" s="93"/>
      <c r="OG20" s="96"/>
      <c r="OH20" s="72"/>
      <c r="OI20" s="72">
        <f t="shared" si="43"/>
        <v>0</v>
      </c>
      <c r="OL20" s="108"/>
      <c r="OM20" s="15">
        <v>13</v>
      </c>
      <c r="ON20" s="93"/>
      <c r="OO20" s="341"/>
      <c r="OP20" s="93"/>
      <c r="OQ20" s="96"/>
      <c r="OR20" s="72"/>
      <c r="OS20" s="72">
        <f t="shared" si="44"/>
        <v>0</v>
      </c>
      <c r="OV20" s="108"/>
      <c r="OW20" s="15">
        <v>13</v>
      </c>
      <c r="OX20" s="292"/>
      <c r="OY20" s="346"/>
      <c r="OZ20" s="292"/>
      <c r="PA20" s="334"/>
      <c r="PB20" s="279"/>
      <c r="PC20" s="279">
        <f t="shared" si="45"/>
        <v>0</v>
      </c>
      <c r="PF20" s="95"/>
      <c r="PG20" s="15">
        <v>13</v>
      </c>
      <c r="PH20" s="93"/>
      <c r="PI20" s="341"/>
      <c r="PJ20" s="93"/>
      <c r="PK20" s="96"/>
      <c r="PL20" s="72"/>
      <c r="PM20" s="72">
        <f t="shared" si="46"/>
        <v>0</v>
      </c>
      <c r="PP20" s="108"/>
      <c r="PQ20" s="15">
        <v>13</v>
      </c>
      <c r="PR20" s="93"/>
      <c r="PS20" s="341"/>
      <c r="PT20" s="93"/>
      <c r="PU20" s="96"/>
      <c r="PV20" s="72"/>
      <c r="PY20" s="108"/>
      <c r="PZ20" s="15">
        <v>13</v>
      </c>
      <c r="QA20" s="93"/>
      <c r="QB20" s="141"/>
      <c r="QC20" s="93"/>
      <c r="QD20" s="96"/>
      <c r="QE20" s="72"/>
      <c r="QH20" s="108"/>
      <c r="QI20" s="15">
        <v>13</v>
      </c>
      <c r="QJ20" s="93"/>
      <c r="QK20" s="341"/>
      <c r="QL20" s="93"/>
      <c r="QM20" s="96"/>
      <c r="QN20" s="72"/>
      <c r="QQ20" s="108"/>
      <c r="QR20" s="15">
        <v>13</v>
      </c>
      <c r="QS20" s="93"/>
      <c r="QT20" s="341"/>
      <c r="QU20" s="93"/>
      <c r="QV20" s="96"/>
      <c r="QW20" s="72"/>
      <c r="QZ20" s="108"/>
      <c r="RA20" s="15">
        <v>13</v>
      </c>
      <c r="RB20" s="93"/>
      <c r="RC20" s="341"/>
      <c r="RD20" s="93"/>
      <c r="RE20" s="96"/>
      <c r="RF20" s="72"/>
      <c r="RI20" s="108"/>
      <c r="RJ20" s="15">
        <v>13</v>
      </c>
      <c r="RK20" s="93"/>
      <c r="RL20" s="341"/>
      <c r="RM20" s="93"/>
      <c r="RN20" s="96"/>
      <c r="RO20" s="400"/>
      <c r="RR20" s="108"/>
      <c r="RS20" s="15">
        <v>13</v>
      </c>
      <c r="RT20" s="93"/>
      <c r="RU20" s="141"/>
      <c r="RV20" s="93"/>
      <c r="RW20" s="96"/>
      <c r="RX20" s="72"/>
      <c r="SA20" s="108"/>
      <c r="SB20" s="15">
        <v>13</v>
      </c>
      <c r="SC20" s="93"/>
      <c r="SD20" s="80"/>
      <c r="SE20" s="93"/>
      <c r="SF20" s="96"/>
      <c r="SG20" s="72"/>
      <c r="SJ20" s="108"/>
      <c r="SK20" s="15">
        <v>13</v>
      </c>
      <c r="SL20" s="93"/>
      <c r="SM20" s="80"/>
      <c r="SN20" s="93"/>
      <c r="SO20" s="96"/>
      <c r="SP20" s="72"/>
      <c r="SS20" s="108"/>
      <c r="ST20" s="15"/>
      <c r="SU20" s="93"/>
      <c r="SV20" s="80"/>
      <c r="SW20" s="93"/>
      <c r="SX20" s="96"/>
      <c r="SY20" s="72"/>
      <c r="TB20" s="108"/>
      <c r="TC20" s="15">
        <v>13</v>
      </c>
      <c r="TD20" s="93"/>
      <c r="TE20" s="411"/>
      <c r="TF20" s="189"/>
      <c r="TG20" s="404"/>
      <c r="TH20" s="403"/>
      <c r="TK20" s="108"/>
      <c r="TL20" s="15">
        <v>13</v>
      </c>
      <c r="TM20" s="93"/>
      <c r="TN20" s="80"/>
      <c r="TO20" s="93"/>
      <c r="TP20" s="96"/>
      <c r="TQ20" s="72"/>
      <c r="TT20" s="108"/>
      <c r="TU20" s="15">
        <v>13</v>
      </c>
      <c r="TV20" s="93"/>
      <c r="TW20" s="80"/>
      <c r="TX20" s="93"/>
      <c r="TY20" s="96"/>
      <c r="TZ20" s="72"/>
      <c r="UC20" s="108"/>
      <c r="UD20" s="15">
        <v>13</v>
      </c>
      <c r="UE20" s="93"/>
      <c r="UF20" s="80"/>
      <c r="UG20" s="93"/>
      <c r="UH20" s="96"/>
      <c r="UI20" s="72"/>
      <c r="UL20" s="108"/>
      <c r="UM20" s="15">
        <v>13</v>
      </c>
      <c r="UN20" s="93"/>
      <c r="UO20" s="80"/>
      <c r="UP20" s="93"/>
      <c r="UQ20" s="96"/>
      <c r="UR20" s="72"/>
      <c r="UU20" s="108"/>
      <c r="UV20" s="15">
        <v>13</v>
      </c>
      <c r="UW20" s="93"/>
      <c r="UX20" s="80"/>
      <c r="UY20" s="93"/>
      <c r="UZ20" s="96"/>
      <c r="VA20" s="72"/>
      <c r="VD20" s="108"/>
      <c r="VE20" s="15">
        <v>13</v>
      </c>
      <c r="VF20" s="93"/>
      <c r="VG20" s="80"/>
      <c r="VH20" s="93"/>
      <c r="VI20" s="96"/>
      <c r="VJ20" s="72"/>
      <c r="VM20" s="108"/>
      <c r="VN20" s="15">
        <v>13</v>
      </c>
      <c r="VO20" s="93"/>
      <c r="VP20" s="80"/>
      <c r="VQ20" s="93"/>
      <c r="VR20" s="96"/>
      <c r="VS20" s="72"/>
      <c r="VV20" s="108"/>
      <c r="VW20" s="15">
        <v>13</v>
      </c>
      <c r="VX20" s="93"/>
      <c r="VY20" s="80"/>
      <c r="VZ20" s="93"/>
      <c r="WA20" s="96"/>
      <c r="WB20" s="72"/>
      <c r="WE20" s="108"/>
      <c r="WF20" s="15">
        <v>13</v>
      </c>
      <c r="WG20" s="93"/>
      <c r="WH20" s="80"/>
      <c r="WI20" s="93"/>
      <c r="WJ20" s="96"/>
      <c r="WK20" s="72"/>
      <c r="WN20" s="108"/>
      <c r="WO20" s="15">
        <v>13</v>
      </c>
      <c r="WP20" s="93"/>
      <c r="WQ20" s="80"/>
      <c r="WR20" s="93"/>
      <c r="WS20" s="96"/>
      <c r="WT20" s="72"/>
      <c r="WW20" s="108"/>
      <c r="WX20" s="15">
        <v>13</v>
      </c>
      <c r="WY20" s="93"/>
      <c r="WZ20" s="80"/>
      <c r="XA20" s="93"/>
      <c r="XB20" s="96"/>
      <c r="XC20" s="72"/>
      <c r="XF20" s="108"/>
      <c r="XG20" s="15">
        <v>13</v>
      </c>
      <c r="XH20" s="93"/>
      <c r="XI20" s="80"/>
      <c r="XJ20" s="93"/>
      <c r="XK20" s="96"/>
      <c r="XL20" s="72"/>
      <c r="XO20" s="108"/>
      <c r="XP20" s="15">
        <v>13</v>
      </c>
      <c r="XQ20" s="93"/>
      <c r="XR20" s="80"/>
      <c r="XS20" s="93"/>
      <c r="XT20" s="96"/>
      <c r="XU20" s="72"/>
      <c r="XX20" s="108"/>
      <c r="XY20" s="15">
        <v>13</v>
      </c>
      <c r="XZ20" s="93"/>
      <c r="YA20" s="80"/>
      <c r="YB20" s="93"/>
      <c r="YC20" s="96"/>
      <c r="YD20" s="72"/>
      <c r="YG20" s="108"/>
      <c r="YH20" s="15">
        <v>13</v>
      </c>
      <c r="YI20" s="93"/>
      <c r="YJ20" s="80"/>
      <c r="YK20" s="93"/>
      <c r="YL20" s="96"/>
      <c r="YM20" s="72"/>
      <c r="YP20" s="108"/>
      <c r="YQ20" s="15">
        <v>13</v>
      </c>
      <c r="YR20" s="93"/>
      <c r="YS20" s="80"/>
      <c r="YT20" s="93"/>
      <c r="YU20" s="96"/>
      <c r="YV20" s="72"/>
      <c r="YY20" s="108"/>
      <c r="YZ20" s="15">
        <v>13</v>
      </c>
      <c r="ZA20" s="93"/>
      <c r="ZB20" s="80"/>
      <c r="ZC20" s="93"/>
      <c r="ZD20" s="96"/>
      <c r="ZE20" s="72"/>
      <c r="ZH20" s="108"/>
      <c r="ZI20" s="15">
        <v>13</v>
      </c>
      <c r="ZJ20" s="93"/>
      <c r="ZK20" s="80"/>
      <c r="ZL20" s="93"/>
      <c r="ZM20" s="96"/>
      <c r="ZN20" s="72"/>
      <c r="ZQ20" s="108"/>
      <c r="ZR20" s="15">
        <v>13</v>
      </c>
      <c r="ZS20" s="93"/>
      <c r="ZT20" s="80"/>
      <c r="ZU20" s="93"/>
      <c r="ZV20" s="96"/>
      <c r="ZW20" s="72"/>
      <c r="ZZ20" s="108"/>
      <c r="AAA20" s="15">
        <v>13</v>
      </c>
      <c r="AAB20" s="93"/>
      <c r="AAC20" s="80"/>
      <c r="AAD20" s="93"/>
      <c r="AAE20" s="96"/>
      <c r="AAF20" s="72"/>
      <c r="AAI20" s="108"/>
      <c r="AAJ20" s="15">
        <v>13</v>
      </c>
      <c r="AAK20" s="93"/>
      <c r="AAL20" s="80"/>
      <c r="AAM20" s="93"/>
      <c r="AAN20" s="96"/>
      <c r="AAO20" s="72"/>
      <c r="AAR20" s="108"/>
      <c r="AAS20" s="15">
        <v>13</v>
      </c>
      <c r="AAT20" s="93"/>
      <c r="AAU20" s="80"/>
      <c r="AAV20" s="93"/>
      <c r="AAW20" s="96"/>
      <c r="AAX20" s="72"/>
      <c r="ABA20" s="108"/>
      <c r="ABB20" s="15">
        <v>13</v>
      </c>
      <c r="ABC20" s="93"/>
      <c r="ABD20" s="80"/>
      <c r="ABE20" s="93"/>
      <c r="ABF20" s="96"/>
      <c r="ABG20" s="72"/>
      <c r="ABJ20" s="108"/>
      <c r="ABK20" s="15">
        <v>13</v>
      </c>
      <c r="ABL20" s="93"/>
      <c r="ABM20" s="80"/>
      <c r="ABN20" s="93"/>
      <c r="ABO20" s="96"/>
      <c r="ABP20" s="72"/>
      <c r="ABS20" s="108"/>
      <c r="ABT20" s="15">
        <v>13</v>
      </c>
      <c r="ABU20" s="93"/>
      <c r="ABV20" s="80"/>
      <c r="ABW20" s="93"/>
      <c r="ABX20" s="96"/>
      <c r="ABY20" s="72"/>
      <c r="ACB20" s="108"/>
      <c r="ACC20" s="15">
        <v>13</v>
      </c>
      <c r="ACD20" s="93"/>
      <c r="ACE20" s="80"/>
      <c r="ACF20" s="93"/>
      <c r="ACG20" s="96"/>
      <c r="ACH20" s="72"/>
      <c r="ACK20" s="108"/>
      <c r="ACL20" s="15">
        <v>13</v>
      </c>
      <c r="ACM20" s="93"/>
      <c r="ACN20" s="80"/>
      <c r="ACO20" s="93"/>
      <c r="ACP20" s="96"/>
      <c r="ACQ20" s="72"/>
      <c r="ACT20" s="108"/>
      <c r="ACU20" s="15">
        <v>13</v>
      </c>
      <c r="ACV20" s="93"/>
      <c r="ACW20" s="80"/>
      <c r="ACX20" s="93"/>
      <c r="ACY20" s="96"/>
      <c r="ACZ20" s="72"/>
      <c r="ADC20" s="108"/>
      <c r="ADD20" s="15">
        <v>13</v>
      </c>
      <c r="ADE20" s="93"/>
      <c r="ADF20" s="80"/>
      <c r="ADG20" s="93"/>
      <c r="ADH20" s="96"/>
      <c r="ADI20" s="72"/>
      <c r="ADL20" s="108"/>
      <c r="ADM20" s="15">
        <v>13</v>
      </c>
      <c r="ADN20" s="93"/>
      <c r="ADO20" s="80"/>
      <c r="ADP20" s="93"/>
      <c r="ADQ20" s="96"/>
      <c r="ADR20" s="72"/>
      <c r="ADU20" s="108"/>
      <c r="ADV20" s="15">
        <v>13</v>
      </c>
      <c r="ADW20" s="93"/>
      <c r="ADX20" s="80"/>
      <c r="ADY20" s="93"/>
      <c r="ADZ20" s="96"/>
      <c r="AEA20" s="72"/>
      <c r="AED20" s="108"/>
      <c r="AEE20" s="15">
        <v>13</v>
      </c>
      <c r="AEF20" s="93"/>
      <c r="AEG20" s="80"/>
      <c r="AEH20" s="93"/>
      <c r="AEI20" s="96"/>
      <c r="AEJ20" s="72"/>
      <c r="AEM20" s="108"/>
      <c r="AEN20" s="15">
        <v>13</v>
      </c>
      <c r="AEO20" s="93"/>
      <c r="AEP20" s="80"/>
      <c r="AEQ20" s="93"/>
      <c r="AER20" s="96"/>
      <c r="AES20" s="72"/>
    </row>
    <row r="21" spans="1:828" x14ac:dyDescent="0.25">
      <c r="A21" s="143">
        <v>18</v>
      </c>
      <c r="B21" s="76" t="str">
        <f t="shared" ref="B21:I21" si="59">FY5</f>
        <v>SEABOARD FOODS</v>
      </c>
      <c r="C21" s="76" t="str">
        <f t="shared" si="59"/>
        <v>Seaboard</v>
      </c>
      <c r="D21" s="415" t="str">
        <f>GA5</f>
        <v>PED. 75231613</v>
      </c>
      <c r="E21" s="141">
        <f t="shared" si="59"/>
        <v>44551</v>
      </c>
      <c r="F21" s="87">
        <f t="shared" si="59"/>
        <v>18911.37</v>
      </c>
      <c r="G21" s="74">
        <f t="shared" si="59"/>
        <v>21</v>
      </c>
      <c r="H21" s="48">
        <f t="shared" si="59"/>
        <v>18931.5</v>
      </c>
      <c r="I21" s="107">
        <f t="shared" si="59"/>
        <v>-20.130000000001019</v>
      </c>
      <c r="L21" s="108"/>
      <c r="M21" s="15">
        <v>14</v>
      </c>
      <c r="N21" s="292">
        <v>905.8</v>
      </c>
      <c r="O21" s="341">
        <v>44537</v>
      </c>
      <c r="P21" s="292">
        <v>905.8</v>
      </c>
      <c r="Q21" s="96" t="s">
        <v>455</v>
      </c>
      <c r="R21" s="72">
        <v>37</v>
      </c>
      <c r="S21" s="627">
        <f t="shared" si="6"/>
        <v>33514.6</v>
      </c>
      <c r="T21" s="255"/>
      <c r="V21" s="108"/>
      <c r="W21" s="15">
        <v>14</v>
      </c>
      <c r="X21" s="292">
        <v>932.1</v>
      </c>
      <c r="Y21" s="346">
        <v>44538</v>
      </c>
      <c r="Z21" s="292">
        <v>932.1</v>
      </c>
      <c r="AA21" s="406" t="s">
        <v>469</v>
      </c>
      <c r="AB21" s="279">
        <v>37</v>
      </c>
      <c r="AC21" s="338">
        <f t="shared" si="7"/>
        <v>34487.700000000004</v>
      </c>
      <c r="AF21" s="108"/>
      <c r="AG21" s="15">
        <v>14</v>
      </c>
      <c r="AH21" s="93">
        <v>916.7</v>
      </c>
      <c r="AI21" s="341">
        <v>44537</v>
      </c>
      <c r="AJ21" s="93">
        <v>916.7</v>
      </c>
      <c r="AK21" s="96" t="s">
        <v>465</v>
      </c>
      <c r="AL21" s="72">
        <v>37</v>
      </c>
      <c r="AM21" s="630">
        <f t="shared" si="8"/>
        <v>33917.9</v>
      </c>
      <c r="AP21" s="108"/>
      <c r="AQ21" s="15">
        <v>14</v>
      </c>
      <c r="AR21" s="335">
        <v>884.95</v>
      </c>
      <c r="AS21" s="346">
        <v>44538</v>
      </c>
      <c r="AT21" s="335">
        <v>884.95</v>
      </c>
      <c r="AU21" s="334" t="s">
        <v>488</v>
      </c>
      <c r="AV21" s="279">
        <v>37</v>
      </c>
      <c r="AW21" s="338">
        <f t="shared" si="9"/>
        <v>32743.15</v>
      </c>
      <c r="AZ21" s="108"/>
      <c r="BA21" s="15">
        <v>14</v>
      </c>
      <c r="BB21" s="93">
        <v>887.22</v>
      </c>
      <c r="BC21" s="141">
        <v>44539</v>
      </c>
      <c r="BD21" s="93">
        <v>887.22</v>
      </c>
      <c r="BE21" s="96" t="s">
        <v>459</v>
      </c>
      <c r="BF21" s="400">
        <v>36</v>
      </c>
      <c r="BG21" s="646">
        <f t="shared" si="10"/>
        <v>31939.920000000002</v>
      </c>
      <c r="BJ21" s="108"/>
      <c r="BK21" s="15">
        <v>14</v>
      </c>
      <c r="BL21" s="93">
        <v>925.8</v>
      </c>
      <c r="BM21" s="141">
        <v>44540</v>
      </c>
      <c r="BN21" s="93">
        <v>925.8</v>
      </c>
      <c r="BO21" s="96" t="s">
        <v>483</v>
      </c>
      <c r="BP21" s="400">
        <v>36</v>
      </c>
      <c r="BQ21" s="857">
        <f t="shared" si="11"/>
        <v>33328.799999999996</v>
      </c>
      <c r="BT21" s="108"/>
      <c r="BU21" s="276">
        <v>14</v>
      </c>
      <c r="BV21" s="292">
        <v>899.5</v>
      </c>
      <c r="BW21" s="401">
        <v>44541</v>
      </c>
      <c r="BX21" s="292">
        <v>899.5</v>
      </c>
      <c r="BY21" s="402" t="s">
        <v>508</v>
      </c>
      <c r="BZ21" s="403">
        <v>36</v>
      </c>
      <c r="CA21" s="627">
        <f t="shared" si="12"/>
        <v>32382</v>
      </c>
      <c r="CD21" s="909"/>
      <c r="CE21" s="15">
        <v>14</v>
      </c>
      <c r="CF21" s="93">
        <v>909.4</v>
      </c>
      <c r="CG21" s="401">
        <v>44542</v>
      </c>
      <c r="CH21" s="93">
        <v>909.4</v>
      </c>
      <c r="CI21" s="404" t="s">
        <v>513</v>
      </c>
      <c r="CJ21" s="403">
        <v>36</v>
      </c>
      <c r="CK21" s="627">
        <f t="shared" si="13"/>
        <v>32738.399999999998</v>
      </c>
      <c r="CN21" s="673"/>
      <c r="CO21" s="15">
        <v>14</v>
      </c>
      <c r="CP21" s="292">
        <v>933</v>
      </c>
      <c r="CQ21" s="401">
        <v>44545</v>
      </c>
      <c r="CR21" s="292">
        <v>933</v>
      </c>
      <c r="CS21" s="404" t="s">
        <v>525</v>
      </c>
      <c r="CT21" s="403">
        <v>38</v>
      </c>
      <c r="CU21" s="635">
        <f t="shared" si="48"/>
        <v>35454</v>
      </c>
      <c r="CX21" s="108"/>
      <c r="CY21" s="15">
        <v>14</v>
      </c>
      <c r="CZ21" s="93">
        <v>882.2</v>
      </c>
      <c r="DA21" s="341">
        <v>44544</v>
      </c>
      <c r="DB21" s="93">
        <v>882.2</v>
      </c>
      <c r="DC21" s="96" t="s">
        <v>516</v>
      </c>
      <c r="DD21" s="72">
        <v>38</v>
      </c>
      <c r="DE21" s="627">
        <f t="shared" si="14"/>
        <v>33523.599999999999</v>
      </c>
      <c r="DH21" s="108"/>
      <c r="DI21" s="15">
        <v>14</v>
      </c>
      <c r="DJ21" s="93">
        <v>930.8</v>
      </c>
      <c r="DK21" s="401">
        <v>44544</v>
      </c>
      <c r="DL21" s="93">
        <v>930.8</v>
      </c>
      <c r="DM21" s="404" t="s">
        <v>476</v>
      </c>
      <c r="DN21" s="403">
        <v>38</v>
      </c>
      <c r="DO21" s="635">
        <f t="shared" si="15"/>
        <v>35370.400000000001</v>
      </c>
      <c r="DR21" s="108"/>
      <c r="DS21" s="15">
        <v>14</v>
      </c>
      <c r="DT21" s="93">
        <v>917.61</v>
      </c>
      <c r="DU21" s="401">
        <v>44545</v>
      </c>
      <c r="DV21" s="93">
        <v>917.61</v>
      </c>
      <c r="DW21" s="404" t="s">
        <v>477</v>
      </c>
      <c r="DX21" s="403">
        <v>38</v>
      </c>
      <c r="DY21" s="627">
        <f t="shared" si="16"/>
        <v>34869.18</v>
      </c>
      <c r="EB21" s="108"/>
      <c r="EC21" s="15">
        <v>14</v>
      </c>
      <c r="ED21" s="70">
        <v>917.6</v>
      </c>
      <c r="EE21" s="357">
        <v>44546</v>
      </c>
      <c r="EF21" s="70">
        <v>917.6</v>
      </c>
      <c r="EG21" s="71" t="s">
        <v>532</v>
      </c>
      <c r="EH21" s="72">
        <v>38</v>
      </c>
      <c r="EI21" s="627">
        <f t="shared" si="17"/>
        <v>34868.800000000003</v>
      </c>
      <c r="EL21" s="108"/>
      <c r="EM21" s="15">
        <v>14</v>
      </c>
      <c r="EN21" s="292">
        <v>894.5</v>
      </c>
      <c r="EO21" s="346">
        <v>44546</v>
      </c>
      <c r="EP21" s="292">
        <v>894.5</v>
      </c>
      <c r="EQ21" s="278" t="s">
        <v>531</v>
      </c>
      <c r="ER21" s="279">
        <v>38</v>
      </c>
      <c r="ES21" s="627">
        <f t="shared" si="18"/>
        <v>33991</v>
      </c>
      <c r="EV21" s="108"/>
      <c r="EW21" s="15">
        <v>14</v>
      </c>
      <c r="EX21" s="70">
        <v>904.9</v>
      </c>
      <c r="EY21" s="357">
        <v>44548</v>
      </c>
      <c r="EZ21" s="70">
        <v>904.9</v>
      </c>
      <c r="FA21" s="278" t="s">
        <v>550</v>
      </c>
      <c r="FB21" s="72">
        <v>38</v>
      </c>
      <c r="FC21" s="338">
        <f t="shared" si="19"/>
        <v>34386.199999999997</v>
      </c>
      <c r="FF21" s="108"/>
      <c r="FG21" s="15">
        <v>14</v>
      </c>
      <c r="FH21" s="292">
        <v>896.7</v>
      </c>
      <c r="FI21" s="346">
        <v>44548</v>
      </c>
      <c r="FJ21" s="292">
        <v>896.7</v>
      </c>
      <c r="FK21" s="278" t="s">
        <v>538</v>
      </c>
      <c r="FL21" s="279">
        <v>38</v>
      </c>
      <c r="FM21" s="627">
        <f t="shared" si="20"/>
        <v>34074.6</v>
      </c>
      <c r="FP21" s="108"/>
      <c r="FQ21" s="15">
        <v>14</v>
      </c>
      <c r="FR21" s="93">
        <v>871.8</v>
      </c>
      <c r="FS21" s="341">
        <v>44551</v>
      </c>
      <c r="FT21" s="93">
        <v>871.8</v>
      </c>
      <c r="FU21" s="71" t="s">
        <v>572</v>
      </c>
      <c r="FV21" s="72">
        <v>38</v>
      </c>
      <c r="FW21" s="627">
        <f t="shared" si="21"/>
        <v>33128.400000000001</v>
      </c>
      <c r="FX21" s="72"/>
      <c r="FZ21" s="108"/>
      <c r="GA21" s="15">
        <v>14</v>
      </c>
      <c r="GB21" s="70">
        <v>916.7</v>
      </c>
      <c r="GC21" s="545">
        <v>44551</v>
      </c>
      <c r="GD21" s="70">
        <v>916.7</v>
      </c>
      <c r="GE21" s="278" t="s">
        <v>565</v>
      </c>
      <c r="GF21" s="279">
        <v>39</v>
      </c>
      <c r="GG21" s="338">
        <f t="shared" si="22"/>
        <v>35751.300000000003</v>
      </c>
      <c r="GJ21" s="108"/>
      <c r="GK21" s="15">
        <v>14</v>
      </c>
      <c r="GL21" s="523">
        <v>903.1</v>
      </c>
      <c r="GM21" s="341">
        <v>44551</v>
      </c>
      <c r="GN21" s="523">
        <v>903.1</v>
      </c>
      <c r="GO21" s="96" t="s">
        <v>566</v>
      </c>
      <c r="GP21" s="72">
        <v>39</v>
      </c>
      <c r="GQ21" s="627">
        <f t="shared" si="23"/>
        <v>35220.9</v>
      </c>
      <c r="GT21" s="108"/>
      <c r="GU21" s="15">
        <v>14</v>
      </c>
      <c r="GV21" s="292">
        <v>904.9</v>
      </c>
      <c r="GW21" s="346">
        <v>44551</v>
      </c>
      <c r="GX21" s="292">
        <v>904.9</v>
      </c>
      <c r="GY21" s="334" t="s">
        <v>569</v>
      </c>
      <c r="GZ21" s="279">
        <v>39</v>
      </c>
      <c r="HA21" s="627">
        <f t="shared" si="24"/>
        <v>35291.1</v>
      </c>
      <c r="HD21" s="108"/>
      <c r="HE21" s="15">
        <v>14</v>
      </c>
      <c r="HF21" s="93">
        <v>878.2</v>
      </c>
      <c r="HG21" s="341">
        <v>44552</v>
      </c>
      <c r="HH21" s="93">
        <v>878.2</v>
      </c>
      <c r="HI21" s="96" t="s">
        <v>582</v>
      </c>
      <c r="HJ21" s="72">
        <v>41</v>
      </c>
      <c r="HK21" s="338">
        <f t="shared" si="25"/>
        <v>36006.200000000004</v>
      </c>
      <c r="HN21" s="108"/>
      <c r="HO21" s="15">
        <v>14</v>
      </c>
      <c r="HP21" s="292">
        <v>930.31</v>
      </c>
      <c r="HQ21" s="346">
        <v>44552</v>
      </c>
      <c r="HR21" s="292">
        <v>930.31</v>
      </c>
      <c r="HS21" s="406" t="s">
        <v>579</v>
      </c>
      <c r="HT21" s="279">
        <v>41</v>
      </c>
      <c r="HU21" s="627">
        <f t="shared" si="26"/>
        <v>38142.71</v>
      </c>
      <c r="HX21" s="95"/>
      <c r="HY21" s="15">
        <v>14</v>
      </c>
      <c r="HZ21" s="70">
        <v>904.91</v>
      </c>
      <c r="IA21" s="357">
        <v>44553</v>
      </c>
      <c r="IB21" s="70">
        <v>904.91</v>
      </c>
      <c r="IC21" s="71" t="s">
        <v>592</v>
      </c>
      <c r="ID21" s="72">
        <v>42</v>
      </c>
      <c r="IE21" s="627">
        <f t="shared" si="27"/>
        <v>38006.22</v>
      </c>
      <c r="IH21" s="95"/>
      <c r="II21" s="15">
        <v>14</v>
      </c>
      <c r="IJ21" s="70">
        <v>945.74</v>
      </c>
      <c r="IK21" s="357">
        <v>44553</v>
      </c>
      <c r="IL21" s="70">
        <v>945.74</v>
      </c>
      <c r="IM21" s="71" t="s">
        <v>599</v>
      </c>
      <c r="IN21" s="72">
        <v>41</v>
      </c>
      <c r="IO21" s="627">
        <f t="shared" si="28"/>
        <v>38775.340000000004</v>
      </c>
      <c r="IR21" s="108"/>
      <c r="IS21" s="15">
        <v>14</v>
      </c>
      <c r="IT21" s="292">
        <v>875.4</v>
      </c>
      <c r="IU21" s="258">
        <v>44554</v>
      </c>
      <c r="IV21" s="292">
        <v>875.4</v>
      </c>
      <c r="IW21" s="552" t="s">
        <v>611</v>
      </c>
      <c r="IX21" s="279">
        <v>41</v>
      </c>
      <c r="IY21" s="338">
        <f t="shared" si="29"/>
        <v>35891.4</v>
      </c>
      <c r="IZ21" s="93"/>
      <c r="JB21" s="108"/>
      <c r="JC21" s="15">
        <v>14</v>
      </c>
      <c r="JD21" s="93">
        <v>870.9</v>
      </c>
      <c r="JE21" s="357">
        <v>44554</v>
      </c>
      <c r="JF21" s="93">
        <v>870.9</v>
      </c>
      <c r="JG21" s="71" t="s">
        <v>613</v>
      </c>
      <c r="JH21" s="72">
        <v>41</v>
      </c>
      <c r="JI21" s="627">
        <f t="shared" si="30"/>
        <v>35706.9</v>
      </c>
      <c r="JL21" s="108"/>
      <c r="JM21" s="15">
        <v>14</v>
      </c>
      <c r="JN21" s="93">
        <v>936.2</v>
      </c>
      <c r="JO21" s="341">
        <v>44554</v>
      </c>
      <c r="JP21" s="93">
        <v>936.2</v>
      </c>
      <c r="JQ21" s="71" t="s">
        <v>604</v>
      </c>
      <c r="JR21" s="72">
        <v>41</v>
      </c>
      <c r="JS21" s="627">
        <f t="shared" si="31"/>
        <v>38384.200000000004</v>
      </c>
      <c r="JV21" s="95"/>
      <c r="JW21" s="15">
        <v>14</v>
      </c>
      <c r="JX21" s="70">
        <v>922.1</v>
      </c>
      <c r="JY21" s="357">
        <v>44554</v>
      </c>
      <c r="JZ21" s="70">
        <v>922.1</v>
      </c>
      <c r="KA21" s="71" t="s">
        <v>605</v>
      </c>
      <c r="KB21" s="72">
        <v>41</v>
      </c>
      <c r="KC21" s="627">
        <f t="shared" si="32"/>
        <v>37806.1</v>
      </c>
      <c r="KF21" s="95"/>
      <c r="KG21" s="15">
        <v>14</v>
      </c>
      <c r="KH21" s="70">
        <v>881.3</v>
      </c>
      <c r="KI21" s="357">
        <v>44556</v>
      </c>
      <c r="KJ21" s="70">
        <v>881.3</v>
      </c>
      <c r="KK21" s="71" t="s">
        <v>618</v>
      </c>
      <c r="KL21" s="72">
        <v>41</v>
      </c>
      <c r="KM21" s="627">
        <f t="shared" si="33"/>
        <v>36133.299999999996</v>
      </c>
      <c r="KP21" s="95"/>
      <c r="KQ21" s="15">
        <v>14</v>
      </c>
      <c r="KR21" s="70">
        <v>875</v>
      </c>
      <c r="KS21" s="357">
        <v>44558</v>
      </c>
      <c r="KT21" s="70">
        <v>875</v>
      </c>
      <c r="KU21" s="71" t="s">
        <v>636</v>
      </c>
      <c r="KV21" s="72">
        <v>42</v>
      </c>
      <c r="KW21" s="627">
        <f t="shared" si="34"/>
        <v>36750</v>
      </c>
      <c r="KZ21" s="108"/>
      <c r="LA21" s="15">
        <v>14</v>
      </c>
      <c r="LB21" s="93">
        <v>918.07</v>
      </c>
      <c r="LC21" s="341">
        <v>44558</v>
      </c>
      <c r="LD21" s="93">
        <v>918.07</v>
      </c>
      <c r="LE21" s="96" t="s">
        <v>642</v>
      </c>
      <c r="LF21" s="72">
        <v>42</v>
      </c>
      <c r="LG21" s="627">
        <f t="shared" si="35"/>
        <v>38558.94</v>
      </c>
      <c r="LJ21" s="108"/>
      <c r="LK21" s="15">
        <v>14</v>
      </c>
      <c r="LL21" s="292">
        <v>940.29</v>
      </c>
      <c r="LM21" s="341">
        <v>44559</v>
      </c>
      <c r="LN21" s="292">
        <v>940.29</v>
      </c>
      <c r="LO21" s="96" t="s">
        <v>655</v>
      </c>
      <c r="LP21" s="72">
        <v>42</v>
      </c>
      <c r="LQ21" s="627">
        <f t="shared" si="36"/>
        <v>39492.18</v>
      </c>
      <c r="LT21" s="108"/>
      <c r="LU21" s="15">
        <v>14</v>
      </c>
      <c r="LV21" s="93">
        <v>871.8</v>
      </c>
      <c r="LW21" s="341">
        <v>44559</v>
      </c>
      <c r="LX21" s="93">
        <v>871.8</v>
      </c>
      <c r="LY21" s="96" t="s">
        <v>649</v>
      </c>
      <c r="LZ21" s="72">
        <v>42</v>
      </c>
      <c r="MA21" s="627">
        <f t="shared" si="37"/>
        <v>36615.599999999999</v>
      </c>
      <c r="MB21" s="627"/>
      <c r="MD21" s="108"/>
      <c r="ME21" s="15">
        <v>14</v>
      </c>
      <c r="MF21" s="412">
        <v>908.1</v>
      </c>
      <c r="MG21" s="341">
        <v>44560</v>
      </c>
      <c r="MH21" s="412">
        <v>908.1</v>
      </c>
      <c r="MI21" s="96" t="s">
        <v>661</v>
      </c>
      <c r="MJ21" s="72">
        <v>43</v>
      </c>
      <c r="MK21" s="72">
        <f t="shared" si="38"/>
        <v>39048.300000000003</v>
      </c>
      <c r="MN21" s="108"/>
      <c r="MO21" s="15">
        <v>14</v>
      </c>
      <c r="MP21" s="93">
        <v>982.5</v>
      </c>
      <c r="MQ21" s="341">
        <v>44560</v>
      </c>
      <c r="MR21" s="93">
        <v>982.5</v>
      </c>
      <c r="MS21" s="96" t="s">
        <v>665</v>
      </c>
      <c r="MT21" s="72">
        <v>43</v>
      </c>
      <c r="MU21" s="72">
        <f t="shared" si="39"/>
        <v>42247.5</v>
      </c>
      <c r="MX21" s="108"/>
      <c r="MY21" s="15">
        <v>14</v>
      </c>
      <c r="MZ21" s="93">
        <v>887.7</v>
      </c>
      <c r="NA21" s="341">
        <v>44561</v>
      </c>
      <c r="NB21" s="93">
        <v>887.7</v>
      </c>
      <c r="NC21" s="96" t="s">
        <v>667</v>
      </c>
      <c r="ND21" s="72">
        <v>40</v>
      </c>
      <c r="NE21" s="72">
        <f t="shared" si="40"/>
        <v>35508</v>
      </c>
      <c r="NH21" s="108"/>
      <c r="NI21" s="15">
        <v>14</v>
      </c>
      <c r="NJ21" s="93">
        <v>873.6</v>
      </c>
      <c r="NK21" s="341"/>
      <c r="NL21" s="93"/>
      <c r="NM21" s="96"/>
      <c r="NN21" s="72"/>
      <c r="NO21" s="72">
        <f t="shared" si="41"/>
        <v>0</v>
      </c>
      <c r="NR21" s="108"/>
      <c r="NS21" s="15">
        <v>14</v>
      </c>
      <c r="NT21" s="93">
        <v>933.9</v>
      </c>
      <c r="NU21" s="341">
        <v>44563</v>
      </c>
      <c r="NV21" s="93">
        <v>933.9</v>
      </c>
      <c r="NW21" s="96" t="s">
        <v>682</v>
      </c>
      <c r="NX21" s="72">
        <v>34</v>
      </c>
      <c r="NY21" s="72">
        <f t="shared" si="42"/>
        <v>31752.6</v>
      </c>
      <c r="OB21" s="108"/>
      <c r="OC21" s="15">
        <v>14</v>
      </c>
      <c r="OD21" s="93"/>
      <c r="OE21" s="341"/>
      <c r="OF21" s="93"/>
      <c r="OG21" s="96"/>
      <c r="OH21" s="72"/>
      <c r="OI21" s="72">
        <f t="shared" si="43"/>
        <v>0</v>
      </c>
      <c r="OL21" s="108"/>
      <c r="OM21" s="15">
        <v>14</v>
      </c>
      <c r="ON21" s="93"/>
      <c r="OO21" s="341"/>
      <c r="OP21" s="93"/>
      <c r="OQ21" s="96"/>
      <c r="OR21" s="72"/>
      <c r="OS21" s="72">
        <f t="shared" si="44"/>
        <v>0</v>
      </c>
      <c r="OV21" s="108"/>
      <c r="OW21" s="15">
        <v>14</v>
      </c>
      <c r="OX21" s="292"/>
      <c r="OY21" s="346"/>
      <c r="OZ21" s="292"/>
      <c r="PA21" s="334"/>
      <c r="PB21" s="279"/>
      <c r="PC21" s="279">
        <f t="shared" si="45"/>
        <v>0</v>
      </c>
      <c r="PF21" s="95"/>
      <c r="PG21" s="15">
        <v>14</v>
      </c>
      <c r="PH21" s="93"/>
      <c r="PI21" s="341"/>
      <c r="PJ21" s="93"/>
      <c r="PK21" s="96"/>
      <c r="PL21" s="72"/>
      <c r="PM21" s="72">
        <f t="shared" si="46"/>
        <v>0</v>
      </c>
      <c r="PP21" s="108"/>
      <c r="PQ21" s="15">
        <v>14</v>
      </c>
      <c r="PR21" s="93"/>
      <c r="PS21" s="341"/>
      <c r="PT21" s="93"/>
      <c r="PU21" s="96"/>
      <c r="PV21" s="72"/>
      <c r="PY21" s="108"/>
      <c r="PZ21" s="15">
        <v>14</v>
      </c>
      <c r="QA21" s="93"/>
      <c r="QB21" s="141"/>
      <c r="QC21" s="93"/>
      <c r="QD21" s="96"/>
      <c r="QE21" s="72"/>
      <c r="QH21" s="108"/>
      <c r="QI21" s="15">
        <v>14</v>
      </c>
      <c r="QJ21" s="93"/>
      <c r="QK21" s="341"/>
      <c r="QL21" s="93"/>
      <c r="QM21" s="96"/>
      <c r="QN21" s="72"/>
      <c r="QQ21" s="108"/>
      <c r="QR21" s="15">
        <v>14</v>
      </c>
      <c r="QS21" s="93"/>
      <c r="QT21" s="341"/>
      <c r="QU21" s="93"/>
      <c r="QV21" s="96"/>
      <c r="QW21" s="72"/>
      <c r="QZ21" s="108"/>
      <c r="RA21" s="15">
        <v>14</v>
      </c>
      <c r="RB21" s="93"/>
      <c r="RC21" s="341"/>
      <c r="RD21" s="93"/>
      <c r="RE21" s="96"/>
      <c r="RF21" s="72"/>
      <c r="RI21" s="108"/>
      <c r="RJ21" s="15">
        <v>14</v>
      </c>
      <c r="RK21" s="93"/>
      <c r="RL21" s="341"/>
      <c r="RM21" s="93"/>
      <c r="RN21" s="96"/>
      <c r="RO21" s="400"/>
      <c r="RR21" s="108"/>
      <c r="RS21" s="15">
        <v>14</v>
      </c>
      <c r="RT21" s="93"/>
      <c r="RU21" s="141"/>
      <c r="RV21" s="93"/>
      <c r="RW21" s="96"/>
      <c r="RX21" s="72"/>
      <c r="SA21" s="108"/>
      <c r="SB21" s="15">
        <v>14</v>
      </c>
      <c r="SC21" s="93"/>
      <c r="SD21" s="80"/>
      <c r="SE21" s="93"/>
      <c r="SF21" s="96"/>
      <c r="SG21" s="72"/>
      <c r="SJ21" s="108"/>
      <c r="SK21" s="15">
        <v>14</v>
      </c>
      <c r="SL21" s="93"/>
      <c r="SM21" s="80"/>
      <c r="SN21" s="93"/>
      <c r="SO21" s="96"/>
      <c r="SP21" s="72"/>
      <c r="SS21" s="108"/>
      <c r="ST21" s="15"/>
      <c r="SU21" s="93"/>
      <c r="SV21" s="80"/>
      <c r="SW21" s="93"/>
      <c r="SX21" s="96"/>
      <c r="SY21" s="72"/>
      <c r="TB21" s="108"/>
      <c r="TC21" s="15">
        <v>14</v>
      </c>
      <c r="TD21" s="93"/>
      <c r="TE21" s="411"/>
      <c r="TF21" s="189"/>
      <c r="TG21" s="404"/>
      <c r="TH21" s="403"/>
      <c r="TK21" s="108"/>
      <c r="TL21" s="15">
        <v>14</v>
      </c>
      <c r="TM21" s="93"/>
      <c r="TN21" s="80"/>
      <c r="TO21" s="93"/>
      <c r="TP21" s="96"/>
      <c r="TQ21" s="72"/>
      <c r="TT21" s="108"/>
      <c r="TU21" s="15">
        <v>14</v>
      </c>
      <c r="TV21" s="93"/>
      <c r="TW21" s="80"/>
      <c r="TX21" s="93"/>
      <c r="TY21" s="96"/>
      <c r="TZ21" s="72"/>
      <c r="UC21" s="108"/>
      <c r="UD21" s="15">
        <v>14</v>
      </c>
      <c r="UE21" s="93"/>
      <c r="UF21" s="80"/>
      <c r="UG21" s="93"/>
      <c r="UH21" s="96"/>
      <c r="UI21" s="72"/>
      <c r="UL21" s="108"/>
      <c r="UM21" s="15">
        <v>14</v>
      </c>
      <c r="UN21" s="93"/>
      <c r="UO21" s="80"/>
      <c r="UP21" s="93"/>
      <c r="UQ21" s="96"/>
      <c r="UR21" s="72"/>
      <c r="UU21" s="108"/>
      <c r="UV21" s="15">
        <v>14</v>
      </c>
      <c r="UW21" s="93"/>
      <c r="UX21" s="80"/>
      <c r="UY21" s="93"/>
      <c r="UZ21" s="96"/>
      <c r="VA21" s="72"/>
      <c r="VD21" s="108"/>
      <c r="VE21" s="15">
        <v>14</v>
      </c>
      <c r="VF21" s="93"/>
      <c r="VG21" s="80"/>
      <c r="VH21" s="93"/>
      <c r="VI21" s="96"/>
      <c r="VJ21" s="72"/>
      <c r="VM21" s="108"/>
      <c r="VN21" s="15">
        <v>14</v>
      </c>
      <c r="VO21" s="93"/>
      <c r="VP21" s="80"/>
      <c r="VQ21" s="93"/>
      <c r="VR21" s="96"/>
      <c r="VS21" s="72"/>
      <c r="VV21" s="108"/>
      <c r="VW21" s="15">
        <v>14</v>
      </c>
      <c r="VX21" s="93"/>
      <c r="VY21" s="80"/>
      <c r="VZ21" s="93"/>
      <c r="WA21" s="96"/>
      <c r="WB21" s="72"/>
      <c r="WE21" s="108"/>
      <c r="WF21" s="15">
        <v>14</v>
      </c>
      <c r="WG21" s="93"/>
      <c r="WH21" s="80"/>
      <c r="WI21" s="93"/>
      <c r="WJ21" s="96"/>
      <c r="WK21" s="72"/>
      <c r="WN21" s="108"/>
      <c r="WO21" s="15">
        <v>14</v>
      </c>
      <c r="WP21" s="93"/>
      <c r="WQ21" s="80"/>
      <c r="WR21" s="93"/>
      <c r="WS21" s="96"/>
      <c r="WT21" s="72"/>
      <c r="WW21" s="108"/>
      <c r="WX21" s="15">
        <v>14</v>
      </c>
      <c r="WY21" s="93"/>
      <c r="WZ21" s="80"/>
      <c r="XA21" s="93"/>
      <c r="XB21" s="96"/>
      <c r="XC21" s="72"/>
      <c r="XF21" s="108"/>
      <c r="XG21" s="15">
        <v>14</v>
      </c>
      <c r="XH21" s="93"/>
      <c r="XI21" s="80"/>
      <c r="XJ21" s="93"/>
      <c r="XK21" s="96"/>
      <c r="XL21" s="72"/>
      <c r="XO21" s="108"/>
      <c r="XP21" s="15">
        <v>14</v>
      </c>
      <c r="XQ21" s="93"/>
      <c r="XR21" s="80"/>
      <c r="XS21" s="93"/>
      <c r="XT21" s="96"/>
      <c r="XU21" s="72"/>
      <c r="XX21" s="108"/>
      <c r="XY21" s="15">
        <v>14</v>
      </c>
      <c r="XZ21" s="93"/>
      <c r="YA21" s="80"/>
      <c r="YB21" s="93"/>
      <c r="YC21" s="96"/>
      <c r="YD21" s="72"/>
      <c r="YG21" s="108"/>
      <c r="YH21" s="15">
        <v>14</v>
      </c>
      <c r="YI21" s="93"/>
      <c r="YJ21" s="80"/>
      <c r="YK21" s="93"/>
      <c r="YL21" s="96"/>
      <c r="YM21" s="72"/>
      <c r="YP21" s="108"/>
      <c r="YQ21" s="15">
        <v>14</v>
      </c>
      <c r="YR21" s="93"/>
      <c r="YS21" s="80"/>
      <c r="YT21" s="93"/>
      <c r="YU21" s="96"/>
      <c r="YV21" s="72"/>
      <c r="YY21" s="108"/>
      <c r="YZ21" s="15">
        <v>14</v>
      </c>
      <c r="ZA21" s="93"/>
      <c r="ZB21" s="80"/>
      <c r="ZC21" s="93"/>
      <c r="ZD21" s="96"/>
      <c r="ZE21" s="72"/>
      <c r="ZH21" s="108"/>
      <c r="ZI21" s="15">
        <v>14</v>
      </c>
      <c r="ZJ21" s="93"/>
      <c r="ZK21" s="80"/>
      <c r="ZL21" s="93"/>
      <c r="ZM21" s="96"/>
      <c r="ZN21" s="72"/>
      <c r="ZQ21" s="108"/>
      <c r="ZR21" s="15">
        <v>14</v>
      </c>
      <c r="ZS21" s="93"/>
      <c r="ZT21" s="80"/>
      <c r="ZU21" s="93"/>
      <c r="ZV21" s="96"/>
      <c r="ZW21" s="72"/>
      <c r="ZZ21" s="108"/>
      <c r="AAA21" s="15">
        <v>14</v>
      </c>
      <c r="AAB21" s="93"/>
      <c r="AAC21" s="80"/>
      <c r="AAD21" s="93"/>
      <c r="AAE21" s="96"/>
      <c r="AAF21" s="72"/>
      <c r="AAI21" s="108"/>
      <c r="AAJ21" s="15">
        <v>14</v>
      </c>
      <c r="AAK21" s="93"/>
      <c r="AAL21" s="80"/>
      <c r="AAM21" s="93"/>
      <c r="AAN21" s="96"/>
      <c r="AAO21" s="72"/>
      <c r="AAR21" s="108"/>
      <c r="AAS21" s="15">
        <v>14</v>
      </c>
      <c r="AAT21" s="93"/>
      <c r="AAU21" s="80"/>
      <c r="AAV21" s="93"/>
      <c r="AAW21" s="96"/>
      <c r="AAX21" s="72"/>
      <c r="ABA21" s="108"/>
      <c r="ABB21" s="15">
        <v>14</v>
      </c>
      <c r="ABC21" s="93"/>
      <c r="ABD21" s="80"/>
      <c r="ABE21" s="93"/>
      <c r="ABF21" s="96"/>
      <c r="ABG21" s="72"/>
      <c r="ABJ21" s="108"/>
      <c r="ABK21" s="15">
        <v>14</v>
      </c>
      <c r="ABL21" s="93"/>
      <c r="ABM21" s="80"/>
      <c r="ABN21" s="93"/>
      <c r="ABO21" s="96"/>
      <c r="ABP21" s="72"/>
      <c r="ABS21" s="108"/>
      <c r="ABT21" s="15">
        <v>14</v>
      </c>
      <c r="ABU21" s="93"/>
      <c r="ABV21" s="80"/>
      <c r="ABW21" s="93"/>
      <c r="ABX21" s="96"/>
      <c r="ABY21" s="72"/>
      <c r="ACB21" s="108"/>
      <c r="ACC21" s="15">
        <v>14</v>
      </c>
      <c r="ACD21" s="93"/>
      <c r="ACE21" s="80"/>
      <c r="ACF21" s="93"/>
      <c r="ACG21" s="96"/>
      <c r="ACH21" s="72"/>
      <c r="ACK21" s="108"/>
      <c r="ACL21" s="15">
        <v>14</v>
      </c>
      <c r="ACM21" s="93"/>
      <c r="ACN21" s="80"/>
      <c r="ACO21" s="93"/>
      <c r="ACP21" s="96"/>
      <c r="ACQ21" s="72"/>
      <c r="ACT21" s="108"/>
      <c r="ACU21" s="15">
        <v>14</v>
      </c>
      <c r="ACV21" s="93"/>
      <c r="ACW21" s="80"/>
      <c r="ACX21" s="93"/>
      <c r="ACY21" s="96"/>
      <c r="ACZ21" s="72"/>
      <c r="ADC21" s="108"/>
      <c r="ADD21" s="15">
        <v>14</v>
      </c>
      <c r="ADE21" s="93"/>
      <c r="ADF21" s="80"/>
      <c r="ADG21" s="93"/>
      <c r="ADH21" s="96"/>
      <c r="ADI21" s="72"/>
      <c r="ADL21" s="108"/>
      <c r="ADM21" s="15">
        <v>14</v>
      </c>
      <c r="ADN21" s="93"/>
      <c r="ADO21" s="80"/>
      <c r="ADP21" s="93"/>
      <c r="ADQ21" s="96"/>
      <c r="ADR21" s="72"/>
      <c r="ADU21" s="108"/>
      <c r="ADV21" s="15">
        <v>14</v>
      </c>
      <c r="ADW21" s="93"/>
      <c r="ADX21" s="80"/>
      <c r="ADY21" s="93"/>
      <c r="ADZ21" s="96"/>
      <c r="AEA21" s="72"/>
      <c r="AED21" s="108"/>
      <c r="AEE21" s="15">
        <v>14</v>
      </c>
      <c r="AEF21" s="93"/>
      <c r="AEG21" s="80"/>
      <c r="AEH21" s="93"/>
      <c r="AEI21" s="96"/>
      <c r="AEJ21" s="72"/>
      <c r="AEM21" s="108"/>
      <c r="AEN21" s="15">
        <v>14</v>
      </c>
      <c r="AEO21" s="93"/>
      <c r="AEP21" s="80"/>
      <c r="AEQ21" s="93"/>
      <c r="AER21" s="96"/>
      <c r="AES21" s="72"/>
    </row>
    <row r="22" spans="1:828" x14ac:dyDescent="0.25">
      <c r="A22" s="143">
        <v>19</v>
      </c>
      <c r="B22" s="76" t="str">
        <f t="shared" ref="B22:H22" si="60">GI5</f>
        <v>SEABOARD FOODS</v>
      </c>
      <c r="C22" s="76" t="str">
        <f t="shared" si="60"/>
        <v>SeAboard</v>
      </c>
      <c r="D22" s="104" t="str">
        <f t="shared" si="60"/>
        <v>PED. 75231589</v>
      </c>
      <c r="E22" s="141">
        <f t="shared" si="60"/>
        <v>44551</v>
      </c>
      <c r="F22" s="87">
        <f t="shared" si="60"/>
        <v>19160.599999999999</v>
      </c>
      <c r="G22" s="74">
        <f t="shared" si="60"/>
        <v>21</v>
      </c>
      <c r="H22" s="48">
        <f t="shared" si="60"/>
        <v>19165.099999999999</v>
      </c>
      <c r="I22" s="107">
        <f>GP5</f>
        <v>-4.5</v>
      </c>
      <c r="L22" s="108"/>
      <c r="M22" s="15">
        <v>15</v>
      </c>
      <c r="N22" s="292">
        <v>914.4</v>
      </c>
      <c r="O22" s="341">
        <v>44537</v>
      </c>
      <c r="P22" s="292">
        <v>914.4</v>
      </c>
      <c r="Q22" s="96" t="s">
        <v>455</v>
      </c>
      <c r="R22" s="72">
        <v>37</v>
      </c>
      <c r="S22" s="627">
        <f t="shared" si="6"/>
        <v>33832.799999999996</v>
      </c>
      <c r="T22" s="255"/>
      <c r="V22" s="108"/>
      <c r="W22" s="15">
        <v>15</v>
      </c>
      <c r="X22" s="292">
        <v>887.2</v>
      </c>
      <c r="Y22" s="346">
        <v>44538</v>
      </c>
      <c r="Z22" s="292">
        <v>887.2</v>
      </c>
      <c r="AA22" s="406" t="s">
        <v>469</v>
      </c>
      <c r="AB22" s="279">
        <v>37</v>
      </c>
      <c r="AC22" s="338">
        <f t="shared" si="7"/>
        <v>32826.400000000001</v>
      </c>
      <c r="AF22" s="108"/>
      <c r="AG22" s="15">
        <v>15</v>
      </c>
      <c r="AH22" s="93">
        <v>926.7</v>
      </c>
      <c r="AI22" s="341">
        <v>44537</v>
      </c>
      <c r="AJ22" s="93">
        <v>926.7</v>
      </c>
      <c r="AK22" s="96" t="s">
        <v>465</v>
      </c>
      <c r="AL22" s="72">
        <v>37</v>
      </c>
      <c r="AM22" s="630">
        <f t="shared" si="8"/>
        <v>34287.9</v>
      </c>
      <c r="AP22" s="108"/>
      <c r="AQ22" s="15">
        <v>15</v>
      </c>
      <c r="AR22" s="335">
        <v>946.64</v>
      </c>
      <c r="AS22" s="346">
        <v>44538</v>
      </c>
      <c r="AT22" s="335">
        <v>946.64</v>
      </c>
      <c r="AU22" s="334" t="s">
        <v>488</v>
      </c>
      <c r="AV22" s="279">
        <v>37</v>
      </c>
      <c r="AW22" s="338">
        <f t="shared" si="9"/>
        <v>35025.68</v>
      </c>
      <c r="AZ22" s="108"/>
      <c r="BA22" s="15">
        <v>15</v>
      </c>
      <c r="BB22" s="93">
        <v>917.16</v>
      </c>
      <c r="BC22" s="141">
        <v>44539</v>
      </c>
      <c r="BD22" s="93">
        <v>917.16</v>
      </c>
      <c r="BE22" s="96" t="s">
        <v>459</v>
      </c>
      <c r="BF22" s="400">
        <v>36</v>
      </c>
      <c r="BG22" s="646">
        <f t="shared" si="10"/>
        <v>33017.760000000002</v>
      </c>
      <c r="BJ22" s="108"/>
      <c r="BK22" s="15">
        <v>15</v>
      </c>
      <c r="BL22" s="93">
        <v>932.1</v>
      </c>
      <c r="BM22" s="141">
        <v>44540</v>
      </c>
      <c r="BN22" s="93">
        <v>932.1</v>
      </c>
      <c r="BO22" s="96" t="s">
        <v>483</v>
      </c>
      <c r="BP22" s="400">
        <v>36</v>
      </c>
      <c r="BQ22" s="857">
        <f t="shared" si="11"/>
        <v>33555.599999999999</v>
      </c>
      <c r="BT22" s="108"/>
      <c r="BU22" s="276">
        <v>15</v>
      </c>
      <c r="BV22" s="292">
        <v>915.8</v>
      </c>
      <c r="BW22" s="401">
        <v>44541</v>
      </c>
      <c r="BX22" s="292">
        <v>915.8</v>
      </c>
      <c r="BY22" s="402" t="s">
        <v>508</v>
      </c>
      <c r="BZ22" s="403">
        <v>36</v>
      </c>
      <c r="CA22" s="627">
        <f t="shared" si="12"/>
        <v>32968.799999999996</v>
      </c>
      <c r="CD22" s="909"/>
      <c r="CE22" s="15">
        <v>15</v>
      </c>
      <c r="CF22" s="93">
        <v>872.3</v>
      </c>
      <c r="CG22" s="401">
        <v>44542</v>
      </c>
      <c r="CH22" s="93">
        <v>872.3</v>
      </c>
      <c r="CI22" s="404" t="s">
        <v>512</v>
      </c>
      <c r="CJ22" s="403">
        <v>36</v>
      </c>
      <c r="CK22" s="627">
        <f t="shared" si="13"/>
        <v>31402.799999999999</v>
      </c>
      <c r="CN22" s="673"/>
      <c r="CO22" s="15">
        <v>15</v>
      </c>
      <c r="CP22" s="277">
        <v>928</v>
      </c>
      <c r="CQ22" s="401">
        <v>44545</v>
      </c>
      <c r="CR22" s="277">
        <v>928</v>
      </c>
      <c r="CS22" s="404" t="s">
        <v>464</v>
      </c>
      <c r="CT22" s="403">
        <v>38</v>
      </c>
      <c r="CU22" s="635">
        <f t="shared" si="48"/>
        <v>35264</v>
      </c>
      <c r="CX22" s="108"/>
      <c r="CY22" s="15">
        <v>15</v>
      </c>
      <c r="CZ22" s="93">
        <v>936.7</v>
      </c>
      <c r="DA22" s="341">
        <v>44544</v>
      </c>
      <c r="DB22" s="93">
        <v>936.7</v>
      </c>
      <c r="DC22" s="96" t="s">
        <v>516</v>
      </c>
      <c r="DD22" s="72">
        <v>38</v>
      </c>
      <c r="DE22" s="627">
        <f t="shared" si="14"/>
        <v>35594.6</v>
      </c>
      <c r="DH22" s="108"/>
      <c r="DI22" s="15">
        <v>15</v>
      </c>
      <c r="DJ22" s="93">
        <v>864.1</v>
      </c>
      <c r="DK22" s="401">
        <v>44544</v>
      </c>
      <c r="DL22" s="93">
        <v>864.1</v>
      </c>
      <c r="DM22" s="404" t="s">
        <v>476</v>
      </c>
      <c r="DN22" s="403">
        <v>38</v>
      </c>
      <c r="DO22" s="635">
        <f t="shared" si="15"/>
        <v>32835.800000000003</v>
      </c>
      <c r="DR22" s="108"/>
      <c r="DS22" s="15">
        <v>15</v>
      </c>
      <c r="DT22" s="93">
        <v>901.74</v>
      </c>
      <c r="DU22" s="401">
        <v>44545</v>
      </c>
      <c r="DV22" s="93">
        <v>901.74</v>
      </c>
      <c r="DW22" s="404" t="s">
        <v>528</v>
      </c>
      <c r="DX22" s="403">
        <v>38</v>
      </c>
      <c r="DY22" s="627">
        <f t="shared" si="16"/>
        <v>34266.120000000003</v>
      </c>
      <c r="EB22" s="108"/>
      <c r="EC22" s="15">
        <v>15</v>
      </c>
      <c r="ED22" s="70">
        <v>899.9</v>
      </c>
      <c r="EE22" s="357">
        <v>44546</v>
      </c>
      <c r="EF22" s="70">
        <v>899.9</v>
      </c>
      <c r="EG22" s="71" t="s">
        <v>532</v>
      </c>
      <c r="EH22" s="72">
        <v>38</v>
      </c>
      <c r="EI22" s="627">
        <f t="shared" si="17"/>
        <v>34196.199999999997</v>
      </c>
      <c r="EL22" s="108"/>
      <c r="EM22" s="15">
        <v>15</v>
      </c>
      <c r="EN22" s="292">
        <v>919.4</v>
      </c>
      <c r="EO22" s="346">
        <v>44546</v>
      </c>
      <c r="EP22" s="292">
        <v>919.4</v>
      </c>
      <c r="EQ22" s="278" t="s">
        <v>531</v>
      </c>
      <c r="ER22" s="279">
        <v>38</v>
      </c>
      <c r="ES22" s="627">
        <f t="shared" si="18"/>
        <v>34937.199999999997</v>
      </c>
      <c r="EV22" s="108"/>
      <c r="EW22" s="15">
        <v>15</v>
      </c>
      <c r="EX22" s="70">
        <v>913.1</v>
      </c>
      <c r="EY22" s="357">
        <v>44548</v>
      </c>
      <c r="EZ22" s="70">
        <v>913.1</v>
      </c>
      <c r="FA22" s="278" t="s">
        <v>550</v>
      </c>
      <c r="FB22" s="72">
        <v>38</v>
      </c>
      <c r="FC22" s="338">
        <f t="shared" si="19"/>
        <v>34697.800000000003</v>
      </c>
      <c r="FF22" s="108"/>
      <c r="FG22" s="15">
        <v>15</v>
      </c>
      <c r="FH22" s="292">
        <v>903.1</v>
      </c>
      <c r="FI22" s="346">
        <v>44548</v>
      </c>
      <c r="FJ22" s="292">
        <v>903.1</v>
      </c>
      <c r="FK22" s="278" t="s">
        <v>538</v>
      </c>
      <c r="FL22" s="279">
        <v>38</v>
      </c>
      <c r="FM22" s="627">
        <f t="shared" si="20"/>
        <v>34317.800000000003</v>
      </c>
      <c r="FP22" s="108"/>
      <c r="FQ22" s="15">
        <v>15</v>
      </c>
      <c r="FR22" s="93">
        <v>889</v>
      </c>
      <c r="FS22" s="341">
        <v>44551</v>
      </c>
      <c r="FT22" s="93">
        <v>889</v>
      </c>
      <c r="FU22" s="71" t="s">
        <v>572</v>
      </c>
      <c r="FV22" s="72">
        <v>38</v>
      </c>
      <c r="FW22" s="627">
        <f t="shared" si="21"/>
        <v>33782</v>
      </c>
      <c r="FX22" s="72"/>
      <c r="FZ22" s="108"/>
      <c r="GA22" s="15">
        <v>15</v>
      </c>
      <c r="GB22" s="70">
        <v>928.5</v>
      </c>
      <c r="GC22" s="545">
        <v>44551</v>
      </c>
      <c r="GD22" s="70">
        <v>928.5</v>
      </c>
      <c r="GE22" s="278" t="s">
        <v>565</v>
      </c>
      <c r="GF22" s="279">
        <v>39</v>
      </c>
      <c r="GG22" s="338">
        <f t="shared" si="22"/>
        <v>36211.5</v>
      </c>
      <c r="GJ22" s="108"/>
      <c r="GK22" s="15">
        <v>15</v>
      </c>
      <c r="GL22" s="523">
        <v>913.1</v>
      </c>
      <c r="GM22" s="341">
        <v>44551</v>
      </c>
      <c r="GN22" s="523">
        <v>913.1</v>
      </c>
      <c r="GO22" s="96" t="s">
        <v>566</v>
      </c>
      <c r="GP22" s="72">
        <v>39</v>
      </c>
      <c r="GQ22" s="627">
        <f t="shared" si="23"/>
        <v>35610.9</v>
      </c>
      <c r="GT22" s="108"/>
      <c r="GU22" s="15">
        <v>15</v>
      </c>
      <c r="GV22" s="292">
        <v>925.8</v>
      </c>
      <c r="GW22" s="346">
        <v>44551</v>
      </c>
      <c r="GX22" s="292">
        <v>925.8</v>
      </c>
      <c r="GY22" s="334" t="s">
        <v>569</v>
      </c>
      <c r="GZ22" s="279">
        <v>39</v>
      </c>
      <c r="HA22" s="627">
        <f t="shared" si="24"/>
        <v>36106.199999999997</v>
      </c>
      <c r="HD22" s="108"/>
      <c r="HE22" s="15">
        <v>15</v>
      </c>
      <c r="HF22" s="93">
        <v>879.1</v>
      </c>
      <c r="HG22" s="341">
        <v>44552</v>
      </c>
      <c r="HH22" s="93">
        <v>879.1</v>
      </c>
      <c r="HI22" s="96" t="s">
        <v>582</v>
      </c>
      <c r="HJ22" s="72">
        <v>41</v>
      </c>
      <c r="HK22" s="338">
        <f t="shared" si="25"/>
        <v>36043.1</v>
      </c>
      <c r="HN22" s="108"/>
      <c r="HO22" s="15">
        <v>15</v>
      </c>
      <c r="HP22" s="292">
        <v>893.12</v>
      </c>
      <c r="HQ22" s="346">
        <v>44552</v>
      </c>
      <c r="HR22" s="292">
        <v>893.12</v>
      </c>
      <c r="HS22" s="406" t="s">
        <v>579</v>
      </c>
      <c r="HT22" s="279">
        <v>41</v>
      </c>
      <c r="HU22" s="627">
        <f t="shared" si="26"/>
        <v>36617.919999999998</v>
      </c>
      <c r="HX22" s="95"/>
      <c r="HY22" s="15">
        <v>15</v>
      </c>
      <c r="HZ22" s="70">
        <v>918.52</v>
      </c>
      <c r="IA22" s="357">
        <v>44553</v>
      </c>
      <c r="IB22" s="70">
        <v>918.52</v>
      </c>
      <c r="IC22" s="71" t="s">
        <v>592</v>
      </c>
      <c r="ID22" s="72">
        <v>42</v>
      </c>
      <c r="IE22" s="627">
        <f t="shared" si="27"/>
        <v>38577.839999999997</v>
      </c>
      <c r="IH22" s="95"/>
      <c r="II22" s="15">
        <v>15</v>
      </c>
      <c r="IJ22" s="70">
        <v>918.97</v>
      </c>
      <c r="IK22" s="357">
        <v>44553</v>
      </c>
      <c r="IL22" s="70">
        <v>918.97</v>
      </c>
      <c r="IM22" s="71" t="s">
        <v>599</v>
      </c>
      <c r="IN22" s="72">
        <v>41</v>
      </c>
      <c r="IO22" s="627">
        <f t="shared" si="28"/>
        <v>37677.770000000004</v>
      </c>
      <c r="IR22" s="108"/>
      <c r="IS22" s="15">
        <v>15</v>
      </c>
      <c r="IT22" s="292">
        <v>868.2</v>
      </c>
      <c r="IU22" s="258">
        <v>44554</v>
      </c>
      <c r="IV22" s="292">
        <v>868.2</v>
      </c>
      <c r="IW22" s="552" t="s">
        <v>611</v>
      </c>
      <c r="IX22" s="279">
        <v>41</v>
      </c>
      <c r="IY22" s="338">
        <f t="shared" si="29"/>
        <v>35596.200000000004</v>
      </c>
      <c r="IZ22" s="93"/>
      <c r="JB22" s="108"/>
      <c r="JC22" s="15">
        <v>15</v>
      </c>
      <c r="JD22" s="93">
        <v>865</v>
      </c>
      <c r="JE22" s="357">
        <v>44554</v>
      </c>
      <c r="JF22" s="93">
        <v>865</v>
      </c>
      <c r="JG22" s="71" t="s">
        <v>613</v>
      </c>
      <c r="JH22" s="72">
        <v>41</v>
      </c>
      <c r="JI22" s="627">
        <f t="shared" si="30"/>
        <v>35465</v>
      </c>
      <c r="JL22" s="108"/>
      <c r="JM22" s="15">
        <v>15</v>
      </c>
      <c r="JN22" s="93">
        <v>876.8</v>
      </c>
      <c r="JO22" s="341">
        <v>44554</v>
      </c>
      <c r="JP22" s="93">
        <v>876.8</v>
      </c>
      <c r="JQ22" s="71" t="s">
        <v>604</v>
      </c>
      <c r="JR22" s="72">
        <v>41</v>
      </c>
      <c r="JS22" s="627">
        <f t="shared" si="31"/>
        <v>35948.799999999996</v>
      </c>
      <c r="JV22" s="95"/>
      <c r="JW22" s="15">
        <v>15</v>
      </c>
      <c r="JX22" s="70">
        <v>938.5</v>
      </c>
      <c r="JY22" s="357">
        <v>44554</v>
      </c>
      <c r="JZ22" s="70">
        <v>938.5</v>
      </c>
      <c r="KA22" s="71" t="s">
        <v>605</v>
      </c>
      <c r="KB22" s="72">
        <v>41</v>
      </c>
      <c r="KC22" s="627">
        <f t="shared" si="32"/>
        <v>38478.5</v>
      </c>
      <c r="KF22" s="95"/>
      <c r="KG22" s="15">
        <v>15</v>
      </c>
      <c r="KH22" s="70">
        <v>908.1</v>
      </c>
      <c r="KI22" s="357">
        <v>44556</v>
      </c>
      <c r="KJ22" s="70">
        <v>908.1</v>
      </c>
      <c r="KK22" s="71" t="s">
        <v>618</v>
      </c>
      <c r="KL22" s="72">
        <v>41</v>
      </c>
      <c r="KM22" s="627">
        <f t="shared" si="33"/>
        <v>37232.1</v>
      </c>
      <c r="KP22" s="95"/>
      <c r="KQ22" s="15">
        <v>15</v>
      </c>
      <c r="KR22" s="70">
        <v>904</v>
      </c>
      <c r="KS22" s="357">
        <v>44558</v>
      </c>
      <c r="KT22" s="70">
        <v>904</v>
      </c>
      <c r="KU22" s="71" t="s">
        <v>636</v>
      </c>
      <c r="KV22" s="72">
        <v>42</v>
      </c>
      <c r="KW22" s="627">
        <f t="shared" si="34"/>
        <v>37968</v>
      </c>
      <c r="KZ22" s="108"/>
      <c r="LA22" s="15">
        <v>15</v>
      </c>
      <c r="LB22" s="93">
        <v>939.38</v>
      </c>
      <c r="LC22" s="341">
        <v>44558</v>
      </c>
      <c r="LD22" s="93">
        <v>939.38</v>
      </c>
      <c r="LE22" s="96" t="s">
        <v>642</v>
      </c>
      <c r="LF22" s="72">
        <v>42</v>
      </c>
      <c r="LG22" s="627">
        <f t="shared" si="35"/>
        <v>39453.96</v>
      </c>
      <c r="LJ22" s="108"/>
      <c r="LK22" s="15">
        <v>15</v>
      </c>
      <c r="LL22" s="292">
        <v>957.07</v>
      </c>
      <c r="LM22" s="341">
        <v>44559</v>
      </c>
      <c r="LN22" s="292">
        <v>957.07</v>
      </c>
      <c r="LO22" s="96" t="s">
        <v>655</v>
      </c>
      <c r="LP22" s="72">
        <v>42</v>
      </c>
      <c r="LQ22" s="627">
        <f t="shared" si="36"/>
        <v>40196.94</v>
      </c>
      <c r="LT22" s="108"/>
      <c r="LU22" s="15">
        <v>15</v>
      </c>
      <c r="LV22" s="93">
        <v>912.6</v>
      </c>
      <c r="LW22" s="341">
        <v>44559</v>
      </c>
      <c r="LX22" s="93">
        <v>912.6</v>
      </c>
      <c r="LY22" s="96" t="s">
        <v>649</v>
      </c>
      <c r="LZ22" s="72">
        <v>42</v>
      </c>
      <c r="MA22" s="627">
        <f t="shared" si="37"/>
        <v>38329.200000000004</v>
      </c>
      <c r="MB22" s="627"/>
      <c r="MD22" s="108"/>
      <c r="ME22" s="15">
        <v>15</v>
      </c>
      <c r="MF22" s="412">
        <v>875</v>
      </c>
      <c r="MG22" s="341">
        <v>44560</v>
      </c>
      <c r="MH22" s="412">
        <v>875</v>
      </c>
      <c r="MI22" s="96" t="s">
        <v>661</v>
      </c>
      <c r="MJ22" s="72">
        <v>43</v>
      </c>
      <c r="MK22" s="72">
        <f t="shared" si="38"/>
        <v>37625</v>
      </c>
      <c r="MN22" s="108"/>
      <c r="MO22" s="15">
        <v>15</v>
      </c>
      <c r="MP22" s="93">
        <v>861.84</v>
      </c>
      <c r="MQ22" s="341">
        <v>44560</v>
      </c>
      <c r="MR22" s="93">
        <v>861.84</v>
      </c>
      <c r="MS22" s="96" t="s">
        <v>663</v>
      </c>
      <c r="MT22" s="72">
        <v>43</v>
      </c>
      <c r="MU22" s="72">
        <f t="shared" si="39"/>
        <v>37059.120000000003</v>
      </c>
      <c r="MX22" s="108"/>
      <c r="MY22" s="15">
        <v>15</v>
      </c>
      <c r="MZ22" s="93">
        <v>894.5</v>
      </c>
      <c r="NA22" s="341">
        <v>44561</v>
      </c>
      <c r="NB22" s="93">
        <v>894.5</v>
      </c>
      <c r="NC22" s="96" t="s">
        <v>667</v>
      </c>
      <c r="ND22" s="72">
        <v>40</v>
      </c>
      <c r="NE22" s="72">
        <f t="shared" si="40"/>
        <v>35780</v>
      </c>
      <c r="NH22" s="108"/>
      <c r="NI22" s="15">
        <v>15</v>
      </c>
      <c r="NJ22" s="93">
        <v>927.6</v>
      </c>
      <c r="NK22" s="341"/>
      <c r="NL22" s="93"/>
      <c r="NM22" s="96"/>
      <c r="NN22" s="72"/>
      <c r="NO22" s="72">
        <f t="shared" si="41"/>
        <v>0</v>
      </c>
      <c r="NR22" s="108"/>
      <c r="NS22" s="15">
        <v>15</v>
      </c>
      <c r="NT22" s="93">
        <v>922.6</v>
      </c>
      <c r="NU22" s="341">
        <v>44563</v>
      </c>
      <c r="NV22" s="93">
        <v>922.6</v>
      </c>
      <c r="NW22" s="96" t="s">
        <v>682</v>
      </c>
      <c r="NX22" s="72">
        <v>34</v>
      </c>
      <c r="NY22" s="72">
        <f t="shared" si="42"/>
        <v>31368.400000000001</v>
      </c>
      <c r="OB22" s="108"/>
      <c r="OC22" s="15">
        <v>15</v>
      </c>
      <c r="OD22" s="93"/>
      <c r="OE22" s="341"/>
      <c r="OF22" s="93"/>
      <c r="OG22" s="96"/>
      <c r="OH22" s="72"/>
      <c r="OI22" s="72">
        <f t="shared" si="43"/>
        <v>0</v>
      </c>
      <c r="OL22" s="108"/>
      <c r="OM22" s="15">
        <v>15</v>
      </c>
      <c r="ON22" s="93"/>
      <c r="OO22" s="341"/>
      <c r="OP22" s="93"/>
      <c r="OQ22" s="96"/>
      <c r="OR22" s="72"/>
      <c r="OS22" s="72">
        <f t="shared" si="44"/>
        <v>0</v>
      </c>
      <c r="OV22" s="108"/>
      <c r="OW22" s="15">
        <v>15</v>
      </c>
      <c r="OX22" s="292"/>
      <c r="OY22" s="346"/>
      <c r="OZ22" s="292"/>
      <c r="PA22" s="334"/>
      <c r="PB22" s="279"/>
      <c r="PC22" s="279">
        <f t="shared" si="45"/>
        <v>0</v>
      </c>
      <c r="PF22" s="95"/>
      <c r="PG22" s="15">
        <v>15</v>
      </c>
      <c r="PH22" s="93"/>
      <c r="PI22" s="341"/>
      <c r="PJ22" s="93"/>
      <c r="PK22" s="96"/>
      <c r="PL22" s="72"/>
      <c r="PM22" s="72">
        <f t="shared" si="46"/>
        <v>0</v>
      </c>
      <c r="PP22" s="108"/>
      <c r="PQ22" s="15">
        <v>15</v>
      </c>
      <c r="PR22" s="93"/>
      <c r="PS22" s="341"/>
      <c r="PT22" s="93"/>
      <c r="PU22" s="96"/>
      <c r="PV22" s="72"/>
      <c r="PY22" s="108"/>
      <c r="PZ22" s="15">
        <v>15</v>
      </c>
      <c r="QA22" s="93"/>
      <c r="QB22" s="141"/>
      <c r="QC22" s="93"/>
      <c r="QD22" s="96"/>
      <c r="QE22" s="72"/>
      <c r="QH22" s="108"/>
      <c r="QI22" s="15">
        <v>15</v>
      </c>
      <c r="QJ22" s="93"/>
      <c r="QK22" s="341"/>
      <c r="QL22" s="93"/>
      <c r="QM22" s="96"/>
      <c r="QN22" s="72"/>
      <c r="QQ22" s="108"/>
      <c r="QR22" s="15">
        <v>15</v>
      </c>
      <c r="QS22" s="93"/>
      <c r="QT22" s="341"/>
      <c r="QU22" s="93"/>
      <c r="QV22" s="96"/>
      <c r="QW22" s="72"/>
      <c r="QZ22" s="108"/>
      <c r="RA22" s="15">
        <v>15</v>
      </c>
      <c r="RB22" s="93"/>
      <c r="RC22" s="341"/>
      <c r="RD22" s="93"/>
      <c r="RE22" s="96"/>
      <c r="RF22" s="72"/>
      <c r="RI22" s="108"/>
      <c r="RJ22" s="15">
        <v>15</v>
      </c>
      <c r="RK22" s="93"/>
      <c r="RL22" s="341"/>
      <c r="RM22" s="93"/>
      <c r="RN22" s="96"/>
      <c r="RO22" s="400"/>
      <c r="RR22" s="108"/>
      <c r="RS22" s="15">
        <v>15</v>
      </c>
      <c r="RT22" s="93"/>
      <c r="RU22" s="141"/>
      <c r="RV22" s="93"/>
      <c r="RW22" s="96"/>
      <c r="RX22" s="72"/>
      <c r="SA22" s="108"/>
      <c r="SB22" s="15">
        <v>15</v>
      </c>
      <c r="SC22" s="93"/>
      <c r="SD22" s="80"/>
      <c r="SE22" s="93"/>
      <c r="SF22" s="96"/>
      <c r="SG22" s="72"/>
      <c r="SJ22" s="108"/>
      <c r="SK22" s="15">
        <v>15</v>
      </c>
      <c r="SL22" s="93"/>
      <c r="SM22" s="80"/>
      <c r="SN22" s="93"/>
      <c r="SO22" s="96"/>
      <c r="SP22" s="72"/>
      <c r="SS22" s="108"/>
      <c r="ST22" s="15"/>
      <c r="SU22" s="93"/>
      <c r="SV22" s="80"/>
      <c r="SW22" s="93"/>
      <c r="SX22" s="96"/>
      <c r="SY22" s="72"/>
      <c r="TB22" s="108"/>
      <c r="TC22" s="15">
        <v>15</v>
      </c>
      <c r="TD22" s="93"/>
      <c r="TE22" s="411"/>
      <c r="TF22" s="189"/>
      <c r="TG22" s="404"/>
      <c r="TH22" s="403"/>
      <c r="TK22" s="108"/>
      <c r="TL22" s="15"/>
      <c r="TM22" s="93"/>
      <c r="TN22" s="80"/>
      <c r="TO22" s="93"/>
      <c r="TP22" s="96"/>
      <c r="TQ22" s="72"/>
      <c r="TT22" s="108"/>
      <c r="TU22" s="15">
        <v>15</v>
      </c>
      <c r="TV22" s="93"/>
      <c r="TW22" s="80"/>
      <c r="TX22" s="93"/>
      <c r="TY22" s="96"/>
      <c r="TZ22" s="72"/>
      <c r="UC22" s="108"/>
      <c r="UD22" s="15"/>
      <c r="UE22" s="93"/>
      <c r="UF22" s="80"/>
      <c r="UG22" s="93"/>
      <c r="UH22" s="96"/>
      <c r="UI22" s="72"/>
      <c r="UL22" s="108"/>
      <c r="UM22" s="15">
        <v>15</v>
      </c>
      <c r="UN22" s="93"/>
      <c r="UO22" s="80"/>
      <c r="UP22" s="93"/>
      <c r="UQ22" s="96"/>
      <c r="UR22" s="72"/>
      <c r="UU22" s="108"/>
      <c r="UV22" s="15">
        <v>15</v>
      </c>
      <c r="UW22" s="93"/>
      <c r="UX22" s="80"/>
      <c r="UY22" s="93"/>
      <c r="UZ22" s="96"/>
      <c r="VA22" s="72"/>
      <c r="VD22" s="108"/>
      <c r="VE22" s="15">
        <v>15</v>
      </c>
      <c r="VF22" s="93"/>
      <c r="VG22" s="80"/>
      <c r="VH22" s="93"/>
      <c r="VI22" s="96"/>
      <c r="VJ22" s="72"/>
      <c r="VM22" s="108"/>
      <c r="VN22" s="15">
        <v>15</v>
      </c>
      <c r="VO22" s="93"/>
      <c r="VP22" s="80"/>
      <c r="VQ22" s="93"/>
      <c r="VR22" s="96"/>
      <c r="VS22" s="72"/>
      <c r="VV22" s="108"/>
      <c r="VW22" s="15">
        <v>15</v>
      </c>
      <c r="VX22" s="93"/>
      <c r="VY22" s="80"/>
      <c r="VZ22" s="93"/>
      <c r="WA22" s="96"/>
      <c r="WB22" s="72"/>
      <c r="WE22" s="108"/>
      <c r="WF22" s="15">
        <v>15</v>
      </c>
      <c r="WG22" s="93"/>
      <c r="WH22" s="80"/>
      <c r="WI22" s="93"/>
      <c r="WJ22" s="96"/>
      <c r="WK22" s="72"/>
      <c r="WN22" s="108"/>
      <c r="WO22" s="15">
        <v>15</v>
      </c>
      <c r="WP22" s="93"/>
      <c r="WQ22" s="80"/>
      <c r="WR22" s="93"/>
      <c r="WS22" s="96"/>
      <c r="WT22" s="72"/>
      <c r="WW22" s="108"/>
      <c r="WX22" s="15">
        <v>15</v>
      </c>
      <c r="WY22" s="93"/>
      <c r="WZ22" s="80"/>
      <c r="XA22" s="93"/>
      <c r="XB22" s="96"/>
      <c r="XC22" s="72"/>
      <c r="XF22" s="108"/>
      <c r="XG22" s="15">
        <v>15</v>
      </c>
      <c r="XH22" s="93"/>
      <c r="XI22" s="80"/>
      <c r="XJ22" s="93"/>
      <c r="XK22" s="96"/>
      <c r="XL22" s="72"/>
      <c r="XO22" s="108"/>
      <c r="XP22" s="15">
        <v>15</v>
      </c>
      <c r="XQ22" s="93"/>
      <c r="XR22" s="80"/>
      <c r="XS22" s="93"/>
      <c r="XT22" s="96"/>
      <c r="XU22" s="72"/>
      <c r="XX22" s="108"/>
      <c r="XY22" s="15">
        <v>15</v>
      </c>
      <c r="XZ22" s="93"/>
      <c r="YA22" s="80"/>
      <c r="YB22" s="93"/>
      <c r="YC22" s="96"/>
      <c r="YD22" s="72"/>
      <c r="YG22" s="108"/>
      <c r="YH22" s="15">
        <v>15</v>
      </c>
      <c r="YI22" s="93"/>
      <c r="YJ22" s="80"/>
      <c r="YK22" s="93"/>
      <c r="YL22" s="96"/>
      <c r="YM22" s="72"/>
      <c r="YP22" s="108"/>
      <c r="YQ22" s="15">
        <v>15</v>
      </c>
      <c r="YR22" s="93"/>
      <c r="YS22" s="80"/>
      <c r="YT22" s="93"/>
      <c r="YU22" s="96"/>
      <c r="YV22" s="72"/>
      <c r="YY22" s="108"/>
      <c r="YZ22" s="15">
        <v>15</v>
      </c>
      <c r="ZA22" s="93"/>
      <c r="ZB22" s="80"/>
      <c r="ZC22" s="93"/>
      <c r="ZD22" s="96"/>
      <c r="ZE22" s="72"/>
      <c r="ZH22" s="108"/>
      <c r="ZI22" s="15">
        <v>15</v>
      </c>
      <c r="ZJ22" s="93"/>
      <c r="ZK22" s="80"/>
      <c r="ZL22" s="93"/>
      <c r="ZM22" s="96"/>
      <c r="ZN22" s="72"/>
      <c r="ZQ22" s="108"/>
      <c r="ZR22" s="15">
        <v>15</v>
      </c>
      <c r="ZS22" s="93"/>
      <c r="ZT22" s="80"/>
      <c r="ZU22" s="93"/>
      <c r="ZV22" s="96"/>
      <c r="ZW22" s="72"/>
      <c r="ZZ22" s="108"/>
      <c r="AAA22" s="15">
        <v>15</v>
      </c>
      <c r="AAB22" s="93"/>
      <c r="AAC22" s="80"/>
      <c r="AAD22" s="93"/>
      <c r="AAE22" s="96"/>
      <c r="AAF22" s="72"/>
      <c r="AAI22" s="108"/>
      <c r="AAJ22" s="15">
        <v>15</v>
      </c>
      <c r="AAK22" s="93"/>
      <c r="AAL22" s="80"/>
      <c r="AAM22" s="93"/>
      <c r="AAN22" s="96"/>
      <c r="AAO22" s="72"/>
      <c r="AAR22" s="108"/>
      <c r="AAS22" s="15">
        <v>15</v>
      </c>
      <c r="AAT22" s="93"/>
      <c r="AAU22" s="80"/>
      <c r="AAV22" s="93"/>
      <c r="AAW22" s="96"/>
      <c r="AAX22" s="72"/>
      <c r="ABA22" s="108"/>
      <c r="ABB22" s="15">
        <v>15</v>
      </c>
      <c r="ABC22" s="93"/>
      <c r="ABD22" s="80"/>
      <c r="ABE22" s="93"/>
      <c r="ABF22" s="96"/>
      <c r="ABG22" s="72"/>
      <c r="ABJ22" s="108"/>
      <c r="ABK22" s="15">
        <v>15</v>
      </c>
      <c r="ABL22" s="93"/>
      <c r="ABM22" s="80"/>
      <c r="ABN22" s="93"/>
      <c r="ABO22" s="96"/>
      <c r="ABP22" s="72"/>
      <c r="ABS22" s="108"/>
      <c r="ABT22" s="15">
        <v>15</v>
      </c>
      <c r="ABU22" s="93"/>
      <c r="ABV22" s="80"/>
      <c r="ABW22" s="93"/>
      <c r="ABX22" s="96"/>
      <c r="ABY22" s="72"/>
      <c r="ACB22" s="108"/>
      <c r="ACC22" s="15">
        <v>15</v>
      </c>
      <c r="ACD22" s="93"/>
      <c r="ACE22" s="80"/>
      <c r="ACF22" s="93"/>
      <c r="ACG22" s="96"/>
      <c r="ACH22" s="72"/>
      <c r="ACK22" s="108"/>
      <c r="ACL22" s="15">
        <v>15</v>
      </c>
      <c r="ACM22" s="93"/>
      <c r="ACN22" s="80"/>
      <c r="ACO22" s="93"/>
      <c r="ACP22" s="96"/>
      <c r="ACQ22" s="72"/>
      <c r="ACT22" s="108"/>
      <c r="ACU22" s="15">
        <v>15</v>
      </c>
      <c r="ACV22" s="93"/>
      <c r="ACW22" s="80"/>
      <c r="ACX22" s="93"/>
      <c r="ACY22" s="96"/>
      <c r="ACZ22" s="72"/>
      <c r="ADC22" s="108"/>
      <c r="ADD22" s="15">
        <v>15</v>
      </c>
      <c r="ADE22" s="93"/>
      <c r="ADF22" s="80"/>
      <c r="ADG22" s="93"/>
      <c r="ADH22" s="96"/>
      <c r="ADI22" s="72"/>
      <c r="ADL22" s="108"/>
      <c r="ADM22" s="15">
        <v>15</v>
      </c>
      <c r="ADN22" s="93"/>
      <c r="ADO22" s="80"/>
      <c r="ADP22" s="93"/>
      <c r="ADQ22" s="96"/>
      <c r="ADR22" s="72"/>
      <c r="ADU22" s="108"/>
      <c r="ADV22" s="15">
        <v>15</v>
      </c>
      <c r="ADW22" s="93"/>
      <c r="ADX22" s="80"/>
      <c r="ADY22" s="93"/>
      <c r="ADZ22" s="96"/>
      <c r="AEA22" s="72"/>
      <c r="AED22" s="108"/>
      <c r="AEE22" s="15">
        <v>15</v>
      </c>
      <c r="AEF22" s="93"/>
      <c r="AEG22" s="80"/>
      <c r="AEH22" s="93"/>
      <c r="AEI22" s="96"/>
      <c r="AEJ22" s="72"/>
      <c r="AEM22" s="108"/>
      <c r="AEN22" s="15">
        <v>15</v>
      </c>
      <c r="AEO22" s="93"/>
      <c r="AEP22" s="80"/>
      <c r="AEQ22" s="93"/>
      <c r="AER22" s="96"/>
      <c r="AES22" s="72"/>
    </row>
    <row r="23" spans="1:828" x14ac:dyDescent="0.25">
      <c r="A23" s="143">
        <v>20</v>
      </c>
      <c r="B23" s="76" t="str">
        <f t="shared" ref="B23:H23" si="61">GS5</f>
        <v>SEABOARD FOODS</v>
      </c>
      <c r="C23" s="76" t="str">
        <f>GT5</f>
        <v>Seaboard</v>
      </c>
      <c r="D23" s="104" t="str">
        <f>GU5</f>
        <v>PED. 75232363</v>
      </c>
      <c r="E23" s="141">
        <f t="shared" si="61"/>
        <v>44551</v>
      </c>
      <c r="F23" s="87">
        <f t="shared" si="61"/>
        <v>19089.04</v>
      </c>
      <c r="G23" s="74">
        <f t="shared" si="61"/>
        <v>21</v>
      </c>
      <c r="H23" s="48">
        <f t="shared" si="61"/>
        <v>19026.8</v>
      </c>
      <c r="I23" s="107">
        <f>F23-H23</f>
        <v>62.240000000001601</v>
      </c>
      <c r="L23" s="108"/>
      <c r="M23" s="15">
        <v>16</v>
      </c>
      <c r="N23" s="292">
        <v>901.7</v>
      </c>
      <c r="O23" s="341">
        <v>44537</v>
      </c>
      <c r="P23" s="292">
        <v>901.7</v>
      </c>
      <c r="Q23" s="96" t="s">
        <v>455</v>
      </c>
      <c r="R23" s="72">
        <v>37</v>
      </c>
      <c r="S23" s="627">
        <f t="shared" si="6"/>
        <v>33362.9</v>
      </c>
      <c r="T23" s="255"/>
      <c r="V23" s="108"/>
      <c r="W23" s="15">
        <v>16</v>
      </c>
      <c r="X23" s="292">
        <v>919.4</v>
      </c>
      <c r="Y23" s="346">
        <v>44538</v>
      </c>
      <c r="Z23" s="292">
        <v>919.4</v>
      </c>
      <c r="AA23" s="406" t="s">
        <v>469</v>
      </c>
      <c r="AB23" s="279">
        <v>37</v>
      </c>
      <c r="AC23" s="338">
        <f t="shared" si="7"/>
        <v>34017.799999999996</v>
      </c>
      <c r="AF23" s="108"/>
      <c r="AG23" s="15">
        <v>16</v>
      </c>
      <c r="AH23" s="93">
        <v>938</v>
      </c>
      <c r="AI23" s="341">
        <v>44537</v>
      </c>
      <c r="AJ23" s="93">
        <v>938</v>
      </c>
      <c r="AK23" s="96" t="s">
        <v>465</v>
      </c>
      <c r="AL23" s="72">
        <v>37</v>
      </c>
      <c r="AM23" s="630">
        <f t="shared" si="8"/>
        <v>34706</v>
      </c>
      <c r="AP23" s="108"/>
      <c r="AQ23" s="15">
        <v>16</v>
      </c>
      <c r="AR23" s="335">
        <v>933.03</v>
      </c>
      <c r="AS23" s="346">
        <v>44538</v>
      </c>
      <c r="AT23" s="335">
        <v>933.03</v>
      </c>
      <c r="AU23" s="334" t="s">
        <v>488</v>
      </c>
      <c r="AV23" s="279">
        <v>37</v>
      </c>
      <c r="AW23" s="338">
        <f t="shared" si="9"/>
        <v>34522.11</v>
      </c>
      <c r="AZ23" s="108"/>
      <c r="BA23" s="15">
        <v>16</v>
      </c>
      <c r="BB23" s="93">
        <v>915.34</v>
      </c>
      <c r="BC23" s="141">
        <v>44539</v>
      </c>
      <c r="BD23" s="93">
        <v>915.34</v>
      </c>
      <c r="BE23" s="96" t="s">
        <v>459</v>
      </c>
      <c r="BF23" s="400">
        <v>36</v>
      </c>
      <c r="BG23" s="646">
        <f t="shared" si="10"/>
        <v>32952.239999999998</v>
      </c>
      <c r="BJ23" s="108"/>
      <c r="BK23" s="15">
        <v>16</v>
      </c>
      <c r="BL23" s="93">
        <v>881.3</v>
      </c>
      <c r="BM23" s="141">
        <v>44540</v>
      </c>
      <c r="BN23" s="93">
        <v>881.3</v>
      </c>
      <c r="BO23" s="96" t="s">
        <v>483</v>
      </c>
      <c r="BP23" s="400">
        <v>36</v>
      </c>
      <c r="BQ23" s="857">
        <f t="shared" si="11"/>
        <v>31726.799999999999</v>
      </c>
      <c r="BT23" s="108"/>
      <c r="BU23" s="276">
        <v>16</v>
      </c>
      <c r="BV23" s="292">
        <v>914.6</v>
      </c>
      <c r="BW23" s="401">
        <v>44541</v>
      </c>
      <c r="BX23" s="292">
        <v>914.6</v>
      </c>
      <c r="BY23" s="402" t="s">
        <v>508</v>
      </c>
      <c r="BZ23" s="403">
        <v>36</v>
      </c>
      <c r="CA23" s="627">
        <f t="shared" si="12"/>
        <v>32925.599999999999</v>
      </c>
      <c r="CD23" s="909"/>
      <c r="CE23" s="15">
        <v>16</v>
      </c>
      <c r="CF23" s="93">
        <v>940.7</v>
      </c>
      <c r="CG23" s="401">
        <v>44541</v>
      </c>
      <c r="CH23" s="93">
        <v>940.7</v>
      </c>
      <c r="CI23" s="404" t="s">
        <v>474</v>
      </c>
      <c r="CJ23" s="403">
        <v>36</v>
      </c>
      <c r="CK23" s="627">
        <f t="shared" si="13"/>
        <v>33865.200000000004</v>
      </c>
      <c r="CN23" s="673"/>
      <c r="CO23" s="15">
        <v>16</v>
      </c>
      <c r="CP23" s="292">
        <v>877.2</v>
      </c>
      <c r="CQ23" s="401">
        <v>44545</v>
      </c>
      <c r="CR23" s="292">
        <v>877.2</v>
      </c>
      <c r="CS23" s="404" t="s">
        <v>464</v>
      </c>
      <c r="CT23" s="403">
        <v>38</v>
      </c>
      <c r="CU23" s="635">
        <f t="shared" si="48"/>
        <v>33333.599999999999</v>
      </c>
      <c r="CX23" s="108"/>
      <c r="CY23" s="15">
        <v>16</v>
      </c>
      <c r="CZ23" s="93">
        <v>927.6</v>
      </c>
      <c r="DA23" s="341">
        <v>44544</v>
      </c>
      <c r="DB23" s="93">
        <v>927.6</v>
      </c>
      <c r="DC23" s="96" t="s">
        <v>516</v>
      </c>
      <c r="DD23" s="72">
        <v>38</v>
      </c>
      <c r="DE23" s="627">
        <f t="shared" si="14"/>
        <v>35248.800000000003</v>
      </c>
      <c r="DH23" s="108"/>
      <c r="DI23" s="15">
        <v>16</v>
      </c>
      <c r="DJ23" s="93">
        <v>912.2</v>
      </c>
      <c r="DK23" s="401">
        <v>44544</v>
      </c>
      <c r="DL23" s="93">
        <v>912.2</v>
      </c>
      <c r="DM23" s="404" t="s">
        <v>521</v>
      </c>
      <c r="DN23" s="403">
        <v>38</v>
      </c>
      <c r="DO23" s="635">
        <f t="shared" si="15"/>
        <v>34663.599999999999</v>
      </c>
      <c r="DR23" s="108"/>
      <c r="DS23" s="15">
        <v>16</v>
      </c>
      <c r="DT23" s="93">
        <v>972.95</v>
      </c>
      <c r="DU23" s="401">
        <v>44545</v>
      </c>
      <c r="DV23" s="93">
        <v>972.95</v>
      </c>
      <c r="DW23" s="404" t="s">
        <v>487</v>
      </c>
      <c r="DX23" s="403">
        <v>38</v>
      </c>
      <c r="DY23" s="627">
        <f t="shared" si="16"/>
        <v>36972.1</v>
      </c>
      <c r="EB23" s="108"/>
      <c r="EC23" s="15">
        <v>16</v>
      </c>
      <c r="ED23" s="70">
        <v>938</v>
      </c>
      <c r="EE23" s="357">
        <v>44546</v>
      </c>
      <c r="EF23" s="70">
        <v>938</v>
      </c>
      <c r="EG23" s="71" t="s">
        <v>532</v>
      </c>
      <c r="EH23" s="72">
        <v>38</v>
      </c>
      <c r="EI23" s="627">
        <f t="shared" si="17"/>
        <v>35644</v>
      </c>
      <c r="EL23" s="108"/>
      <c r="EM23" s="15">
        <v>16</v>
      </c>
      <c r="EN23" s="292">
        <v>900.4</v>
      </c>
      <c r="EO23" s="346">
        <v>44546</v>
      </c>
      <c r="EP23" s="292">
        <v>900.4</v>
      </c>
      <c r="EQ23" s="278" t="s">
        <v>531</v>
      </c>
      <c r="ER23" s="279">
        <v>38</v>
      </c>
      <c r="ES23" s="627">
        <f t="shared" si="18"/>
        <v>34215.199999999997</v>
      </c>
      <c r="EV23" s="108"/>
      <c r="EW23" s="15">
        <v>16</v>
      </c>
      <c r="EX23" s="70">
        <v>909.4</v>
      </c>
      <c r="EY23" s="357">
        <v>44548</v>
      </c>
      <c r="EZ23" s="70">
        <v>909.4</v>
      </c>
      <c r="FA23" s="278" t="s">
        <v>550</v>
      </c>
      <c r="FB23" s="72">
        <v>38</v>
      </c>
      <c r="FC23" s="338">
        <f t="shared" si="19"/>
        <v>34557.199999999997</v>
      </c>
      <c r="FF23" s="108"/>
      <c r="FG23" s="15">
        <v>16</v>
      </c>
      <c r="FH23" s="292">
        <v>903.1</v>
      </c>
      <c r="FI23" s="346">
        <v>44548</v>
      </c>
      <c r="FJ23" s="292">
        <v>903.1</v>
      </c>
      <c r="FK23" s="278" t="s">
        <v>538</v>
      </c>
      <c r="FL23" s="279">
        <v>38</v>
      </c>
      <c r="FM23" s="627">
        <f t="shared" si="20"/>
        <v>34317.800000000003</v>
      </c>
      <c r="FP23" s="108"/>
      <c r="FQ23" s="15">
        <v>16</v>
      </c>
      <c r="FR23" s="93">
        <v>937.6</v>
      </c>
      <c r="FS23" s="341">
        <v>44551</v>
      </c>
      <c r="FT23" s="93">
        <v>937.6</v>
      </c>
      <c r="FU23" s="71" t="s">
        <v>572</v>
      </c>
      <c r="FV23" s="72">
        <v>38</v>
      </c>
      <c r="FW23" s="627">
        <f t="shared" si="21"/>
        <v>35628.800000000003</v>
      </c>
      <c r="FX23" s="72"/>
      <c r="FZ23" s="108"/>
      <c r="GA23" s="15">
        <v>16</v>
      </c>
      <c r="GB23" s="70">
        <v>886.8</v>
      </c>
      <c r="GC23" s="545">
        <v>44551</v>
      </c>
      <c r="GD23" s="70">
        <v>886.8</v>
      </c>
      <c r="GE23" s="278" t="s">
        <v>565</v>
      </c>
      <c r="GF23" s="279">
        <v>39</v>
      </c>
      <c r="GG23" s="338">
        <f t="shared" si="22"/>
        <v>34585.199999999997</v>
      </c>
      <c r="GJ23" s="108"/>
      <c r="GK23" s="15">
        <v>16</v>
      </c>
      <c r="GL23" s="523">
        <v>908.5</v>
      </c>
      <c r="GM23" s="341">
        <v>44551</v>
      </c>
      <c r="GN23" s="523">
        <v>908.5</v>
      </c>
      <c r="GO23" s="96" t="s">
        <v>567</v>
      </c>
      <c r="GP23" s="72">
        <v>39</v>
      </c>
      <c r="GQ23" s="627">
        <f t="shared" si="23"/>
        <v>35431.5</v>
      </c>
      <c r="GT23" s="108"/>
      <c r="GU23" s="15">
        <v>16</v>
      </c>
      <c r="GV23" s="292">
        <v>882.2</v>
      </c>
      <c r="GW23" s="346">
        <v>44551</v>
      </c>
      <c r="GX23" s="292">
        <v>882.2</v>
      </c>
      <c r="GY23" s="334" t="s">
        <v>569</v>
      </c>
      <c r="GZ23" s="279">
        <v>39</v>
      </c>
      <c r="HA23" s="627">
        <f t="shared" si="24"/>
        <v>34405.800000000003</v>
      </c>
      <c r="HD23" s="108"/>
      <c r="HE23" s="15">
        <v>16</v>
      </c>
      <c r="HF23" s="93">
        <v>904.9</v>
      </c>
      <c r="HG23" s="341">
        <v>44552</v>
      </c>
      <c r="HH23" s="93">
        <v>904.9</v>
      </c>
      <c r="HI23" s="96" t="s">
        <v>582</v>
      </c>
      <c r="HJ23" s="72">
        <v>41</v>
      </c>
      <c r="HK23" s="338">
        <f t="shared" si="25"/>
        <v>37100.9</v>
      </c>
      <c r="HN23" s="108"/>
      <c r="HO23" s="15">
        <v>16</v>
      </c>
      <c r="HP23" s="292">
        <v>916.71</v>
      </c>
      <c r="HQ23" s="346">
        <v>44552</v>
      </c>
      <c r="HR23" s="292">
        <v>916.71</v>
      </c>
      <c r="HS23" s="406" t="s">
        <v>579</v>
      </c>
      <c r="HT23" s="279">
        <v>41</v>
      </c>
      <c r="HU23" s="627">
        <f t="shared" si="26"/>
        <v>37585.11</v>
      </c>
      <c r="HX23" s="95"/>
      <c r="HY23" s="15">
        <v>16</v>
      </c>
      <c r="HZ23" s="70">
        <v>963.88</v>
      </c>
      <c r="IA23" s="357">
        <v>44553</v>
      </c>
      <c r="IB23" s="70">
        <v>963.88</v>
      </c>
      <c r="IC23" s="71" t="s">
        <v>592</v>
      </c>
      <c r="ID23" s="72">
        <v>42</v>
      </c>
      <c r="IE23" s="627">
        <f t="shared" si="27"/>
        <v>40482.959999999999</v>
      </c>
      <c r="IH23" s="95"/>
      <c r="II23" s="15">
        <v>16</v>
      </c>
      <c r="IJ23" s="70">
        <v>915.34</v>
      </c>
      <c r="IK23" s="357">
        <v>44553</v>
      </c>
      <c r="IL23" s="70">
        <v>915.34</v>
      </c>
      <c r="IM23" s="71" t="s">
        <v>599</v>
      </c>
      <c r="IN23" s="72">
        <v>41</v>
      </c>
      <c r="IO23" s="627">
        <f t="shared" si="28"/>
        <v>37528.94</v>
      </c>
      <c r="IR23" s="108"/>
      <c r="IS23" s="15">
        <v>16</v>
      </c>
      <c r="IT23" s="292">
        <v>876.3</v>
      </c>
      <c r="IU23" s="258">
        <v>44554</v>
      </c>
      <c r="IV23" s="292">
        <v>876.3</v>
      </c>
      <c r="IW23" s="552" t="s">
        <v>611</v>
      </c>
      <c r="IX23" s="279">
        <v>41</v>
      </c>
      <c r="IY23" s="338">
        <f t="shared" si="29"/>
        <v>35928.299999999996</v>
      </c>
      <c r="IZ23" s="107"/>
      <c r="JA23" s="70"/>
      <c r="JB23" s="108"/>
      <c r="JC23" s="15">
        <v>16</v>
      </c>
      <c r="JD23" s="93">
        <v>890.4</v>
      </c>
      <c r="JE23" s="357">
        <v>44554</v>
      </c>
      <c r="JF23" s="93">
        <v>890.4</v>
      </c>
      <c r="JG23" s="71" t="s">
        <v>613</v>
      </c>
      <c r="JH23" s="72">
        <v>41</v>
      </c>
      <c r="JI23" s="627">
        <f t="shared" si="30"/>
        <v>36506.400000000001</v>
      </c>
      <c r="JL23" s="108"/>
      <c r="JM23" s="15">
        <v>16</v>
      </c>
      <c r="JN23" s="93">
        <v>879.1</v>
      </c>
      <c r="JO23" s="341">
        <v>44554</v>
      </c>
      <c r="JP23" s="93">
        <v>879.1</v>
      </c>
      <c r="JQ23" s="71" t="s">
        <v>604</v>
      </c>
      <c r="JR23" s="72">
        <v>41</v>
      </c>
      <c r="JS23" s="627">
        <f t="shared" si="31"/>
        <v>36043.1</v>
      </c>
      <c r="JV23" s="95"/>
      <c r="JW23" s="15">
        <v>16</v>
      </c>
      <c r="JX23" s="70">
        <v>906.7</v>
      </c>
      <c r="JY23" s="357">
        <v>44554</v>
      </c>
      <c r="JZ23" s="70">
        <v>906.7</v>
      </c>
      <c r="KA23" s="71" t="s">
        <v>605</v>
      </c>
      <c r="KB23" s="72">
        <v>41</v>
      </c>
      <c r="KC23" s="627">
        <f t="shared" si="32"/>
        <v>37174.700000000004</v>
      </c>
      <c r="KF23" s="95"/>
      <c r="KG23" s="15">
        <v>16</v>
      </c>
      <c r="KH23" s="70">
        <v>909.9</v>
      </c>
      <c r="KI23" s="357">
        <v>44556</v>
      </c>
      <c r="KJ23" s="70">
        <v>909.9</v>
      </c>
      <c r="KK23" s="71" t="s">
        <v>618</v>
      </c>
      <c r="KL23" s="72">
        <v>41</v>
      </c>
      <c r="KM23" s="627">
        <f t="shared" si="33"/>
        <v>37305.9</v>
      </c>
      <c r="KP23" s="95"/>
      <c r="KQ23" s="15">
        <v>16</v>
      </c>
      <c r="KR23" s="70">
        <v>913.1</v>
      </c>
      <c r="KS23" s="357">
        <v>44558</v>
      </c>
      <c r="KT23" s="70">
        <v>913.1</v>
      </c>
      <c r="KU23" s="71" t="s">
        <v>636</v>
      </c>
      <c r="KV23" s="72">
        <v>42</v>
      </c>
      <c r="KW23" s="627">
        <f t="shared" si="34"/>
        <v>38350.200000000004</v>
      </c>
      <c r="KZ23" s="108"/>
      <c r="LA23" s="15">
        <v>16</v>
      </c>
      <c r="LB23" s="93">
        <v>942.11</v>
      </c>
      <c r="LC23" s="341">
        <v>44558</v>
      </c>
      <c r="LD23" s="93">
        <v>942.11</v>
      </c>
      <c r="LE23" s="96" t="s">
        <v>642</v>
      </c>
      <c r="LF23" s="72">
        <v>42</v>
      </c>
      <c r="LG23" s="627">
        <f t="shared" si="35"/>
        <v>39568.620000000003</v>
      </c>
      <c r="LJ23" s="108"/>
      <c r="LK23" s="15">
        <v>16</v>
      </c>
      <c r="LL23" s="292">
        <v>935.3</v>
      </c>
      <c r="LM23" s="341">
        <v>44559</v>
      </c>
      <c r="LN23" s="292">
        <v>935.3</v>
      </c>
      <c r="LO23" s="96" t="s">
        <v>655</v>
      </c>
      <c r="LP23" s="72">
        <v>42</v>
      </c>
      <c r="LQ23" s="627">
        <f t="shared" si="36"/>
        <v>39282.6</v>
      </c>
      <c r="LT23" s="108"/>
      <c r="LU23" s="15">
        <v>16</v>
      </c>
      <c r="LV23" s="93">
        <v>913.5</v>
      </c>
      <c r="LW23" s="341">
        <v>44559</v>
      </c>
      <c r="LX23" s="93">
        <v>913.5</v>
      </c>
      <c r="LY23" s="96" t="s">
        <v>649</v>
      </c>
      <c r="LZ23" s="72">
        <v>42</v>
      </c>
      <c r="MA23" s="627">
        <f t="shared" si="37"/>
        <v>38367</v>
      </c>
      <c r="MB23" s="627"/>
      <c r="MD23" s="108"/>
      <c r="ME23" s="15">
        <v>16</v>
      </c>
      <c r="MF23" s="412">
        <v>924.9</v>
      </c>
      <c r="MG23" s="341">
        <v>44560</v>
      </c>
      <c r="MH23" s="412">
        <v>924.9</v>
      </c>
      <c r="MI23" s="96" t="s">
        <v>661</v>
      </c>
      <c r="MJ23" s="72">
        <v>43</v>
      </c>
      <c r="MK23" s="72">
        <f t="shared" si="38"/>
        <v>39770.699999999997</v>
      </c>
      <c r="MN23" s="108"/>
      <c r="MO23" s="15">
        <v>16</v>
      </c>
      <c r="MP23" s="93">
        <v>910.38</v>
      </c>
      <c r="MQ23" s="341">
        <v>44560</v>
      </c>
      <c r="MR23" s="93">
        <v>910.38</v>
      </c>
      <c r="MS23" s="96" t="s">
        <v>665</v>
      </c>
      <c r="MT23" s="72">
        <v>43</v>
      </c>
      <c r="MU23" s="72">
        <f t="shared" si="39"/>
        <v>39146.339999999997</v>
      </c>
      <c r="MX23" s="108"/>
      <c r="MY23" s="15">
        <v>16</v>
      </c>
      <c r="MZ23" s="93">
        <v>899.9</v>
      </c>
      <c r="NA23" s="341">
        <v>44561</v>
      </c>
      <c r="NB23" s="93">
        <v>899.9</v>
      </c>
      <c r="NC23" s="96" t="s">
        <v>667</v>
      </c>
      <c r="ND23" s="72">
        <v>40</v>
      </c>
      <c r="NE23" s="72">
        <f t="shared" si="40"/>
        <v>35996</v>
      </c>
      <c r="NH23" s="108"/>
      <c r="NI23" s="15">
        <v>16</v>
      </c>
      <c r="NJ23" s="93">
        <v>917.2</v>
      </c>
      <c r="NK23" s="341"/>
      <c r="NL23" s="93"/>
      <c r="NM23" s="96"/>
      <c r="NN23" s="72"/>
      <c r="NO23" s="72">
        <f t="shared" si="41"/>
        <v>0</v>
      </c>
      <c r="NR23" s="108"/>
      <c r="NS23" s="15">
        <v>16</v>
      </c>
      <c r="NT23" s="93">
        <v>940.7</v>
      </c>
      <c r="NU23" s="341">
        <v>44563</v>
      </c>
      <c r="NV23" s="93">
        <v>940.7</v>
      </c>
      <c r="NW23" s="96" t="s">
        <v>682</v>
      </c>
      <c r="NX23" s="72">
        <v>34</v>
      </c>
      <c r="NY23" s="72">
        <f t="shared" si="42"/>
        <v>31983.800000000003</v>
      </c>
      <c r="OB23" s="108"/>
      <c r="OC23" s="15">
        <v>16</v>
      </c>
      <c r="OD23" s="93"/>
      <c r="OE23" s="341"/>
      <c r="OF23" s="93"/>
      <c r="OG23" s="96"/>
      <c r="OH23" s="72"/>
      <c r="OI23" s="72">
        <f t="shared" si="43"/>
        <v>0</v>
      </c>
      <c r="OL23" s="108"/>
      <c r="OM23" s="15">
        <v>16</v>
      </c>
      <c r="ON23" s="93"/>
      <c r="OO23" s="341"/>
      <c r="OP23" s="93"/>
      <c r="OQ23" s="96"/>
      <c r="OR23" s="72"/>
      <c r="OS23" s="72">
        <f t="shared" si="44"/>
        <v>0</v>
      </c>
      <c r="OV23" s="108"/>
      <c r="OW23" s="15">
        <v>16</v>
      </c>
      <c r="OX23" s="292"/>
      <c r="OY23" s="346"/>
      <c r="OZ23" s="292"/>
      <c r="PA23" s="334"/>
      <c r="PB23" s="279"/>
      <c r="PC23" s="279">
        <f t="shared" si="45"/>
        <v>0</v>
      </c>
      <c r="PF23" s="95"/>
      <c r="PG23" s="15">
        <v>16</v>
      </c>
      <c r="PH23" s="93"/>
      <c r="PI23" s="341"/>
      <c r="PJ23" s="93"/>
      <c r="PK23" s="96"/>
      <c r="PL23" s="72"/>
      <c r="PM23" s="72">
        <f t="shared" si="46"/>
        <v>0</v>
      </c>
      <c r="PP23" s="108"/>
      <c r="PQ23" s="15">
        <v>16</v>
      </c>
      <c r="PR23" s="93"/>
      <c r="PS23" s="341"/>
      <c r="PT23" s="93"/>
      <c r="PU23" s="96"/>
      <c r="PV23" s="72"/>
      <c r="PY23" s="108"/>
      <c r="PZ23" s="15">
        <v>16</v>
      </c>
      <c r="QA23" s="93"/>
      <c r="QB23" s="141"/>
      <c r="QC23" s="93"/>
      <c r="QD23" s="96"/>
      <c r="QE23" s="72"/>
      <c r="QH23" s="108"/>
      <c r="QI23" s="15">
        <v>16</v>
      </c>
      <c r="QJ23" s="93"/>
      <c r="QK23" s="341"/>
      <c r="QL23" s="93"/>
      <c r="QM23" s="96"/>
      <c r="QN23" s="72"/>
      <c r="QQ23" s="108"/>
      <c r="QR23" s="15">
        <v>16</v>
      </c>
      <c r="QS23" s="93"/>
      <c r="QT23" s="341"/>
      <c r="QU23" s="93"/>
      <c r="QV23" s="96"/>
      <c r="QW23" s="72"/>
      <c r="QZ23" s="108"/>
      <c r="RA23" s="15">
        <v>16</v>
      </c>
      <c r="RB23" s="93"/>
      <c r="RC23" s="341"/>
      <c r="RD23" s="93"/>
      <c r="RE23" s="96"/>
      <c r="RF23" s="72"/>
      <c r="RI23" s="108"/>
      <c r="RJ23" s="15">
        <v>16</v>
      </c>
      <c r="RK23" s="93"/>
      <c r="RL23" s="341"/>
      <c r="RM23" s="93"/>
      <c r="RN23" s="96"/>
      <c r="RO23" s="400"/>
      <c r="RR23" s="108"/>
      <c r="RS23" s="15">
        <v>16</v>
      </c>
      <c r="RT23" s="93"/>
      <c r="RU23" s="141"/>
      <c r="RV23" s="93"/>
      <c r="RW23" s="96"/>
      <c r="RX23" s="72"/>
      <c r="SA23" s="108"/>
      <c r="SB23" s="15">
        <v>16</v>
      </c>
      <c r="SC23" s="93"/>
      <c r="SD23" s="80"/>
      <c r="SE23" s="93"/>
      <c r="SF23" s="96"/>
      <c r="SG23" s="72"/>
      <c r="SJ23" s="108"/>
      <c r="SK23" s="15">
        <v>16</v>
      </c>
      <c r="SL23" s="93"/>
      <c r="SM23" s="80"/>
      <c r="SN23" s="93"/>
      <c r="SO23" s="96"/>
      <c r="SP23" s="72"/>
      <c r="SS23" s="108"/>
      <c r="ST23" s="15"/>
      <c r="SU23" s="93"/>
      <c r="SV23" s="80"/>
      <c r="SW23" s="93"/>
      <c r="SX23" s="96"/>
      <c r="SY23" s="72"/>
      <c r="TB23" s="108"/>
      <c r="TC23" s="15">
        <v>16</v>
      </c>
      <c r="TD23" s="93"/>
      <c r="TE23" s="411"/>
      <c r="TF23" s="189"/>
      <c r="TG23" s="404"/>
      <c r="TH23" s="403"/>
      <c r="TK23" s="108"/>
      <c r="TL23" s="15"/>
      <c r="TM23" s="93"/>
      <c r="TN23" s="80"/>
      <c r="TO23" s="93"/>
      <c r="TP23" s="96"/>
      <c r="TQ23" s="72"/>
      <c r="TT23" s="108"/>
      <c r="TU23" s="15">
        <v>16</v>
      </c>
      <c r="TV23" s="93"/>
      <c r="TW23" s="80"/>
      <c r="TX23" s="93"/>
      <c r="TY23" s="96"/>
      <c r="TZ23" s="72"/>
      <c r="UC23" s="108"/>
      <c r="UD23" s="15"/>
      <c r="UE23" s="93"/>
      <c r="UF23" s="80"/>
      <c r="UG23" s="93"/>
      <c r="UH23" s="96"/>
      <c r="UI23" s="72"/>
      <c r="UL23" s="108"/>
      <c r="UM23" s="15">
        <v>16</v>
      </c>
      <c r="UN23" s="93"/>
      <c r="UO23" s="80"/>
      <c r="UP23" s="93"/>
      <c r="UQ23" s="96"/>
      <c r="UR23" s="72"/>
      <c r="UU23" s="108"/>
      <c r="UV23" s="15">
        <v>16</v>
      </c>
      <c r="UW23" s="93"/>
      <c r="UX23" s="80"/>
      <c r="UY23" s="93"/>
      <c r="UZ23" s="96"/>
      <c r="VA23" s="72"/>
      <c r="VD23" s="108"/>
      <c r="VE23" s="15">
        <v>16</v>
      </c>
      <c r="VF23" s="93"/>
      <c r="VG23" s="80"/>
      <c r="VH23" s="93"/>
      <c r="VI23" s="96"/>
      <c r="VJ23" s="72"/>
      <c r="VM23" s="108"/>
      <c r="VN23" s="15">
        <v>16</v>
      </c>
      <c r="VO23" s="93"/>
      <c r="VP23" s="80"/>
      <c r="VQ23" s="93"/>
      <c r="VR23" s="96"/>
      <c r="VS23" s="72"/>
      <c r="VV23" s="108"/>
      <c r="VW23" s="15">
        <v>16</v>
      </c>
      <c r="VX23" s="93"/>
      <c r="VY23" s="80"/>
      <c r="VZ23" s="93"/>
      <c r="WA23" s="96"/>
      <c r="WB23" s="72"/>
      <c r="WE23" s="108"/>
      <c r="WF23" s="15">
        <v>16</v>
      </c>
      <c r="WG23" s="93"/>
      <c r="WH23" s="80"/>
      <c r="WI23" s="93"/>
      <c r="WJ23" s="96"/>
      <c r="WK23" s="72"/>
      <c r="WN23" s="108"/>
      <c r="WO23" s="15">
        <v>16</v>
      </c>
      <c r="WP23" s="93"/>
      <c r="WQ23" s="80"/>
      <c r="WR23" s="93"/>
      <c r="WS23" s="96"/>
      <c r="WT23" s="72"/>
      <c r="WW23" s="108"/>
      <c r="WX23" s="15">
        <v>16</v>
      </c>
      <c r="WY23" s="93"/>
      <c r="WZ23" s="80"/>
      <c r="XA23" s="93"/>
      <c r="XB23" s="96"/>
      <c r="XC23" s="72"/>
      <c r="XF23" s="108"/>
      <c r="XG23" s="15">
        <v>16</v>
      </c>
      <c r="XH23" s="93"/>
      <c r="XI23" s="80"/>
      <c r="XJ23" s="93"/>
      <c r="XK23" s="96"/>
      <c r="XL23" s="72"/>
      <c r="XO23" s="108"/>
      <c r="XP23" s="15">
        <v>16</v>
      </c>
      <c r="XQ23" s="93"/>
      <c r="XR23" s="80"/>
      <c r="XS23" s="93"/>
      <c r="XT23" s="96"/>
      <c r="XU23" s="72"/>
      <c r="XX23" s="108"/>
      <c r="XY23" s="15">
        <v>16</v>
      </c>
      <c r="XZ23" s="93"/>
      <c r="YA23" s="80"/>
      <c r="YB23" s="93"/>
      <c r="YC23" s="96"/>
      <c r="YD23" s="72"/>
      <c r="YG23" s="108"/>
      <c r="YH23" s="15">
        <v>16</v>
      </c>
      <c r="YI23" s="93"/>
      <c r="YJ23" s="80"/>
      <c r="YK23" s="93"/>
      <c r="YL23" s="96"/>
      <c r="YM23" s="72"/>
      <c r="YP23" s="108"/>
      <c r="YQ23" s="15">
        <v>16</v>
      </c>
      <c r="YR23" s="93"/>
      <c r="YS23" s="80"/>
      <c r="YT23" s="93"/>
      <c r="YU23" s="96"/>
      <c r="YV23" s="72"/>
      <c r="YY23" s="108"/>
      <c r="YZ23" s="15">
        <v>16</v>
      </c>
      <c r="ZA23" s="93"/>
      <c r="ZB23" s="80"/>
      <c r="ZC23" s="93"/>
      <c r="ZD23" s="96"/>
      <c r="ZE23" s="72"/>
      <c r="ZH23" s="108"/>
      <c r="ZI23" s="15">
        <v>16</v>
      </c>
      <c r="ZJ23" s="93"/>
      <c r="ZK23" s="80"/>
      <c r="ZL23" s="93"/>
      <c r="ZM23" s="96"/>
      <c r="ZN23" s="72"/>
      <c r="ZQ23" s="108"/>
      <c r="ZR23" s="15">
        <v>16</v>
      </c>
      <c r="ZS23" s="93"/>
      <c r="ZT23" s="80"/>
      <c r="ZU23" s="93"/>
      <c r="ZV23" s="96"/>
      <c r="ZW23" s="72"/>
      <c r="ZZ23" s="108"/>
      <c r="AAA23" s="15">
        <v>16</v>
      </c>
      <c r="AAB23" s="93"/>
      <c r="AAC23" s="80"/>
      <c r="AAD23" s="93"/>
      <c r="AAE23" s="96"/>
      <c r="AAF23" s="72"/>
      <c r="AAI23" s="108"/>
      <c r="AAJ23" s="15">
        <v>16</v>
      </c>
      <c r="AAK23" s="93"/>
      <c r="AAL23" s="80"/>
      <c r="AAM23" s="93"/>
      <c r="AAN23" s="96"/>
      <c r="AAO23" s="72"/>
      <c r="AAR23" s="108"/>
      <c r="AAS23" s="15">
        <v>16</v>
      </c>
      <c r="AAT23" s="93"/>
      <c r="AAU23" s="80"/>
      <c r="AAV23" s="93"/>
      <c r="AAW23" s="96"/>
      <c r="AAX23" s="72"/>
      <c r="ABA23" s="108"/>
      <c r="ABB23" s="15">
        <v>16</v>
      </c>
      <c r="ABC23" s="93"/>
      <c r="ABD23" s="80"/>
      <c r="ABE23" s="93"/>
      <c r="ABF23" s="96"/>
      <c r="ABG23" s="72"/>
      <c r="ABJ23" s="108"/>
      <c r="ABK23" s="15">
        <v>16</v>
      </c>
      <c r="ABL23" s="93"/>
      <c r="ABM23" s="80"/>
      <c r="ABN23" s="93"/>
      <c r="ABO23" s="96"/>
      <c r="ABP23" s="72"/>
      <c r="ABS23" s="108"/>
      <c r="ABT23" s="15">
        <v>16</v>
      </c>
      <c r="ABU23" s="93"/>
      <c r="ABV23" s="80"/>
      <c r="ABW23" s="93"/>
      <c r="ABX23" s="96"/>
      <c r="ABY23" s="72"/>
      <c r="ACB23" s="108"/>
      <c r="ACC23" s="15">
        <v>16</v>
      </c>
      <c r="ACD23" s="93"/>
      <c r="ACE23" s="80"/>
      <c r="ACF23" s="93"/>
      <c r="ACG23" s="96"/>
      <c r="ACH23" s="72"/>
      <c r="ACK23" s="108"/>
      <c r="ACL23" s="15">
        <v>16</v>
      </c>
      <c r="ACM23" s="93"/>
      <c r="ACN23" s="80"/>
      <c r="ACO23" s="93"/>
      <c r="ACP23" s="96"/>
      <c r="ACQ23" s="72"/>
      <c r="ACT23" s="108"/>
      <c r="ACU23" s="15">
        <v>16</v>
      </c>
      <c r="ACV23" s="93"/>
      <c r="ACW23" s="80"/>
      <c r="ACX23" s="93"/>
      <c r="ACY23" s="96"/>
      <c r="ACZ23" s="72"/>
      <c r="ADC23" s="108"/>
      <c r="ADD23" s="15">
        <v>16</v>
      </c>
      <c r="ADE23" s="93"/>
      <c r="ADF23" s="80"/>
      <c r="ADG23" s="93"/>
      <c r="ADH23" s="96"/>
      <c r="ADI23" s="72"/>
      <c r="ADL23" s="108"/>
      <c r="ADM23" s="15">
        <v>16</v>
      </c>
      <c r="ADN23" s="93"/>
      <c r="ADO23" s="80"/>
      <c r="ADP23" s="93"/>
      <c r="ADQ23" s="96"/>
      <c r="ADR23" s="72"/>
      <c r="ADU23" s="108"/>
      <c r="ADV23" s="15">
        <v>16</v>
      </c>
      <c r="ADW23" s="93"/>
      <c r="ADX23" s="80"/>
      <c r="ADY23" s="93"/>
      <c r="ADZ23" s="96"/>
      <c r="AEA23" s="72"/>
      <c r="AED23" s="108"/>
      <c r="AEE23" s="15">
        <v>16</v>
      </c>
      <c r="AEF23" s="93"/>
      <c r="AEG23" s="80"/>
      <c r="AEH23" s="93"/>
      <c r="AEI23" s="96"/>
      <c r="AEJ23" s="72"/>
      <c r="AEM23" s="108"/>
      <c r="AEN23" s="15">
        <v>16</v>
      </c>
      <c r="AEO23" s="93"/>
      <c r="AEP23" s="80"/>
      <c r="AEQ23" s="93"/>
      <c r="AER23" s="96"/>
      <c r="AES23" s="72"/>
    </row>
    <row r="24" spans="1:828" x14ac:dyDescent="0.25">
      <c r="A24" s="143">
        <v>21</v>
      </c>
      <c r="B24" s="76" t="str">
        <f t="shared" ref="B24:I24" si="62">HC5</f>
        <v>SEABOARD FOODS</v>
      </c>
      <c r="C24" s="76" t="str">
        <f t="shared" si="62"/>
        <v>Seaboard</v>
      </c>
      <c r="D24" s="104" t="str">
        <f t="shared" si="62"/>
        <v>PED. 75307143</v>
      </c>
      <c r="E24" s="141">
        <f t="shared" si="62"/>
        <v>44552</v>
      </c>
      <c r="F24" s="87">
        <f t="shared" si="62"/>
        <v>18916.740000000002</v>
      </c>
      <c r="G24" s="74">
        <f t="shared" si="62"/>
        <v>21</v>
      </c>
      <c r="H24" s="48">
        <f t="shared" si="62"/>
        <v>18916.7</v>
      </c>
      <c r="I24" s="107">
        <f t="shared" si="62"/>
        <v>4.0000000000873115E-2</v>
      </c>
      <c r="L24" s="108"/>
      <c r="M24" s="15">
        <v>17</v>
      </c>
      <c r="N24" s="292">
        <v>870</v>
      </c>
      <c r="O24" s="341">
        <v>44537</v>
      </c>
      <c r="P24" s="292">
        <v>870</v>
      </c>
      <c r="Q24" s="96" t="s">
        <v>455</v>
      </c>
      <c r="R24" s="72">
        <v>37</v>
      </c>
      <c r="S24" s="627">
        <f t="shared" si="6"/>
        <v>32190</v>
      </c>
      <c r="T24" s="255"/>
      <c r="V24" s="108"/>
      <c r="W24" s="15">
        <v>17</v>
      </c>
      <c r="X24" s="292">
        <v>924.4</v>
      </c>
      <c r="Y24" s="346">
        <v>44538</v>
      </c>
      <c r="Z24" s="292">
        <v>924.4</v>
      </c>
      <c r="AA24" s="406" t="s">
        <v>469</v>
      </c>
      <c r="AB24" s="279">
        <v>37</v>
      </c>
      <c r="AC24" s="338">
        <f t="shared" si="7"/>
        <v>34202.799999999996</v>
      </c>
      <c r="AF24" s="108"/>
      <c r="AG24" s="15">
        <v>17</v>
      </c>
      <c r="AH24" s="93">
        <v>898.6</v>
      </c>
      <c r="AI24" s="341">
        <v>44537</v>
      </c>
      <c r="AJ24" s="93">
        <v>898.6</v>
      </c>
      <c r="AK24" s="96" t="s">
        <v>465</v>
      </c>
      <c r="AL24" s="72">
        <v>37</v>
      </c>
      <c r="AM24" s="630">
        <f t="shared" si="8"/>
        <v>33248.200000000004</v>
      </c>
      <c r="AP24" s="108"/>
      <c r="AQ24" s="15">
        <v>17</v>
      </c>
      <c r="AR24" s="335">
        <v>920.79</v>
      </c>
      <c r="AS24" s="346">
        <v>44538</v>
      </c>
      <c r="AT24" s="335">
        <v>920.79</v>
      </c>
      <c r="AU24" s="334" t="s">
        <v>488</v>
      </c>
      <c r="AV24" s="279">
        <v>37</v>
      </c>
      <c r="AW24" s="338">
        <f t="shared" si="9"/>
        <v>34069.229999999996</v>
      </c>
      <c r="AZ24" s="108"/>
      <c r="BA24" s="15">
        <v>17</v>
      </c>
      <c r="BB24" s="93">
        <v>923.05</v>
      </c>
      <c r="BC24" s="141">
        <v>44539</v>
      </c>
      <c r="BD24" s="93">
        <v>923.05</v>
      </c>
      <c r="BE24" s="96" t="s">
        <v>459</v>
      </c>
      <c r="BF24" s="400">
        <v>36</v>
      </c>
      <c r="BG24" s="646">
        <f t="shared" si="10"/>
        <v>33229.799999999996</v>
      </c>
      <c r="BJ24" s="108"/>
      <c r="BK24" s="15">
        <v>17</v>
      </c>
      <c r="BL24" s="93">
        <v>919.4</v>
      </c>
      <c r="BM24" s="141">
        <v>44540</v>
      </c>
      <c r="BN24" s="93">
        <v>919.4</v>
      </c>
      <c r="BO24" s="96" t="s">
        <v>483</v>
      </c>
      <c r="BP24" s="400">
        <v>36</v>
      </c>
      <c r="BQ24" s="857">
        <f t="shared" si="11"/>
        <v>33098.400000000001</v>
      </c>
      <c r="BT24" s="108"/>
      <c r="BU24" s="276">
        <v>17</v>
      </c>
      <c r="BV24" s="292">
        <v>862.7</v>
      </c>
      <c r="BW24" s="401">
        <v>44541</v>
      </c>
      <c r="BX24" s="292">
        <v>862.7</v>
      </c>
      <c r="BY24" s="402" t="s">
        <v>508</v>
      </c>
      <c r="BZ24" s="403">
        <v>36</v>
      </c>
      <c r="CA24" s="627">
        <f t="shared" si="12"/>
        <v>31057.200000000001</v>
      </c>
      <c r="CD24" s="909"/>
      <c r="CE24" s="15">
        <v>17</v>
      </c>
      <c r="CF24" s="93">
        <v>904.5</v>
      </c>
      <c r="CG24" s="401">
        <v>44542</v>
      </c>
      <c r="CH24" s="93">
        <v>904.5</v>
      </c>
      <c r="CI24" s="404" t="s">
        <v>512</v>
      </c>
      <c r="CJ24" s="403">
        <v>36</v>
      </c>
      <c r="CK24" s="627">
        <f t="shared" si="13"/>
        <v>32562</v>
      </c>
      <c r="CN24" s="673"/>
      <c r="CO24" s="15">
        <v>17</v>
      </c>
      <c r="CP24" s="292">
        <v>912.6</v>
      </c>
      <c r="CQ24" s="401">
        <v>44544</v>
      </c>
      <c r="CR24" s="292">
        <v>912.6</v>
      </c>
      <c r="CS24" s="404" t="s">
        <v>522</v>
      </c>
      <c r="CT24" s="403">
        <v>38</v>
      </c>
      <c r="CU24" s="635">
        <f t="shared" si="48"/>
        <v>34678.800000000003</v>
      </c>
      <c r="CX24" s="108"/>
      <c r="CY24" s="15">
        <v>17</v>
      </c>
      <c r="CZ24" s="93">
        <v>863.6</v>
      </c>
      <c r="DA24" s="341">
        <v>44544</v>
      </c>
      <c r="DB24" s="93">
        <v>863.6</v>
      </c>
      <c r="DC24" s="96" t="s">
        <v>516</v>
      </c>
      <c r="DD24" s="72">
        <v>38</v>
      </c>
      <c r="DE24" s="627">
        <f t="shared" si="14"/>
        <v>32816.800000000003</v>
      </c>
      <c r="DH24" s="108"/>
      <c r="DI24" s="15">
        <v>17</v>
      </c>
      <c r="DJ24" s="93">
        <v>885</v>
      </c>
      <c r="DK24" s="401">
        <v>44544</v>
      </c>
      <c r="DL24" s="93">
        <v>885</v>
      </c>
      <c r="DM24" s="404" t="s">
        <v>463</v>
      </c>
      <c r="DN24" s="403">
        <v>38</v>
      </c>
      <c r="DO24" s="635">
        <f t="shared" si="15"/>
        <v>33630</v>
      </c>
      <c r="DR24" s="108"/>
      <c r="DS24" s="15">
        <v>17</v>
      </c>
      <c r="DT24" s="93">
        <v>943.92</v>
      </c>
      <c r="DU24" s="401">
        <v>44545</v>
      </c>
      <c r="DV24" s="93">
        <v>943.92</v>
      </c>
      <c r="DW24" s="404" t="s">
        <v>528</v>
      </c>
      <c r="DX24" s="403">
        <v>38</v>
      </c>
      <c r="DY24" s="627">
        <f t="shared" si="16"/>
        <v>35868.959999999999</v>
      </c>
      <c r="EB24" s="108"/>
      <c r="EC24" s="15">
        <v>17</v>
      </c>
      <c r="ED24" s="70">
        <v>865</v>
      </c>
      <c r="EE24" s="357">
        <v>44546</v>
      </c>
      <c r="EF24" s="70">
        <v>865</v>
      </c>
      <c r="EG24" s="71" t="s">
        <v>532</v>
      </c>
      <c r="EH24" s="72">
        <v>38</v>
      </c>
      <c r="EI24" s="627">
        <f t="shared" si="17"/>
        <v>32870</v>
      </c>
      <c r="EL24" s="108"/>
      <c r="EM24" s="15">
        <v>17</v>
      </c>
      <c r="EN24" s="292">
        <v>892</v>
      </c>
      <c r="EO24" s="346">
        <v>44546</v>
      </c>
      <c r="EP24" s="292">
        <v>892</v>
      </c>
      <c r="EQ24" s="278" t="s">
        <v>531</v>
      </c>
      <c r="ER24" s="279">
        <v>38</v>
      </c>
      <c r="ES24" s="627">
        <f t="shared" si="18"/>
        <v>33896</v>
      </c>
      <c r="EV24" s="108"/>
      <c r="EW24" s="15">
        <v>17</v>
      </c>
      <c r="EX24" s="70">
        <v>892.2</v>
      </c>
      <c r="EY24" s="357">
        <v>44548</v>
      </c>
      <c r="EZ24" s="70">
        <v>892.2</v>
      </c>
      <c r="FA24" s="278" t="s">
        <v>550</v>
      </c>
      <c r="FB24" s="72">
        <v>38</v>
      </c>
      <c r="FC24" s="338">
        <f t="shared" si="19"/>
        <v>33903.599999999999</v>
      </c>
      <c r="FF24" s="108"/>
      <c r="FG24" s="15">
        <v>17</v>
      </c>
      <c r="FH24" s="292">
        <v>900.4</v>
      </c>
      <c r="FI24" s="346">
        <v>44548</v>
      </c>
      <c r="FJ24" s="292">
        <v>900.4</v>
      </c>
      <c r="FK24" s="278" t="s">
        <v>539</v>
      </c>
      <c r="FL24" s="279">
        <v>38</v>
      </c>
      <c r="FM24" s="627">
        <f t="shared" si="20"/>
        <v>34215.199999999997</v>
      </c>
      <c r="FP24" s="108"/>
      <c r="FQ24" s="15">
        <v>17</v>
      </c>
      <c r="FR24" s="93">
        <v>939.8</v>
      </c>
      <c r="FS24" s="341">
        <v>44551</v>
      </c>
      <c r="FT24" s="93">
        <v>939.8</v>
      </c>
      <c r="FU24" s="71" t="s">
        <v>572</v>
      </c>
      <c r="FV24" s="72">
        <v>38</v>
      </c>
      <c r="FW24" s="627">
        <f t="shared" si="21"/>
        <v>35712.400000000001</v>
      </c>
      <c r="FX24" s="72"/>
      <c r="FZ24" s="108"/>
      <c r="GA24" s="15">
        <v>17</v>
      </c>
      <c r="GB24" s="70">
        <v>913.5</v>
      </c>
      <c r="GC24" s="545">
        <v>44551</v>
      </c>
      <c r="GD24" s="70">
        <v>913.5</v>
      </c>
      <c r="GE24" s="278" t="s">
        <v>565</v>
      </c>
      <c r="GF24" s="279">
        <v>39</v>
      </c>
      <c r="GG24" s="338">
        <f t="shared" si="22"/>
        <v>35626.5</v>
      </c>
      <c r="GJ24" s="108"/>
      <c r="GK24" s="15">
        <v>17</v>
      </c>
      <c r="GL24" s="523">
        <v>915.8</v>
      </c>
      <c r="GM24" s="341">
        <v>44551</v>
      </c>
      <c r="GN24" s="523">
        <v>915.8</v>
      </c>
      <c r="GO24" s="96" t="s">
        <v>567</v>
      </c>
      <c r="GP24" s="72">
        <v>39</v>
      </c>
      <c r="GQ24" s="627">
        <f t="shared" si="23"/>
        <v>35716.199999999997</v>
      </c>
      <c r="GT24" s="108"/>
      <c r="GU24" s="15">
        <v>17</v>
      </c>
      <c r="GV24" s="292">
        <v>925.8</v>
      </c>
      <c r="GW24" s="346">
        <v>44551</v>
      </c>
      <c r="GX24" s="292">
        <v>925.8</v>
      </c>
      <c r="GY24" s="334" t="s">
        <v>569</v>
      </c>
      <c r="GZ24" s="279">
        <v>39</v>
      </c>
      <c r="HA24" s="627">
        <f t="shared" si="24"/>
        <v>36106.199999999997</v>
      </c>
      <c r="HD24" s="108"/>
      <c r="HE24" s="15">
        <v>17</v>
      </c>
      <c r="HF24" s="93">
        <v>898.6</v>
      </c>
      <c r="HG24" s="341">
        <v>44552</v>
      </c>
      <c r="HH24" s="93">
        <v>898.6</v>
      </c>
      <c r="HI24" s="96" t="s">
        <v>582</v>
      </c>
      <c r="HJ24" s="72">
        <v>41</v>
      </c>
      <c r="HK24" s="338">
        <f t="shared" si="25"/>
        <v>36842.6</v>
      </c>
      <c r="HN24" s="108"/>
      <c r="HO24" s="15">
        <v>17</v>
      </c>
      <c r="HP24" s="292">
        <v>950.27</v>
      </c>
      <c r="HQ24" s="346">
        <v>44552</v>
      </c>
      <c r="HR24" s="292">
        <v>950.27</v>
      </c>
      <c r="HS24" s="406" t="s">
        <v>579</v>
      </c>
      <c r="HT24" s="279">
        <v>41</v>
      </c>
      <c r="HU24" s="627">
        <f t="shared" si="26"/>
        <v>38961.07</v>
      </c>
      <c r="HX24" s="108"/>
      <c r="HY24" s="15">
        <v>17</v>
      </c>
      <c r="HZ24" s="70">
        <v>922.15</v>
      </c>
      <c r="IA24" s="357">
        <v>44553</v>
      </c>
      <c r="IB24" s="70">
        <v>922.15</v>
      </c>
      <c r="IC24" s="71" t="s">
        <v>592</v>
      </c>
      <c r="ID24" s="72">
        <v>42</v>
      </c>
      <c r="IE24" s="627">
        <f t="shared" si="27"/>
        <v>38730.299999999996</v>
      </c>
      <c r="IH24" s="108"/>
      <c r="II24" s="15">
        <v>17</v>
      </c>
      <c r="IJ24" s="70">
        <v>905.82</v>
      </c>
      <c r="IK24" s="357">
        <v>44553</v>
      </c>
      <c r="IL24" s="70">
        <v>905.82</v>
      </c>
      <c r="IM24" s="71" t="s">
        <v>599</v>
      </c>
      <c r="IN24" s="72">
        <v>41</v>
      </c>
      <c r="IO24" s="627">
        <f t="shared" si="28"/>
        <v>37138.620000000003</v>
      </c>
      <c r="IR24" s="108"/>
      <c r="IS24" s="15">
        <v>17</v>
      </c>
      <c r="IT24" s="292">
        <v>899.5</v>
      </c>
      <c r="IU24" s="258">
        <v>44554</v>
      </c>
      <c r="IV24" s="292">
        <v>899.5</v>
      </c>
      <c r="IW24" s="552" t="s">
        <v>611</v>
      </c>
      <c r="IX24" s="279">
        <v>41</v>
      </c>
      <c r="IY24" s="338">
        <f t="shared" si="29"/>
        <v>36879.5</v>
      </c>
      <c r="JA24" s="70"/>
      <c r="JB24" s="108"/>
      <c r="JC24" s="15">
        <v>17</v>
      </c>
      <c r="JD24" s="93">
        <v>909.4</v>
      </c>
      <c r="JE24" s="357">
        <v>44554</v>
      </c>
      <c r="JF24" s="93">
        <v>909.4</v>
      </c>
      <c r="JG24" s="71" t="s">
        <v>613</v>
      </c>
      <c r="JH24" s="72">
        <v>41</v>
      </c>
      <c r="JI24" s="338">
        <f t="shared" si="30"/>
        <v>37285.4</v>
      </c>
      <c r="JL24" s="108"/>
      <c r="JM24" s="15">
        <v>17</v>
      </c>
      <c r="JN24" s="93">
        <v>931.7</v>
      </c>
      <c r="JO24" s="341">
        <v>44554</v>
      </c>
      <c r="JP24" s="93">
        <v>931.7</v>
      </c>
      <c r="JQ24" s="71" t="s">
        <v>604</v>
      </c>
      <c r="JR24" s="72">
        <v>41</v>
      </c>
      <c r="JS24" s="627">
        <f t="shared" si="31"/>
        <v>38199.700000000004</v>
      </c>
      <c r="JV24" s="95"/>
      <c r="JW24" s="15">
        <v>17</v>
      </c>
      <c r="JX24" s="70">
        <v>916.3</v>
      </c>
      <c r="JY24" s="357">
        <v>44554</v>
      </c>
      <c r="JZ24" s="70">
        <v>916.3</v>
      </c>
      <c r="KA24" s="71" t="s">
        <v>605</v>
      </c>
      <c r="KB24" s="72">
        <v>41</v>
      </c>
      <c r="KC24" s="627">
        <f t="shared" si="32"/>
        <v>37568.299999999996</v>
      </c>
      <c r="KF24" s="95"/>
      <c r="KG24" s="15">
        <v>17</v>
      </c>
      <c r="KH24" s="70">
        <v>882.7</v>
      </c>
      <c r="KI24" s="357">
        <v>44556</v>
      </c>
      <c r="KJ24" s="70">
        <v>882.7</v>
      </c>
      <c r="KK24" s="71" t="s">
        <v>618</v>
      </c>
      <c r="KL24" s="72">
        <v>41</v>
      </c>
      <c r="KM24" s="627">
        <f t="shared" si="33"/>
        <v>36190.700000000004</v>
      </c>
      <c r="KP24" s="95"/>
      <c r="KQ24" s="15">
        <v>17</v>
      </c>
      <c r="KR24" s="70">
        <v>874.1</v>
      </c>
      <c r="KS24" s="357">
        <v>44558</v>
      </c>
      <c r="KT24" s="70">
        <v>874.1</v>
      </c>
      <c r="KU24" s="71" t="s">
        <v>636</v>
      </c>
      <c r="KV24" s="72">
        <v>42</v>
      </c>
      <c r="KW24" s="627">
        <f t="shared" si="34"/>
        <v>36712.200000000004</v>
      </c>
      <c r="KZ24" s="108"/>
      <c r="LA24" s="15">
        <v>17</v>
      </c>
      <c r="LB24" s="93">
        <v>886.31</v>
      </c>
      <c r="LC24" s="341">
        <v>44558</v>
      </c>
      <c r="LD24" s="93">
        <v>886.31</v>
      </c>
      <c r="LE24" s="96" t="s">
        <v>642</v>
      </c>
      <c r="LF24" s="72">
        <v>42</v>
      </c>
      <c r="LG24" s="627">
        <f t="shared" si="35"/>
        <v>37225.019999999997</v>
      </c>
      <c r="LJ24" s="108"/>
      <c r="LK24" s="15">
        <v>17</v>
      </c>
      <c r="LL24" s="292">
        <v>914.89</v>
      </c>
      <c r="LM24" s="341">
        <v>44559</v>
      </c>
      <c r="LN24" s="292">
        <v>914.89</v>
      </c>
      <c r="LO24" s="96" t="s">
        <v>655</v>
      </c>
      <c r="LP24" s="72">
        <v>42</v>
      </c>
      <c r="LQ24" s="627">
        <f t="shared" si="36"/>
        <v>38425.379999999997</v>
      </c>
      <c r="LT24" s="108"/>
      <c r="LU24" s="15">
        <v>17</v>
      </c>
      <c r="LV24" s="93">
        <v>882.7</v>
      </c>
      <c r="LW24" s="341">
        <v>44559</v>
      </c>
      <c r="LX24" s="93">
        <v>882.7</v>
      </c>
      <c r="LY24" s="96" t="s">
        <v>649</v>
      </c>
      <c r="LZ24" s="72">
        <v>42</v>
      </c>
      <c r="MA24" s="627">
        <f t="shared" si="37"/>
        <v>37073.4</v>
      </c>
      <c r="MB24" s="627"/>
      <c r="MD24" s="108"/>
      <c r="ME24" s="15">
        <v>17</v>
      </c>
      <c r="MF24" s="412">
        <v>934.8</v>
      </c>
      <c r="MG24" s="341">
        <v>44560</v>
      </c>
      <c r="MH24" s="412">
        <v>934.8</v>
      </c>
      <c r="MI24" s="96" t="s">
        <v>661</v>
      </c>
      <c r="MJ24" s="72">
        <v>43</v>
      </c>
      <c r="MK24" s="72">
        <f t="shared" si="38"/>
        <v>40196.400000000001</v>
      </c>
      <c r="MN24" s="108"/>
      <c r="MO24" s="15">
        <v>17</v>
      </c>
      <c r="MP24" s="93">
        <v>949.84</v>
      </c>
      <c r="MQ24" s="341">
        <v>44560</v>
      </c>
      <c r="MR24" s="93">
        <v>949.84</v>
      </c>
      <c r="MS24" s="96" t="s">
        <v>665</v>
      </c>
      <c r="MT24" s="72">
        <v>43</v>
      </c>
      <c r="MU24" s="72">
        <f t="shared" si="39"/>
        <v>40843.120000000003</v>
      </c>
      <c r="MX24" s="108"/>
      <c r="MY24" s="15">
        <v>17</v>
      </c>
      <c r="MZ24" s="93">
        <v>918.1</v>
      </c>
      <c r="NA24" s="341">
        <v>44561</v>
      </c>
      <c r="NB24" s="93">
        <v>918.1</v>
      </c>
      <c r="NC24" s="96" t="s">
        <v>667</v>
      </c>
      <c r="ND24" s="72">
        <v>40</v>
      </c>
      <c r="NE24" s="72">
        <f t="shared" si="40"/>
        <v>36724</v>
      </c>
      <c r="NH24" s="108"/>
      <c r="NI24" s="15">
        <v>17</v>
      </c>
      <c r="NJ24" s="93">
        <v>939.8</v>
      </c>
      <c r="NK24" s="341"/>
      <c r="NL24" s="93"/>
      <c r="NM24" s="96"/>
      <c r="NN24" s="72"/>
      <c r="NO24" s="72">
        <f t="shared" si="41"/>
        <v>0</v>
      </c>
      <c r="NR24" s="108"/>
      <c r="NS24" s="15">
        <v>17</v>
      </c>
      <c r="NT24" s="93">
        <v>869.1</v>
      </c>
      <c r="NU24" s="341">
        <v>44563</v>
      </c>
      <c r="NV24" s="93">
        <v>869.1</v>
      </c>
      <c r="NW24" s="96" t="s">
        <v>682</v>
      </c>
      <c r="NX24" s="72">
        <v>34</v>
      </c>
      <c r="NY24" s="72">
        <f t="shared" si="42"/>
        <v>29549.4</v>
      </c>
      <c r="OB24" s="108"/>
      <c r="OC24" s="15">
        <v>17</v>
      </c>
      <c r="OD24" s="93"/>
      <c r="OE24" s="341"/>
      <c r="OF24" s="93"/>
      <c r="OG24" s="96"/>
      <c r="OH24" s="72"/>
      <c r="OI24" s="72">
        <f t="shared" si="43"/>
        <v>0</v>
      </c>
      <c r="OL24" s="108"/>
      <c r="OM24" s="15">
        <v>17</v>
      </c>
      <c r="ON24" s="93"/>
      <c r="OO24" s="341"/>
      <c r="OP24" s="93"/>
      <c r="OQ24" s="96"/>
      <c r="OR24" s="72"/>
      <c r="OS24" s="72">
        <f t="shared" si="44"/>
        <v>0</v>
      </c>
      <c r="OV24" s="108"/>
      <c r="OW24" s="15">
        <v>17</v>
      </c>
      <c r="OX24" s="292"/>
      <c r="OY24" s="346"/>
      <c r="OZ24" s="292"/>
      <c r="PA24" s="334"/>
      <c r="PB24" s="279"/>
      <c r="PC24" s="279">
        <f t="shared" si="45"/>
        <v>0</v>
      </c>
      <c r="PF24" s="95"/>
      <c r="PG24" s="15">
        <v>17</v>
      </c>
      <c r="PH24" s="93"/>
      <c r="PI24" s="341"/>
      <c r="PJ24" s="93"/>
      <c r="PK24" s="96"/>
      <c r="PL24" s="72"/>
      <c r="PM24" s="72">
        <f t="shared" si="46"/>
        <v>0</v>
      </c>
      <c r="PP24" s="108"/>
      <c r="PQ24" s="15">
        <v>17</v>
      </c>
      <c r="PR24" s="93"/>
      <c r="PS24" s="341"/>
      <c r="PT24" s="93"/>
      <c r="PU24" s="96"/>
      <c r="PV24" s="72"/>
      <c r="PY24" s="108"/>
      <c r="PZ24" s="15">
        <v>17</v>
      </c>
      <c r="QA24" s="93"/>
      <c r="QB24" s="141"/>
      <c r="QC24" s="93"/>
      <c r="QD24" s="96"/>
      <c r="QE24" s="72"/>
      <c r="QH24" s="108"/>
      <c r="QI24" s="15">
        <v>17</v>
      </c>
      <c r="QJ24" s="93"/>
      <c r="QK24" s="341"/>
      <c r="QL24" s="93"/>
      <c r="QM24" s="96"/>
      <c r="QN24" s="72"/>
      <c r="QQ24" s="108"/>
      <c r="QR24" s="15">
        <v>17</v>
      </c>
      <c r="QS24" s="93"/>
      <c r="QT24" s="341"/>
      <c r="QU24" s="93"/>
      <c r="QV24" s="96"/>
      <c r="QW24" s="72"/>
      <c r="QZ24" s="108"/>
      <c r="RA24" s="15">
        <v>17</v>
      </c>
      <c r="RB24" s="93"/>
      <c r="RC24" s="341"/>
      <c r="RD24" s="93"/>
      <c r="RE24" s="96"/>
      <c r="RF24" s="72"/>
      <c r="RI24" s="108"/>
      <c r="RJ24" s="15">
        <v>17</v>
      </c>
      <c r="RK24" s="93"/>
      <c r="RL24" s="341"/>
      <c r="RM24" s="93"/>
      <c r="RN24" s="96"/>
      <c r="RO24" s="400"/>
      <c r="RR24" s="108"/>
      <c r="RS24" s="15">
        <v>17</v>
      </c>
      <c r="RT24" s="93"/>
      <c r="RU24" s="141"/>
      <c r="RV24" s="93"/>
      <c r="RW24" s="96"/>
      <c r="RX24" s="72"/>
      <c r="SA24" s="108"/>
      <c r="SB24" s="15">
        <v>17</v>
      </c>
      <c r="SC24" s="93"/>
      <c r="SD24" s="80"/>
      <c r="SE24" s="93"/>
      <c r="SF24" s="96"/>
      <c r="SG24" s="72"/>
      <c r="SJ24" s="108"/>
      <c r="SK24" s="15">
        <v>17</v>
      </c>
      <c r="SL24" s="93"/>
      <c r="SM24" s="80"/>
      <c r="SN24" s="93"/>
      <c r="SO24" s="96"/>
      <c r="SP24" s="72"/>
      <c r="SS24" s="108"/>
      <c r="ST24" s="15"/>
      <c r="SU24" s="93"/>
      <c r="SV24" s="80"/>
      <c r="SW24" s="93"/>
      <c r="SX24" s="96"/>
      <c r="SY24" s="72"/>
      <c r="TB24" s="108"/>
      <c r="TC24" s="15">
        <v>17</v>
      </c>
      <c r="TD24" s="93"/>
      <c r="TE24" s="411"/>
      <c r="TF24" s="189"/>
      <c r="TG24" s="404"/>
      <c r="TH24" s="403"/>
      <c r="TK24" s="108"/>
      <c r="TL24" s="15"/>
      <c r="TM24" s="93"/>
      <c r="TN24" s="80"/>
      <c r="TO24" s="93"/>
      <c r="TP24" s="96"/>
      <c r="TQ24" s="72"/>
      <c r="TT24" s="108"/>
      <c r="TU24" s="15">
        <v>17</v>
      </c>
      <c r="TV24" s="93"/>
      <c r="TW24" s="80"/>
      <c r="TX24" s="93"/>
      <c r="TY24" s="96"/>
      <c r="TZ24" s="72"/>
      <c r="UC24" s="108"/>
      <c r="UD24" s="15"/>
      <c r="UE24" s="93"/>
      <c r="UF24" s="80"/>
      <c r="UG24" s="93"/>
      <c r="UH24" s="96"/>
      <c r="UI24" s="72"/>
      <c r="UL24" s="108"/>
      <c r="UM24" s="15">
        <v>17</v>
      </c>
      <c r="UN24" s="93"/>
      <c r="UO24" s="80"/>
      <c r="UP24" s="93"/>
      <c r="UQ24" s="96"/>
      <c r="UR24" s="72"/>
      <c r="UU24" s="108"/>
      <c r="UV24" s="15">
        <v>17</v>
      </c>
      <c r="UW24" s="93"/>
      <c r="UX24" s="80"/>
      <c r="UY24" s="93"/>
      <c r="UZ24" s="96"/>
      <c r="VA24" s="72"/>
      <c r="VD24" s="108"/>
      <c r="VE24" s="15">
        <v>17</v>
      </c>
      <c r="VF24" s="93"/>
      <c r="VG24" s="80"/>
      <c r="VH24" s="93"/>
      <c r="VI24" s="96"/>
      <c r="VJ24" s="72"/>
      <c r="VM24" s="108"/>
      <c r="VN24" s="15">
        <v>17</v>
      </c>
      <c r="VO24" s="93"/>
      <c r="VP24" s="80"/>
      <c r="VQ24" s="93"/>
      <c r="VR24" s="96"/>
      <c r="VS24" s="72"/>
      <c r="VV24" s="108"/>
      <c r="VW24" s="15">
        <v>17</v>
      </c>
      <c r="VX24" s="93"/>
      <c r="VY24" s="80"/>
      <c r="VZ24" s="93"/>
      <c r="WA24" s="96"/>
      <c r="WB24" s="72"/>
      <c r="WE24" s="108"/>
      <c r="WF24" s="15">
        <v>17</v>
      </c>
      <c r="WG24" s="93"/>
      <c r="WH24" s="80"/>
      <c r="WI24" s="93"/>
      <c r="WJ24" s="96"/>
      <c r="WK24" s="72"/>
      <c r="WN24" s="108"/>
      <c r="WO24" s="15">
        <v>17</v>
      </c>
      <c r="WP24" s="93"/>
      <c r="WQ24" s="80"/>
      <c r="WR24" s="93"/>
      <c r="WS24" s="96"/>
      <c r="WT24" s="72"/>
      <c r="WW24" s="108"/>
      <c r="WX24" s="15">
        <v>17</v>
      </c>
      <c r="WY24" s="93"/>
      <c r="WZ24" s="80"/>
      <c r="XA24" s="93"/>
      <c r="XB24" s="96"/>
      <c r="XC24" s="72"/>
      <c r="XF24" s="108"/>
      <c r="XG24" s="15">
        <v>17</v>
      </c>
      <c r="XH24" s="93"/>
      <c r="XI24" s="80"/>
      <c r="XJ24" s="93"/>
      <c r="XK24" s="96"/>
      <c r="XL24" s="72"/>
      <c r="XO24" s="108"/>
      <c r="XP24" s="15">
        <v>17</v>
      </c>
      <c r="XQ24" s="93"/>
      <c r="XR24" s="80"/>
      <c r="XS24" s="93"/>
      <c r="XT24" s="96"/>
      <c r="XU24" s="72"/>
      <c r="XX24" s="108"/>
      <c r="XY24" s="15">
        <v>17</v>
      </c>
      <c r="XZ24" s="93"/>
      <c r="YA24" s="80"/>
      <c r="YB24" s="93"/>
      <c r="YC24" s="96"/>
      <c r="YD24" s="72"/>
      <c r="YG24" s="108"/>
      <c r="YH24" s="15">
        <v>17</v>
      </c>
      <c r="YI24" s="93"/>
      <c r="YJ24" s="80"/>
      <c r="YK24" s="93"/>
      <c r="YL24" s="96"/>
      <c r="YM24" s="72"/>
      <c r="YP24" s="108"/>
      <c r="YQ24" s="15">
        <v>17</v>
      </c>
      <c r="YR24" s="93"/>
      <c r="YS24" s="80"/>
      <c r="YT24" s="93"/>
      <c r="YU24" s="96"/>
      <c r="YV24" s="72"/>
      <c r="YY24" s="108"/>
      <c r="YZ24" s="15">
        <v>17</v>
      </c>
      <c r="ZA24" s="93"/>
      <c r="ZB24" s="80"/>
      <c r="ZC24" s="93"/>
      <c r="ZD24" s="96"/>
      <c r="ZE24" s="72"/>
      <c r="ZH24" s="108"/>
      <c r="ZI24" s="15">
        <v>17</v>
      </c>
      <c r="ZJ24" s="93"/>
      <c r="ZK24" s="80"/>
      <c r="ZL24" s="93"/>
      <c r="ZM24" s="96"/>
      <c r="ZN24" s="72"/>
      <c r="ZQ24" s="108"/>
      <c r="ZR24" s="15">
        <v>17</v>
      </c>
      <c r="ZS24" s="93"/>
      <c r="ZT24" s="80"/>
      <c r="ZU24" s="93"/>
      <c r="ZV24" s="96"/>
      <c r="ZW24" s="72"/>
      <c r="ZZ24" s="108"/>
      <c r="AAA24" s="15">
        <v>17</v>
      </c>
      <c r="AAB24" s="93"/>
      <c r="AAC24" s="80"/>
      <c r="AAD24" s="93"/>
      <c r="AAE24" s="96"/>
      <c r="AAF24" s="72"/>
      <c r="AAI24" s="108"/>
      <c r="AAJ24" s="15">
        <v>17</v>
      </c>
      <c r="AAK24" s="93"/>
      <c r="AAL24" s="80"/>
      <c r="AAM24" s="93"/>
      <c r="AAN24" s="96"/>
      <c r="AAO24" s="72"/>
      <c r="AAR24" s="108"/>
      <c r="AAS24" s="15">
        <v>17</v>
      </c>
      <c r="AAT24" s="93"/>
      <c r="AAU24" s="80"/>
      <c r="AAV24" s="93"/>
      <c r="AAW24" s="96"/>
      <c r="AAX24" s="72"/>
      <c r="ABA24" s="108"/>
      <c r="ABB24" s="15">
        <v>17</v>
      </c>
      <c r="ABC24" s="93"/>
      <c r="ABD24" s="80"/>
      <c r="ABE24" s="93"/>
      <c r="ABF24" s="96"/>
      <c r="ABG24" s="72"/>
      <c r="ABJ24" s="108"/>
      <c r="ABK24" s="15">
        <v>17</v>
      </c>
      <c r="ABL24" s="93"/>
      <c r="ABM24" s="80"/>
      <c r="ABN24" s="93"/>
      <c r="ABO24" s="96"/>
      <c r="ABP24" s="72"/>
      <c r="ABS24" s="108"/>
      <c r="ABT24" s="15">
        <v>17</v>
      </c>
      <c r="ABU24" s="93"/>
      <c r="ABV24" s="80"/>
      <c r="ABW24" s="93"/>
      <c r="ABX24" s="96"/>
      <c r="ABY24" s="72"/>
      <c r="ACB24" s="108"/>
      <c r="ACC24" s="15">
        <v>17</v>
      </c>
      <c r="ACD24" s="93"/>
      <c r="ACE24" s="80"/>
      <c r="ACF24" s="93"/>
      <c r="ACG24" s="96"/>
      <c r="ACH24" s="72"/>
      <c r="ACK24" s="108"/>
      <c r="ACL24" s="15">
        <v>17</v>
      </c>
      <c r="ACM24" s="93"/>
      <c r="ACN24" s="80"/>
      <c r="ACO24" s="93"/>
      <c r="ACP24" s="96"/>
      <c r="ACQ24" s="72"/>
      <c r="ACT24" s="108"/>
      <c r="ACU24" s="15">
        <v>17</v>
      </c>
      <c r="ACV24" s="93"/>
      <c r="ACW24" s="80"/>
      <c r="ACX24" s="93"/>
      <c r="ACY24" s="96"/>
      <c r="ACZ24" s="72"/>
      <c r="ADC24" s="108"/>
      <c r="ADD24" s="15">
        <v>17</v>
      </c>
      <c r="ADE24" s="93"/>
      <c r="ADF24" s="80"/>
      <c r="ADG24" s="93"/>
      <c r="ADH24" s="96"/>
      <c r="ADI24" s="72"/>
      <c r="ADL24" s="108"/>
      <c r="ADM24" s="15">
        <v>17</v>
      </c>
      <c r="ADN24" s="93"/>
      <c r="ADO24" s="80"/>
      <c r="ADP24" s="93"/>
      <c r="ADQ24" s="96"/>
      <c r="ADR24" s="72"/>
      <c r="ADU24" s="108"/>
      <c r="ADV24" s="15">
        <v>17</v>
      </c>
      <c r="ADW24" s="93"/>
      <c r="ADX24" s="80"/>
      <c r="ADY24" s="93"/>
      <c r="ADZ24" s="96"/>
      <c r="AEA24" s="72"/>
      <c r="AED24" s="108"/>
      <c r="AEE24" s="15">
        <v>17</v>
      </c>
      <c r="AEF24" s="93"/>
      <c r="AEG24" s="80"/>
      <c r="AEH24" s="93"/>
      <c r="AEI24" s="96"/>
      <c r="AEJ24" s="72"/>
      <c r="AEM24" s="108"/>
      <c r="AEN24" s="15">
        <v>17</v>
      </c>
      <c r="AEO24" s="93"/>
      <c r="AEP24" s="80"/>
      <c r="AEQ24" s="93"/>
      <c r="AER24" s="96"/>
      <c r="AES24" s="72"/>
    </row>
    <row r="25" spans="1:828" x14ac:dyDescent="0.25">
      <c r="A25" s="143">
        <v>22</v>
      </c>
      <c r="B25" s="76" t="str">
        <f t="shared" ref="B25:I25" si="63">HM5</f>
        <v>TYSON FRESH MEAT</v>
      </c>
      <c r="C25" s="72" t="str">
        <f t="shared" si="63"/>
        <v xml:space="preserve">I B P </v>
      </c>
      <c r="D25" s="104" t="str">
        <f t="shared" si="63"/>
        <v>PED. 75291957</v>
      </c>
      <c r="E25" s="141">
        <f t="shared" si="63"/>
        <v>44552</v>
      </c>
      <c r="F25" s="87">
        <f t="shared" si="63"/>
        <v>18545.189999999999</v>
      </c>
      <c r="G25" s="74">
        <f t="shared" si="63"/>
        <v>20</v>
      </c>
      <c r="H25" s="48">
        <f t="shared" si="63"/>
        <v>18538.59</v>
      </c>
      <c r="I25" s="107">
        <f t="shared" si="63"/>
        <v>6.5999999999985448</v>
      </c>
      <c r="L25" s="95"/>
      <c r="M25" s="15">
        <v>18</v>
      </c>
      <c r="N25" s="292">
        <v>880.9</v>
      </c>
      <c r="O25" s="341">
        <v>44537</v>
      </c>
      <c r="P25" s="292">
        <v>880.9</v>
      </c>
      <c r="Q25" s="96" t="s">
        <v>455</v>
      </c>
      <c r="R25" s="72">
        <v>37</v>
      </c>
      <c r="S25" s="627">
        <f t="shared" si="6"/>
        <v>32593.3</v>
      </c>
      <c r="T25" s="255"/>
      <c r="V25" s="241"/>
      <c r="W25" s="15">
        <v>18</v>
      </c>
      <c r="X25" s="292">
        <v>925.8</v>
      </c>
      <c r="Y25" s="346">
        <v>44538</v>
      </c>
      <c r="Z25" s="292">
        <v>925.8</v>
      </c>
      <c r="AA25" s="406" t="s">
        <v>469</v>
      </c>
      <c r="AB25" s="279">
        <v>37</v>
      </c>
      <c r="AC25" s="338">
        <f t="shared" si="7"/>
        <v>34254.6</v>
      </c>
      <c r="AF25" s="95"/>
      <c r="AG25" s="15">
        <v>18</v>
      </c>
      <c r="AH25" s="93">
        <v>902.6</v>
      </c>
      <c r="AI25" s="341">
        <v>44537</v>
      </c>
      <c r="AJ25" s="93">
        <v>902.6</v>
      </c>
      <c r="AK25" s="96" t="s">
        <v>465</v>
      </c>
      <c r="AL25" s="72">
        <v>37</v>
      </c>
      <c r="AM25" s="630">
        <f t="shared" si="8"/>
        <v>33396.200000000004</v>
      </c>
      <c r="AP25" s="95"/>
      <c r="AQ25" s="15">
        <v>18</v>
      </c>
      <c r="AR25" s="335">
        <v>915.34</v>
      </c>
      <c r="AS25" s="346">
        <v>44538</v>
      </c>
      <c r="AT25" s="335">
        <v>915.34</v>
      </c>
      <c r="AU25" s="334" t="s">
        <v>488</v>
      </c>
      <c r="AV25" s="279">
        <v>37</v>
      </c>
      <c r="AW25" s="338">
        <f t="shared" si="9"/>
        <v>33867.58</v>
      </c>
      <c r="AZ25" s="108"/>
      <c r="BA25" s="15">
        <v>18</v>
      </c>
      <c r="BB25" s="93">
        <v>909.9</v>
      </c>
      <c r="BC25" s="141">
        <v>44539</v>
      </c>
      <c r="BD25" s="93">
        <v>909.9</v>
      </c>
      <c r="BE25" s="96" t="s">
        <v>459</v>
      </c>
      <c r="BF25" s="400">
        <v>36</v>
      </c>
      <c r="BG25" s="646">
        <f t="shared" si="10"/>
        <v>32756.399999999998</v>
      </c>
      <c r="BJ25" s="108"/>
      <c r="BK25" s="15">
        <v>18</v>
      </c>
      <c r="BL25" s="93">
        <v>933</v>
      </c>
      <c r="BM25" s="141">
        <v>44540</v>
      </c>
      <c r="BN25" s="93">
        <v>933</v>
      </c>
      <c r="BO25" s="96" t="s">
        <v>483</v>
      </c>
      <c r="BP25" s="400">
        <v>36</v>
      </c>
      <c r="BQ25" s="857">
        <f t="shared" si="11"/>
        <v>33588</v>
      </c>
      <c r="BT25" s="108"/>
      <c r="BU25" s="276">
        <v>18</v>
      </c>
      <c r="BV25" s="292">
        <v>866.8</v>
      </c>
      <c r="BW25" s="401">
        <v>44541</v>
      </c>
      <c r="BX25" s="292">
        <v>866.8</v>
      </c>
      <c r="BY25" s="402" t="s">
        <v>508</v>
      </c>
      <c r="BZ25" s="403">
        <v>36</v>
      </c>
      <c r="CA25" s="627">
        <f t="shared" si="12"/>
        <v>31204.799999999999</v>
      </c>
      <c r="CD25" s="909"/>
      <c r="CE25" s="15">
        <v>18</v>
      </c>
      <c r="CF25" s="93">
        <v>881.3</v>
      </c>
      <c r="CG25" s="401">
        <v>44541</v>
      </c>
      <c r="CH25" s="93">
        <v>881.3</v>
      </c>
      <c r="CI25" s="404" t="s">
        <v>474</v>
      </c>
      <c r="CJ25" s="403">
        <v>36</v>
      </c>
      <c r="CK25" s="627">
        <f t="shared" si="13"/>
        <v>31726.799999999999</v>
      </c>
      <c r="CN25" s="673"/>
      <c r="CO25" s="15">
        <v>18</v>
      </c>
      <c r="CP25" s="292">
        <v>891.8</v>
      </c>
      <c r="CQ25" s="401">
        <v>44544</v>
      </c>
      <c r="CR25" s="292">
        <v>891.8</v>
      </c>
      <c r="CS25" s="404" t="s">
        <v>522</v>
      </c>
      <c r="CT25" s="403">
        <v>38</v>
      </c>
      <c r="CU25" s="635">
        <f t="shared" si="48"/>
        <v>33888.400000000001</v>
      </c>
      <c r="CX25" s="95"/>
      <c r="CY25" s="15">
        <v>18</v>
      </c>
      <c r="CZ25" s="93">
        <v>891.3</v>
      </c>
      <c r="DA25" s="341">
        <v>44544</v>
      </c>
      <c r="DB25" s="93">
        <v>891.3</v>
      </c>
      <c r="DC25" s="96" t="s">
        <v>516</v>
      </c>
      <c r="DD25" s="72">
        <v>38</v>
      </c>
      <c r="DE25" s="627">
        <f t="shared" si="14"/>
        <v>33869.4</v>
      </c>
      <c r="DH25" s="95"/>
      <c r="DI25" s="15">
        <v>18</v>
      </c>
      <c r="DJ25" s="93">
        <v>911.3</v>
      </c>
      <c r="DK25" s="401">
        <v>44544</v>
      </c>
      <c r="DL25" s="93">
        <v>911.3</v>
      </c>
      <c r="DM25" s="404" t="s">
        <v>463</v>
      </c>
      <c r="DN25" s="403">
        <v>38</v>
      </c>
      <c r="DO25" s="635">
        <f t="shared" si="15"/>
        <v>34629.4</v>
      </c>
      <c r="DR25" s="95"/>
      <c r="DS25" s="15">
        <v>18</v>
      </c>
      <c r="DT25" s="93">
        <v>952.99</v>
      </c>
      <c r="DU25" s="401">
        <v>44545</v>
      </c>
      <c r="DV25" s="93">
        <v>952.99</v>
      </c>
      <c r="DW25" s="404" t="s">
        <v>487</v>
      </c>
      <c r="DX25" s="403">
        <v>38</v>
      </c>
      <c r="DY25" s="627">
        <f t="shared" si="16"/>
        <v>36213.620000000003</v>
      </c>
      <c r="EB25" s="95"/>
      <c r="EC25" s="15">
        <v>18</v>
      </c>
      <c r="ED25" s="70">
        <v>908.1</v>
      </c>
      <c r="EE25" s="357">
        <v>44546</v>
      </c>
      <c r="EF25" s="70">
        <v>908.1</v>
      </c>
      <c r="EG25" s="71" t="s">
        <v>532</v>
      </c>
      <c r="EH25" s="72">
        <v>38</v>
      </c>
      <c r="EI25" s="627">
        <f t="shared" si="17"/>
        <v>34507.800000000003</v>
      </c>
      <c r="EL25" s="95"/>
      <c r="EM25" s="15">
        <v>18</v>
      </c>
      <c r="EN25" s="292">
        <v>896.7</v>
      </c>
      <c r="EO25" s="346">
        <v>44546</v>
      </c>
      <c r="EP25" s="292">
        <v>896.7</v>
      </c>
      <c r="EQ25" s="278" t="s">
        <v>531</v>
      </c>
      <c r="ER25" s="279">
        <v>38</v>
      </c>
      <c r="ES25" s="627">
        <f t="shared" si="18"/>
        <v>34074.6</v>
      </c>
      <c r="EV25" s="95"/>
      <c r="EW25" s="15">
        <v>18</v>
      </c>
      <c r="EX25" s="70">
        <v>909.4</v>
      </c>
      <c r="EY25" s="357">
        <v>44548</v>
      </c>
      <c r="EZ25" s="70">
        <v>909.4</v>
      </c>
      <c r="FA25" s="278" t="s">
        <v>550</v>
      </c>
      <c r="FB25" s="72">
        <v>38</v>
      </c>
      <c r="FC25" s="338">
        <f t="shared" si="19"/>
        <v>34557.199999999997</v>
      </c>
      <c r="FF25" s="95"/>
      <c r="FG25" s="15">
        <v>18</v>
      </c>
      <c r="FH25" s="292">
        <v>904</v>
      </c>
      <c r="FI25" s="346">
        <v>44548</v>
      </c>
      <c r="FJ25" s="292">
        <v>904</v>
      </c>
      <c r="FK25" s="278" t="s">
        <v>539</v>
      </c>
      <c r="FL25" s="279">
        <v>38</v>
      </c>
      <c r="FM25" s="627">
        <f t="shared" si="20"/>
        <v>34352</v>
      </c>
      <c r="FP25" s="95"/>
      <c r="FQ25" s="15">
        <v>18</v>
      </c>
      <c r="FR25" s="93">
        <v>904.9</v>
      </c>
      <c r="FS25" s="341">
        <v>44551</v>
      </c>
      <c r="FT25" s="93">
        <v>904.9</v>
      </c>
      <c r="FU25" s="71" t="s">
        <v>572</v>
      </c>
      <c r="FV25" s="72">
        <v>38</v>
      </c>
      <c r="FW25" s="627">
        <f t="shared" si="21"/>
        <v>34386.199999999997</v>
      </c>
      <c r="FX25" s="72"/>
      <c r="FZ25" s="95"/>
      <c r="GA25" s="15">
        <v>18</v>
      </c>
      <c r="GB25" s="70">
        <v>911.7</v>
      </c>
      <c r="GC25" s="545">
        <v>44551</v>
      </c>
      <c r="GD25" s="70">
        <v>911.7</v>
      </c>
      <c r="GE25" s="278" t="s">
        <v>565</v>
      </c>
      <c r="GF25" s="279">
        <v>39</v>
      </c>
      <c r="GG25" s="338">
        <f t="shared" si="22"/>
        <v>35556.300000000003</v>
      </c>
      <c r="GJ25" s="95"/>
      <c r="GK25" s="15">
        <v>18</v>
      </c>
      <c r="GL25" s="523">
        <v>915.8</v>
      </c>
      <c r="GM25" s="341">
        <v>44551</v>
      </c>
      <c r="GN25" s="523">
        <v>915.8</v>
      </c>
      <c r="GO25" s="96" t="s">
        <v>567</v>
      </c>
      <c r="GP25" s="72">
        <v>39</v>
      </c>
      <c r="GQ25" s="627">
        <f t="shared" si="23"/>
        <v>35716.199999999997</v>
      </c>
      <c r="GT25" s="95"/>
      <c r="GU25" s="15">
        <v>18</v>
      </c>
      <c r="GV25" s="292">
        <v>886.3</v>
      </c>
      <c r="GW25" s="346">
        <v>44551</v>
      </c>
      <c r="GX25" s="292">
        <v>886.3</v>
      </c>
      <c r="GY25" s="334" t="s">
        <v>569</v>
      </c>
      <c r="GZ25" s="279">
        <v>39</v>
      </c>
      <c r="HA25" s="627">
        <f t="shared" si="24"/>
        <v>34565.699999999997</v>
      </c>
      <c r="HD25" s="95"/>
      <c r="HE25" s="15">
        <v>18</v>
      </c>
      <c r="HF25" s="93">
        <v>893.6</v>
      </c>
      <c r="HG25" s="341">
        <v>44552</v>
      </c>
      <c r="HH25" s="93">
        <v>893.6</v>
      </c>
      <c r="HI25" s="96" t="s">
        <v>582</v>
      </c>
      <c r="HJ25" s="72">
        <v>41</v>
      </c>
      <c r="HK25" s="338">
        <f t="shared" si="25"/>
        <v>36637.599999999999</v>
      </c>
      <c r="HN25" s="241"/>
      <c r="HO25" s="15">
        <v>18</v>
      </c>
      <c r="HP25" s="292">
        <v>916.71</v>
      </c>
      <c r="HQ25" s="346">
        <v>44552</v>
      </c>
      <c r="HR25" s="292">
        <v>916.71</v>
      </c>
      <c r="HS25" s="406" t="s">
        <v>579</v>
      </c>
      <c r="HT25" s="279">
        <v>41</v>
      </c>
      <c r="HU25" s="627">
        <f t="shared" si="26"/>
        <v>37585.11</v>
      </c>
      <c r="HX25" s="108"/>
      <c r="HY25" s="15">
        <v>18</v>
      </c>
      <c r="HZ25" s="70">
        <v>935.3</v>
      </c>
      <c r="IA25" s="357">
        <v>44553</v>
      </c>
      <c r="IB25" s="70">
        <v>935.3</v>
      </c>
      <c r="IC25" s="71" t="s">
        <v>592</v>
      </c>
      <c r="ID25" s="72">
        <v>42</v>
      </c>
      <c r="IE25" s="627">
        <f t="shared" si="27"/>
        <v>39282.6</v>
      </c>
      <c r="IH25" s="108"/>
      <c r="II25" s="15">
        <v>18</v>
      </c>
      <c r="IJ25" s="70">
        <v>911.72</v>
      </c>
      <c r="IK25" s="357">
        <v>44553</v>
      </c>
      <c r="IL25" s="70">
        <v>911.72</v>
      </c>
      <c r="IM25" s="71" t="s">
        <v>599</v>
      </c>
      <c r="IN25" s="72">
        <v>41</v>
      </c>
      <c r="IO25" s="627">
        <f t="shared" si="28"/>
        <v>37380.520000000004</v>
      </c>
      <c r="IR25" s="95"/>
      <c r="IS25" s="15">
        <v>18</v>
      </c>
      <c r="IT25" s="292">
        <v>899.5</v>
      </c>
      <c r="IU25" s="258">
        <v>44554</v>
      </c>
      <c r="IV25" s="292">
        <v>899.5</v>
      </c>
      <c r="IW25" s="552" t="s">
        <v>611</v>
      </c>
      <c r="IX25" s="279">
        <v>41</v>
      </c>
      <c r="IY25" s="338">
        <f t="shared" si="29"/>
        <v>36879.5</v>
      </c>
      <c r="JA25" s="70"/>
      <c r="JB25" s="95"/>
      <c r="JC25" s="15">
        <v>18</v>
      </c>
      <c r="JD25" s="93">
        <v>880</v>
      </c>
      <c r="JE25" s="357">
        <v>44554</v>
      </c>
      <c r="JF25" s="93">
        <v>880</v>
      </c>
      <c r="JG25" s="71" t="s">
        <v>613</v>
      </c>
      <c r="JH25" s="72">
        <v>41</v>
      </c>
      <c r="JI25" s="627">
        <f t="shared" si="30"/>
        <v>36080</v>
      </c>
      <c r="JL25" s="95"/>
      <c r="JM25" s="15">
        <v>18</v>
      </c>
      <c r="JN25" s="93">
        <v>907.2</v>
      </c>
      <c r="JO25" s="341">
        <v>44554</v>
      </c>
      <c r="JP25" s="93">
        <v>907.2</v>
      </c>
      <c r="JQ25" s="71" t="s">
        <v>604</v>
      </c>
      <c r="JR25" s="72">
        <v>41</v>
      </c>
      <c r="JS25" s="627">
        <f t="shared" si="31"/>
        <v>37195.200000000004</v>
      </c>
      <c r="JV25" s="95"/>
      <c r="JW25" s="15">
        <v>18</v>
      </c>
      <c r="JX25" s="70">
        <v>915.3</v>
      </c>
      <c r="JY25" s="357">
        <v>44554</v>
      </c>
      <c r="JZ25" s="70">
        <v>915.3</v>
      </c>
      <c r="KA25" s="71" t="s">
        <v>605</v>
      </c>
      <c r="KB25" s="72">
        <v>41</v>
      </c>
      <c r="KC25" s="627">
        <f t="shared" si="32"/>
        <v>37527.299999999996</v>
      </c>
      <c r="KF25" s="95"/>
      <c r="KG25" s="15">
        <v>18</v>
      </c>
      <c r="KH25" s="70">
        <v>909.9</v>
      </c>
      <c r="KI25" s="357">
        <v>44556</v>
      </c>
      <c r="KJ25" s="70">
        <v>909.9</v>
      </c>
      <c r="KK25" s="71" t="s">
        <v>618</v>
      </c>
      <c r="KL25" s="72">
        <v>41</v>
      </c>
      <c r="KM25" s="627">
        <f t="shared" si="33"/>
        <v>37305.9</v>
      </c>
      <c r="KP25" s="95"/>
      <c r="KQ25" s="15">
        <v>18</v>
      </c>
      <c r="KR25" s="70">
        <v>894</v>
      </c>
      <c r="KS25" s="357">
        <v>44558</v>
      </c>
      <c r="KT25" s="70">
        <v>894</v>
      </c>
      <c r="KU25" s="71" t="s">
        <v>636</v>
      </c>
      <c r="KV25" s="72">
        <v>42</v>
      </c>
      <c r="KW25" s="627">
        <f t="shared" si="34"/>
        <v>37548</v>
      </c>
      <c r="KZ25" s="95"/>
      <c r="LA25" s="15">
        <v>18</v>
      </c>
      <c r="LB25" s="93">
        <v>882.69</v>
      </c>
      <c r="LC25" s="341">
        <v>44558</v>
      </c>
      <c r="LD25" s="93">
        <v>882.69</v>
      </c>
      <c r="LE25" s="96" t="s">
        <v>642</v>
      </c>
      <c r="LF25" s="72">
        <v>42</v>
      </c>
      <c r="LG25" s="627">
        <f t="shared" si="35"/>
        <v>37072.980000000003</v>
      </c>
      <c r="LJ25" s="95"/>
      <c r="LK25" s="15">
        <v>18</v>
      </c>
      <c r="LL25" s="292">
        <v>932.13</v>
      </c>
      <c r="LM25" s="341">
        <v>44559</v>
      </c>
      <c r="LN25" s="292">
        <v>932.13</v>
      </c>
      <c r="LO25" s="96" t="s">
        <v>655</v>
      </c>
      <c r="LP25" s="72">
        <v>42</v>
      </c>
      <c r="LQ25" s="627">
        <f t="shared" si="36"/>
        <v>39149.46</v>
      </c>
      <c r="LT25" s="95"/>
      <c r="LU25" s="15">
        <v>18</v>
      </c>
      <c r="LV25" s="93">
        <v>912.2</v>
      </c>
      <c r="LW25" s="341">
        <v>44559</v>
      </c>
      <c r="LX25" s="93">
        <v>912.2</v>
      </c>
      <c r="LY25" s="96" t="s">
        <v>649</v>
      </c>
      <c r="LZ25" s="72">
        <v>42</v>
      </c>
      <c r="MA25" s="627">
        <f t="shared" si="37"/>
        <v>38312.400000000001</v>
      </c>
      <c r="MB25" s="627"/>
      <c r="MD25" s="95"/>
      <c r="ME25" s="15">
        <v>18</v>
      </c>
      <c r="MF25" s="412">
        <v>880.4</v>
      </c>
      <c r="MG25" s="341">
        <v>44560</v>
      </c>
      <c r="MH25" s="412">
        <v>880.4</v>
      </c>
      <c r="MI25" s="96" t="s">
        <v>661</v>
      </c>
      <c r="MJ25" s="72">
        <v>43</v>
      </c>
      <c r="MK25" s="72">
        <f t="shared" si="38"/>
        <v>37857.199999999997</v>
      </c>
      <c r="MN25" s="95"/>
      <c r="MO25" s="15">
        <v>18</v>
      </c>
      <c r="MP25" s="93">
        <v>990.21</v>
      </c>
      <c r="MQ25" s="341">
        <v>44560</v>
      </c>
      <c r="MR25" s="93">
        <v>990.21</v>
      </c>
      <c r="MS25" s="96" t="s">
        <v>663</v>
      </c>
      <c r="MT25" s="72">
        <v>43</v>
      </c>
      <c r="MU25" s="72">
        <f t="shared" si="39"/>
        <v>42579.03</v>
      </c>
      <c r="MX25" s="95"/>
      <c r="MY25" s="15">
        <v>18</v>
      </c>
      <c r="MZ25" s="93">
        <v>911.3</v>
      </c>
      <c r="NA25" s="341">
        <v>44561</v>
      </c>
      <c r="NB25" s="93">
        <v>911.3</v>
      </c>
      <c r="NC25" s="96" t="s">
        <v>667</v>
      </c>
      <c r="ND25" s="72">
        <v>40</v>
      </c>
      <c r="NE25" s="72">
        <f t="shared" si="40"/>
        <v>36452</v>
      </c>
      <c r="NH25" s="95"/>
      <c r="NI25" s="15">
        <v>18</v>
      </c>
      <c r="NJ25" s="93">
        <v>932.6</v>
      </c>
      <c r="NK25" s="341"/>
      <c r="NL25" s="93"/>
      <c r="NM25" s="96"/>
      <c r="NN25" s="72"/>
      <c r="NO25" s="72">
        <f t="shared" si="41"/>
        <v>0</v>
      </c>
      <c r="NR25" s="95"/>
      <c r="NS25" s="15">
        <v>18</v>
      </c>
      <c r="NT25" s="93">
        <v>930.8</v>
      </c>
      <c r="NU25" s="341">
        <v>44563</v>
      </c>
      <c r="NV25" s="93">
        <v>930.8</v>
      </c>
      <c r="NW25" s="96" t="s">
        <v>682</v>
      </c>
      <c r="NX25" s="72">
        <v>34</v>
      </c>
      <c r="NY25" s="72">
        <f t="shared" si="42"/>
        <v>31647.199999999997</v>
      </c>
      <c r="OB25" s="95"/>
      <c r="OC25" s="15">
        <v>18</v>
      </c>
      <c r="OD25" s="93"/>
      <c r="OE25" s="341"/>
      <c r="OF25" s="93"/>
      <c r="OG25" s="96"/>
      <c r="OH25" s="72"/>
      <c r="OI25" s="72">
        <f t="shared" si="43"/>
        <v>0</v>
      </c>
      <c r="OL25" s="95"/>
      <c r="OM25" s="15">
        <v>18</v>
      </c>
      <c r="ON25" s="93"/>
      <c r="OO25" s="341"/>
      <c r="OP25" s="93"/>
      <c r="OQ25" s="96"/>
      <c r="OR25" s="72"/>
      <c r="OS25" s="72">
        <f t="shared" si="44"/>
        <v>0</v>
      </c>
      <c r="OV25" s="95"/>
      <c r="OW25" s="15">
        <v>18</v>
      </c>
      <c r="OX25" s="292"/>
      <c r="OY25" s="346"/>
      <c r="OZ25" s="292"/>
      <c r="PA25" s="334"/>
      <c r="PB25" s="279"/>
      <c r="PC25" s="279">
        <f t="shared" si="45"/>
        <v>0</v>
      </c>
      <c r="PF25" s="95"/>
      <c r="PG25" s="15">
        <v>18</v>
      </c>
      <c r="PH25" s="93"/>
      <c r="PI25" s="341"/>
      <c r="PJ25" s="93"/>
      <c r="PK25" s="96"/>
      <c r="PL25" s="72"/>
      <c r="PM25" s="72">
        <f t="shared" si="46"/>
        <v>0</v>
      </c>
      <c r="PP25" s="108"/>
      <c r="PQ25" s="15">
        <v>18</v>
      </c>
      <c r="PR25" s="93"/>
      <c r="PS25" s="341"/>
      <c r="PT25" s="93"/>
      <c r="PU25" s="96"/>
      <c r="PV25" s="72"/>
      <c r="PY25" s="108"/>
      <c r="PZ25" s="15">
        <v>18</v>
      </c>
      <c r="QA25" s="93"/>
      <c r="QB25" s="141"/>
      <c r="QC25" s="93"/>
      <c r="QD25" s="96"/>
      <c r="QE25" s="72"/>
      <c r="QH25" s="108"/>
      <c r="QI25" s="15">
        <v>18</v>
      </c>
      <c r="QJ25" s="93"/>
      <c r="QK25" s="341"/>
      <c r="QL25" s="93"/>
      <c r="QM25" s="96"/>
      <c r="QN25" s="72"/>
      <c r="QQ25" s="108"/>
      <c r="QR25" s="15">
        <v>18</v>
      </c>
      <c r="QS25" s="93"/>
      <c r="QT25" s="341"/>
      <c r="QU25" s="93"/>
      <c r="QV25" s="96"/>
      <c r="QW25" s="72"/>
      <c r="QZ25" s="108"/>
      <c r="RA25" s="15">
        <v>18</v>
      </c>
      <c r="RB25" s="93"/>
      <c r="RC25" s="341"/>
      <c r="RD25" s="93"/>
      <c r="RE25" s="96"/>
      <c r="RF25" s="72"/>
      <c r="RI25" s="108"/>
      <c r="RJ25" s="15">
        <v>18</v>
      </c>
      <c r="RK25" s="93"/>
      <c r="RL25" s="341"/>
      <c r="RM25" s="93"/>
      <c r="RN25" s="96"/>
      <c r="RO25" s="400"/>
      <c r="RR25" s="108"/>
      <c r="RS25" s="15">
        <v>18</v>
      </c>
      <c r="RT25" s="93"/>
      <c r="RU25" s="141"/>
      <c r="RV25" s="93"/>
      <c r="RW25" s="96"/>
      <c r="RX25" s="72"/>
      <c r="SA25" s="108"/>
      <c r="SB25" s="15">
        <v>18</v>
      </c>
      <c r="SC25" s="93"/>
      <c r="SD25" s="80"/>
      <c r="SE25" s="93"/>
      <c r="SF25" s="96"/>
      <c r="SG25" s="72"/>
      <c r="SJ25" s="108"/>
      <c r="SK25" s="15">
        <v>18</v>
      </c>
      <c r="SL25" s="93"/>
      <c r="SM25" s="80"/>
      <c r="SN25" s="93"/>
      <c r="SO25" s="96"/>
      <c r="SP25" s="72"/>
      <c r="SS25" s="108"/>
      <c r="ST25" s="15"/>
      <c r="SU25" s="93"/>
      <c r="SV25" s="80"/>
      <c r="SW25" s="93"/>
      <c r="SX25" s="96"/>
      <c r="SY25" s="72"/>
      <c r="TB25" s="108"/>
      <c r="TC25" s="15">
        <v>18</v>
      </c>
      <c r="TD25" s="93"/>
      <c r="TE25" s="411"/>
      <c r="TF25" s="189"/>
      <c r="TG25" s="404"/>
      <c r="TH25" s="403"/>
      <c r="TK25" s="108"/>
      <c r="TL25" s="15"/>
      <c r="TM25" s="93"/>
      <c r="TN25" s="80"/>
      <c r="TO25" s="93"/>
      <c r="TP25" s="96"/>
      <c r="TQ25" s="72"/>
      <c r="TT25" s="108"/>
      <c r="TU25" s="15">
        <v>18</v>
      </c>
      <c r="TV25" s="93"/>
      <c r="TW25" s="80"/>
      <c r="TX25" s="93"/>
      <c r="TY25" s="96"/>
      <c r="TZ25" s="72"/>
      <c r="UC25" s="108"/>
      <c r="UD25" s="15"/>
      <c r="UE25" s="93"/>
      <c r="UF25" s="80"/>
      <c r="UG25" s="93"/>
      <c r="UH25" s="96"/>
      <c r="UI25" s="72"/>
      <c r="UL25" s="108"/>
      <c r="UM25" s="15">
        <v>18</v>
      </c>
      <c r="UN25" s="93"/>
      <c r="UO25" s="80"/>
      <c r="UP25" s="93"/>
      <c r="UQ25" s="96"/>
      <c r="UR25" s="72"/>
      <c r="UU25" s="108"/>
      <c r="UV25" s="15">
        <v>18</v>
      </c>
      <c r="UW25" s="93"/>
      <c r="UX25" s="80"/>
      <c r="UY25" s="93"/>
      <c r="UZ25" s="96"/>
      <c r="VA25" s="72"/>
      <c r="VD25" s="108"/>
      <c r="VE25" s="15">
        <v>18</v>
      </c>
      <c r="VF25" s="93"/>
      <c r="VG25" s="80"/>
      <c r="VH25" s="93"/>
      <c r="VI25" s="96"/>
      <c r="VJ25" s="72"/>
      <c r="VM25" s="108"/>
      <c r="VN25" s="15">
        <v>18</v>
      </c>
      <c r="VO25" s="93"/>
      <c r="VP25" s="80"/>
      <c r="VQ25" s="93"/>
      <c r="VR25" s="96"/>
      <c r="VS25" s="72"/>
      <c r="VV25" s="108"/>
      <c r="VW25" s="15">
        <v>18</v>
      </c>
      <c r="VX25" s="93"/>
      <c r="VY25" s="80"/>
      <c r="VZ25" s="93"/>
      <c r="WA25" s="96"/>
      <c r="WB25" s="72"/>
      <c r="WE25" s="108"/>
      <c r="WF25" s="15">
        <v>18</v>
      </c>
      <c r="WG25" s="93"/>
      <c r="WH25" s="80"/>
      <c r="WI25" s="93"/>
      <c r="WJ25" s="96"/>
      <c r="WK25" s="72"/>
      <c r="WN25" s="108"/>
      <c r="WO25" s="15">
        <v>18</v>
      </c>
      <c r="WP25" s="93"/>
      <c r="WQ25" s="80"/>
      <c r="WR25" s="93"/>
      <c r="WS25" s="96"/>
      <c r="WT25" s="72"/>
      <c r="WW25" s="108"/>
      <c r="WX25" s="15">
        <v>18</v>
      </c>
      <c r="WY25" s="93"/>
      <c r="WZ25" s="80"/>
      <c r="XA25" s="93"/>
      <c r="XB25" s="96"/>
      <c r="XC25" s="72"/>
      <c r="XF25" s="108"/>
      <c r="XG25" s="15">
        <v>18</v>
      </c>
      <c r="XH25" s="93"/>
      <c r="XI25" s="80"/>
      <c r="XJ25" s="93"/>
      <c r="XK25" s="96"/>
      <c r="XL25" s="72"/>
      <c r="XO25" s="108"/>
      <c r="XP25" s="15">
        <v>18</v>
      </c>
      <c r="XQ25" s="93"/>
      <c r="XR25" s="80"/>
      <c r="XS25" s="93"/>
      <c r="XT25" s="96"/>
      <c r="XU25" s="72"/>
      <c r="XX25" s="108"/>
      <c r="XY25" s="15">
        <v>18</v>
      </c>
      <c r="XZ25" s="93"/>
      <c r="YA25" s="80"/>
      <c r="YB25" s="93"/>
      <c r="YC25" s="96"/>
      <c r="YD25" s="72"/>
      <c r="YG25" s="108"/>
      <c r="YH25" s="15">
        <v>18</v>
      </c>
      <c r="YI25" s="93"/>
      <c r="YJ25" s="80"/>
      <c r="YK25" s="93"/>
      <c r="YL25" s="96"/>
      <c r="YM25" s="72"/>
      <c r="YP25" s="108"/>
      <c r="YQ25" s="15">
        <v>18</v>
      </c>
      <c r="YR25" s="93"/>
      <c r="YS25" s="80"/>
      <c r="YT25" s="93"/>
      <c r="YU25" s="96"/>
      <c r="YV25" s="72"/>
      <c r="YY25" s="108"/>
      <c r="YZ25" s="15">
        <v>18</v>
      </c>
      <c r="ZA25" s="93"/>
      <c r="ZB25" s="80"/>
      <c r="ZC25" s="93"/>
      <c r="ZD25" s="96"/>
      <c r="ZE25" s="72"/>
      <c r="ZH25" s="108"/>
      <c r="ZI25" s="15">
        <v>18</v>
      </c>
      <c r="ZJ25" s="93"/>
      <c r="ZK25" s="80"/>
      <c r="ZL25" s="93"/>
      <c r="ZM25" s="96"/>
      <c r="ZN25" s="72"/>
      <c r="ZQ25" s="108"/>
      <c r="ZR25" s="15">
        <v>18</v>
      </c>
      <c r="ZS25" s="93"/>
      <c r="ZT25" s="80"/>
      <c r="ZU25" s="93"/>
      <c r="ZV25" s="96"/>
      <c r="ZW25" s="72"/>
      <c r="ZZ25" s="108"/>
      <c r="AAA25" s="15">
        <v>18</v>
      </c>
      <c r="AAB25" s="93"/>
      <c r="AAC25" s="80"/>
      <c r="AAD25" s="93"/>
      <c r="AAE25" s="96"/>
      <c r="AAF25" s="72"/>
      <c r="AAI25" s="108"/>
      <c r="AAJ25" s="15">
        <v>18</v>
      </c>
      <c r="AAK25" s="93"/>
      <c r="AAL25" s="80"/>
      <c r="AAM25" s="93"/>
      <c r="AAN25" s="96"/>
      <c r="AAO25" s="72"/>
      <c r="AAR25" s="108"/>
      <c r="AAS25" s="15">
        <v>18</v>
      </c>
      <c r="AAT25" s="93"/>
      <c r="AAU25" s="80"/>
      <c r="AAV25" s="93"/>
      <c r="AAW25" s="96"/>
      <c r="AAX25" s="72"/>
      <c r="ABA25" s="108"/>
      <c r="ABB25" s="15">
        <v>18</v>
      </c>
      <c r="ABC25" s="93"/>
      <c r="ABD25" s="80"/>
      <c r="ABE25" s="93"/>
      <c r="ABF25" s="96"/>
      <c r="ABG25" s="72"/>
      <c r="ABJ25" s="108"/>
      <c r="ABK25" s="15">
        <v>18</v>
      </c>
      <c r="ABL25" s="93"/>
      <c r="ABM25" s="80"/>
      <c r="ABN25" s="93"/>
      <c r="ABO25" s="96"/>
      <c r="ABP25" s="72"/>
      <c r="ABS25" s="108"/>
      <c r="ABT25" s="15">
        <v>18</v>
      </c>
      <c r="ABU25" s="93"/>
      <c r="ABV25" s="80"/>
      <c r="ABW25" s="93"/>
      <c r="ABX25" s="96"/>
      <c r="ABY25" s="72"/>
      <c r="ACB25" s="108"/>
      <c r="ACC25" s="15">
        <v>18</v>
      </c>
      <c r="ACD25" s="93"/>
      <c r="ACE25" s="80"/>
      <c r="ACF25" s="93"/>
      <c r="ACG25" s="96"/>
      <c r="ACH25" s="72"/>
      <c r="ACK25" s="108"/>
      <c r="ACL25" s="15">
        <v>18</v>
      </c>
      <c r="ACM25" s="93"/>
      <c r="ACN25" s="80"/>
      <c r="ACO25" s="93"/>
      <c r="ACP25" s="96"/>
      <c r="ACQ25" s="72"/>
      <c r="ACT25" s="108"/>
      <c r="ACU25" s="15">
        <v>18</v>
      </c>
      <c r="ACV25" s="93"/>
      <c r="ACW25" s="80"/>
      <c r="ACX25" s="93"/>
      <c r="ACY25" s="96"/>
      <c r="ACZ25" s="72"/>
      <c r="ADC25" s="108"/>
      <c r="ADD25" s="15">
        <v>18</v>
      </c>
      <c r="ADE25" s="93"/>
      <c r="ADF25" s="80"/>
      <c r="ADG25" s="93"/>
      <c r="ADH25" s="96"/>
      <c r="ADI25" s="72"/>
      <c r="ADL25" s="108"/>
      <c r="ADM25" s="15">
        <v>18</v>
      </c>
      <c r="ADN25" s="93"/>
      <c r="ADO25" s="80"/>
      <c r="ADP25" s="93"/>
      <c r="ADQ25" s="96"/>
      <c r="ADR25" s="72"/>
      <c r="ADU25" s="108"/>
      <c r="ADV25" s="15">
        <v>18</v>
      </c>
      <c r="ADW25" s="93"/>
      <c r="ADX25" s="80"/>
      <c r="ADY25" s="93"/>
      <c r="ADZ25" s="96"/>
      <c r="AEA25" s="72"/>
      <c r="AED25" s="108"/>
      <c r="AEE25" s="15">
        <v>18</v>
      </c>
      <c r="AEF25" s="93"/>
      <c r="AEG25" s="80"/>
      <c r="AEH25" s="93"/>
      <c r="AEI25" s="96"/>
      <c r="AEJ25" s="72"/>
      <c r="AEM25" s="108"/>
      <c r="AEN25" s="15">
        <v>18</v>
      </c>
      <c r="AEO25" s="93"/>
      <c r="AEP25" s="80"/>
      <c r="AEQ25" s="93"/>
      <c r="AER25" s="96"/>
      <c r="AES25" s="72"/>
    </row>
    <row r="26" spans="1:828" x14ac:dyDescent="0.25">
      <c r="A26" s="143">
        <v>23</v>
      </c>
      <c r="B26" s="76" t="str">
        <f t="shared" ref="B26:I26" si="64">HW5</f>
        <v>TYSON FRESH MEATS</v>
      </c>
      <c r="C26" s="76" t="str">
        <f t="shared" si="64"/>
        <v xml:space="preserve">I B P </v>
      </c>
      <c r="D26" s="104" t="str">
        <f t="shared" si="64"/>
        <v>PED. 75314616</v>
      </c>
      <c r="E26" s="141">
        <f t="shared" si="64"/>
        <v>44553</v>
      </c>
      <c r="F26" s="87">
        <f t="shared" si="64"/>
        <v>18339.52</v>
      </c>
      <c r="G26" s="74">
        <f t="shared" si="64"/>
        <v>20</v>
      </c>
      <c r="H26" s="48">
        <f t="shared" si="64"/>
        <v>18447.490000000002</v>
      </c>
      <c r="I26" s="107">
        <f t="shared" si="64"/>
        <v>-107.97000000000116</v>
      </c>
      <c r="L26" s="108"/>
      <c r="M26" s="15">
        <v>19</v>
      </c>
      <c r="N26" s="292">
        <v>891.8</v>
      </c>
      <c r="O26" s="341">
        <v>44537</v>
      </c>
      <c r="P26" s="292">
        <v>891.8</v>
      </c>
      <c r="Q26" s="96" t="s">
        <v>455</v>
      </c>
      <c r="R26" s="72">
        <v>37</v>
      </c>
      <c r="S26" s="627">
        <f t="shared" si="6"/>
        <v>32996.6</v>
      </c>
      <c r="T26" s="255"/>
      <c r="V26" s="241"/>
      <c r="W26" s="15">
        <v>19</v>
      </c>
      <c r="X26" s="292">
        <v>916.3</v>
      </c>
      <c r="Y26" s="346">
        <v>44538</v>
      </c>
      <c r="Z26" s="292">
        <v>916.3</v>
      </c>
      <c r="AA26" s="406" t="s">
        <v>469</v>
      </c>
      <c r="AB26" s="279">
        <v>37</v>
      </c>
      <c r="AC26" s="338">
        <f t="shared" si="7"/>
        <v>33903.1</v>
      </c>
      <c r="AF26" s="108"/>
      <c r="AG26" s="15">
        <v>19</v>
      </c>
      <c r="AH26" s="93">
        <v>915.8</v>
      </c>
      <c r="AI26" s="341">
        <v>44537</v>
      </c>
      <c r="AJ26" s="93">
        <v>915.8</v>
      </c>
      <c r="AK26" s="96" t="s">
        <v>465</v>
      </c>
      <c r="AL26" s="72">
        <v>37</v>
      </c>
      <c r="AM26" s="630">
        <f t="shared" si="8"/>
        <v>33884.6</v>
      </c>
      <c r="AP26" s="108"/>
      <c r="AQ26" s="15">
        <v>19</v>
      </c>
      <c r="AR26" s="335">
        <v>963.43</v>
      </c>
      <c r="AS26" s="346">
        <v>44538</v>
      </c>
      <c r="AT26" s="335">
        <v>963.43</v>
      </c>
      <c r="AU26" s="334" t="s">
        <v>488</v>
      </c>
      <c r="AV26" s="279">
        <v>37</v>
      </c>
      <c r="AW26" s="338">
        <f t="shared" si="9"/>
        <v>35646.909999999996</v>
      </c>
      <c r="AZ26" s="108"/>
      <c r="BA26" s="15">
        <v>19</v>
      </c>
      <c r="BB26" s="93">
        <v>913.08</v>
      </c>
      <c r="BC26" s="141">
        <v>44539</v>
      </c>
      <c r="BD26" s="93">
        <v>913.08</v>
      </c>
      <c r="BE26" s="96" t="s">
        <v>459</v>
      </c>
      <c r="BF26" s="400">
        <v>36</v>
      </c>
      <c r="BG26" s="646">
        <f t="shared" si="10"/>
        <v>32870.880000000005</v>
      </c>
      <c r="BJ26" s="108"/>
      <c r="BK26" s="15">
        <v>19</v>
      </c>
      <c r="BL26" s="93">
        <v>898.6</v>
      </c>
      <c r="BM26" s="141">
        <v>44540</v>
      </c>
      <c r="BN26" s="93">
        <v>898.6</v>
      </c>
      <c r="BO26" s="96" t="s">
        <v>483</v>
      </c>
      <c r="BP26" s="400">
        <v>36</v>
      </c>
      <c r="BQ26" s="857">
        <f t="shared" si="11"/>
        <v>32349.600000000002</v>
      </c>
      <c r="BT26" s="108"/>
      <c r="BU26" s="276">
        <v>19</v>
      </c>
      <c r="BV26" s="292">
        <v>936.2</v>
      </c>
      <c r="BW26" s="401">
        <v>44541</v>
      </c>
      <c r="BX26" s="292">
        <v>936.2</v>
      </c>
      <c r="BY26" s="402" t="s">
        <v>508</v>
      </c>
      <c r="BZ26" s="403">
        <v>36</v>
      </c>
      <c r="CA26" s="627">
        <f t="shared" si="12"/>
        <v>33703.200000000004</v>
      </c>
      <c r="CD26" s="909"/>
      <c r="CE26" s="15">
        <v>19</v>
      </c>
      <c r="CF26" s="93">
        <v>924.9</v>
      </c>
      <c r="CG26" s="401">
        <v>44541</v>
      </c>
      <c r="CH26" s="93">
        <v>924.9</v>
      </c>
      <c r="CI26" s="404" t="s">
        <v>474</v>
      </c>
      <c r="CJ26" s="403">
        <v>36</v>
      </c>
      <c r="CK26" s="627">
        <f t="shared" si="13"/>
        <v>33296.400000000001</v>
      </c>
      <c r="CN26" s="673"/>
      <c r="CO26" s="15">
        <v>19</v>
      </c>
      <c r="CP26" s="292">
        <v>868.2</v>
      </c>
      <c r="CQ26" s="401">
        <v>44545</v>
      </c>
      <c r="CR26" s="292">
        <v>868.2</v>
      </c>
      <c r="CS26" s="404" t="s">
        <v>525</v>
      </c>
      <c r="CT26" s="403">
        <v>38</v>
      </c>
      <c r="CU26" s="635">
        <f t="shared" si="48"/>
        <v>32991.599999999999</v>
      </c>
      <c r="CX26" s="108"/>
      <c r="CY26" s="15">
        <v>19</v>
      </c>
      <c r="CZ26" s="93">
        <v>890.9</v>
      </c>
      <c r="DA26" s="341">
        <v>44544</v>
      </c>
      <c r="DB26" s="93">
        <v>890.9</v>
      </c>
      <c r="DC26" s="96" t="s">
        <v>516</v>
      </c>
      <c r="DD26" s="72">
        <v>38</v>
      </c>
      <c r="DE26" s="627">
        <f t="shared" si="14"/>
        <v>33854.199999999997</v>
      </c>
      <c r="DH26" s="108"/>
      <c r="DI26" s="15">
        <v>19</v>
      </c>
      <c r="DJ26" s="93">
        <v>877.7</v>
      </c>
      <c r="DK26" s="401">
        <v>44544</v>
      </c>
      <c r="DL26" s="93">
        <v>877.7</v>
      </c>
      <c r="DM26" s="404" t="s">
        <v>521</v>
      </c>
      <c r="DN26" s="403">
        <v>38</v>
      </c>
      <c r="DO26" s="635">
        <f t="shared" si="15"/>
        <v>33352.6</v>
      </c>
      <c r="DR26" s="108"/>
      <c r="DS26" s="15">
        <v>19</v>
      </c>
      <c r="DT26" s="93">
        <v>932.58</v>
      </c>
      <c r="DU26" s="401">
        <v>44545</v>
      </c>
      <c r="DV26" s="93">
        <v>932.58</v>
      </c>
      <c r="DW26" s="404" t="s">
        <v>487</v>
      </c>
      <c r="DX26" s="403">
        <v>38</v>
      </c>
      <c r="DY26" s="627">
        <f t="shared" si="16"/>
        <v>35438.04</v>
      </c>
      <c r="EB26" s="108"/>
      <c r="EC26" s="15">
        <v>19</v>
      </c>
      <c r="ED26" s="70">
        <v>899.5</v>
      </c>
      <c r="EE26" s="357">
        <v>44546</v>
      </c>
      <c r="EF26" s="70">
        <v>899.5</v>
      </c>
      <c r="EG26" s="71" t="s">
        <v>532</v>
      </c>
      <c r="EH26" s="72">
        <v>38</v>
      </c>
      <c r="EI26" s="627">
        <f t="shared" si="17"/>
        <v>34181</v>
      </c>
      <c r="EL26" s="95"/>
      <c r="EM26" s="15">
        <v>19</v>
      </c>
      <c r="EN26" s="292">
        <v>893.1</v>
      </c>
      <c r="EO26" s="346">
        <v>44546</v>
      </c>
      <c r="EP26" s="292">
        <v>893.1</v>
      </c>
      <c r="EQ26" s="278" t="s">
        <v>531</v>
      </c>
      <c r="ER26" s="279">
        <v>38</v>
      </c>
      <c r="ES26" s="627">
        <f t="shared" si="18"/>
        <v>33937.800000000003</v>
      </c>
      <c r="EV26" s="108"/>
      <c r="EW26" s="15">
        <v>19</v>
      </c>
      <c r="EX26" s="70">
        <v>895.8</v>
      </c>
      <c r="EY26" s="357">
        <v>44548</v>
      </c>
      <c r="EZ26" s="70">
        <v>895.8</v>
      </c>
      <c r="FA26" s="278" t="s">
        <v>550</v>
      </c>
      <c r="FB26" s="72">
        <v>38</v>
      </c>
      <c r="FC26" s="338">
        <f t="shared" si="19"/>
        <v>34040.400000000001</v>
      </c>
      <c r="FF26" s="95"/>
      <c r="FG26" s="15">
        <v>19</v>
      </c>
      <c r="FH26" s="292">
        <v>869.5</v>
      </c>
      <c r="FI26" s="346">
        <v>44548</v>
      </c>
      <c r="FJ26" s="292">
        <v>869.5</v>
      </c>
      <c r="FK26" s="278" t="s">
        <v>539</v>
      </c>
      <c r="FL26" s="279">
        <v>38</v>
      </c>
      <c r="FM26" s="627">
        <f t="shared" si="20"/>
        <v>33041</v>
      </c>
      <c r="FP26" s="108"/>
      <c r="FQ26" s="15">
        <v>19</v>
      </c>
      <c r="FR26" s="93"/>
      <c r="FS26" s="341"/>
      <c r="FT26" s="93"/>
      <c r="FU26" s="71"/>
      <c r="FV26" s="72"/>
      <c r="FW26" s="627">
        <f t="shared" si="21"/>
        <v>0</v>
      </c>
      <c r="FX26" s="72"/>
      <c r="FZ26" s="108"/>
      <c r="GA26" s="15">
        <v>19</v>
      </c>
      <c r="GB26" s="70">
        <v>895.4</v>
      </c>
      <c r="GC26" s="545">
        <v>44551</v>
      </c>
      <c r="GD26" s="70">
        <v>895.4</v>
      </c>
      <c r="GE26" s="278" t="s">
        <v>565</v>
      </c>
      <c r="GF26" s="279">
        <v>39</v>
      </c>
      <c r="GG26" s="338">
        <f t="shared" si="22"/>
        <v>34920.6</v>
      </c>
      <c r="GJ26" s="108"/>
      <c r="GK26" s="15">
        <v>19</v>
      </c>
      <c r="GL26" s="523">
        <v>930.3</v>
      </c>
      <c r="GM26" s="341">
        <v>44551</v>
      </c>
      <c r="GN26" s="523">
        <v>930.3</v>
      </c>
      <c r="GO26" s="96" t="s">
        <v>567</v>
      </c>
      <c r="GP26" s="72">
        <v>39</v>
      </c>
      <c r="GQ26" s="627">
        <f t="shared" si="23"/>
        <v>36281.699999999997</v>
      </c>
      <c r="GT26" s="108"/>
      <c r="GU26" s="15">
        <v>19</v>
      </c>
      <c r="GV26" s="292">
        <v>919.9</v>
      </c>
      <c r="GW26" s="346">
        <v>44551</v>
      </c>
      <c r="GX26" s="292">
        <v>919.9</v>
      </c>
      <c r="GY26" s="334" t="s">
        <v>569</v>
      </c>
      <c r="GZ26" s="279">
        <v>39</v>
      </c>
      <c r="HA26" s="627">
        <f t="shared" si="24"/>
        <v>35876.1</v>
      </c>
      <c r="HD26" s="108"/>
      <c r="HE26" s="15">
        <v>19</v>
      </c>
      <c r="HF26" s="93">
        <v>929</v>
      </c>
      <c r="HG26" s="341">
        <v>44552</v>
      </c>
      <c r="HH26" s="93">
        <v>929</v>
      </c>
      <c r="HI26" s="96" t="s">
        <v>582</v>
      </c>
      <c r="HJ26" s="72">
        <v>41</v>
      </c>
      <c r="HK26" s="338">
        <f t="shared" si="25"/>
        <v>38089</v>
      </c>
      <c r="HN26" s="241"/>
      <c r="HO26" s="15">
        <v>19</v>
      </c>
      <c r="HP26" s="292">
        <v>915.8</v>
      </c>
      <c r="HQ26" s="346">
        <v>44552</v>
      </c>
      <c r="HR26" s="292">
        <v>915.8</v>
      </c>
      <c r="HS26" s="406" t="s">
        <v>579</v>
      </c>
      <c r="HT26" s="279">
        <v>41</v>
      </c>
      <c r="HU26" s="627">
        <f t="shared" si="26"/>
        <v>37547.799999999996</v>
      </c>
      <c r="HX26" s="108"/>
      <c r="HY26" s="15">
        <v>19</v>
      </c>
      <c r="HZ26" s="70">
        <v>951.63</v>
      </c>
      <c r="IA26" s="357">
        <v>44553</v>
      </c>
      <c r="IB26" s="70">
        <v>951.63</v>
      </c>
      <c r="IC26" s="71" t="s">
        <v>592</v>
      </c>
      <c r="ID26" s="72">
        <v>42</v>
      </c>
      <c r="IE26" s="627">
        <f t="shared" si="27"/>
        <v>39968.46</v>
      </c>
      <c r="IH26" s="108"/>
      <c r="II26" s="15">
        <v>19</v>
      </c>
      <c r="IJ26" s="70">
        <v>901.28</v>
      </c>
      <c r="IK26" s="357">
        <v>44553</v>
      </c>
      <c r="IL26" s="70">
        <v>901.28</v>
      </c>
      <c r="IM26" s="71" t="s">
        <v>599</v>
      </c>
      <c r="IN26" s="72">
        <v>41</v>
      </c>
      <c r="IO26" s="627">
        <f t="shared" si="28"/>
        <v>36952.479999999996</v>
      </c>
      <c r="IR26" s="108"/>
      <c r="IS26" s="15">
        <v>19</v>
      </c>
      <c r="IT26" s="292">
        <v>880</v>
      </c>
      <c r="IU26" s="258">
        <v>44554</v>
      </c>
      <c r="IV26" s="292">
        <v>880</v>
      </c>
      <c r="IW26" s="552" t="s">
        <v>611</v>
      </c>
      <c r="IX26" s="279">
        <v>41</v>
      </c>
      <c r="IY26" s="338">
        <f t="shared" si="29"/>
        <v>36080</v>
      </c>
      <c r="JA26" s="70"/>
      <c r="JB26" s="108"/>
      <c r="JC26" s="15">
        <v>19</v>
      </c>
      <c r="JD26" s="93">
        <v>918.1</v>
      </c>
      <c r="JE26" s="357">
        <v>44554</v>
      </c>
      <c r="JF26" s="93">
        <v>918.1</v>
      </c>
      <c r="JG26" s="71" t="s">
        <v>613</v>
      </c>
      <c r="JH26" s="72">
        <v>41</v>
      </c>
      <c r="JI26" s="627">
        <f t="shared" si="30"/>
        <v>37642.1</v>
      </c>
      <c r="JL26" s="108"/>
      <c r="JM26" s="15">
        <v>19</v>
      </c>
      <c r="JN26" s="93">
        <v>905.4</v>
      </c>
      <c r="JO26" s="341">
        <v>44554</v>
      </c>
      <c r="JP26" s="93">
        <v>905.4</v>
      </c>
      <c r="JQ26" s="71" t="s">
        <v>604</v>
      </c>
      <c r="JR26" s="72">
        <v>41</v>
      </c>
      <c r="JS26" s="627">
        <f t="shared" si="31"/>
        <v>37121.4</v>
      </c>
      <c r="JV26" s="95"/>
      <c r="JW26" s="15">
        <v>19</v>
      </c>
      <c r="JX26" s="70">
        <v>940.7</v>
      </c>
      <c r="JY26" s="357">
        <v>44554</v>
      </c>
      <c r="JZ26" s="70">
        <v>940.7</v>
      </c>
      <c r="KA26" s="71" t="s">
        <v>605</v>
      </c>
      <c r="KB26" s="72">
        <v>41</v>
      </c>
      <c r="KC26" s="627">
        <f t="shared" si="32"/>
        <v>38568.700000000004</v>
      </c>
      <c r="KF26" s="95"/>
      <c r="KG26" s="15">
        <v>19</v>
      </c>
      <c r="KH26" s="70">
        <v>880.4</v>
      </c>
      <c r="KI26" s="357">
        <v>44556</v>
      </c>
      <c r="KJ26" s="70">
        <v>880.4</v>
      </c>
      <c r="KK26" s="71" t="s">
        <v>618</v>
      </c>
      <c r="KL26" s="72">
        <v>41</v>
      </c>
      <c r="KM26" s="627">
        <f t="shared" si="33"/>
        <v>36096.400000000001</v>
      </c>
      <c r="KP26" s="95"/>
      <c r="KQ26" s="15">
        <v>19</v>
      </c>
      <c r="KR26" s="70">
        <v>914</v>
      </c>
      <c r="KS26" s="357">
        <v>44558</v>
      </c>
      <c r="KT26" s="70">
        <v>914</v>
      </c>
      <c r="KU26" s="71" t="s">
        <v>636</v>
      </c>
      <c r="KV26" s="72">
        <v>42</v>
      </c>
      <c r="KW26" s="627">
        <f t="shared" si="34"/>
        <v>38388</v>
      </c>
      <c r="KZ26" s="108"/>
      <c r="LA26" s="15">
        <v>19</v>
      </c>
      <c r="LB26" s="93">
        <v>942.56</v>
      </c>
      <c r="LC26" s="341">
        <v>44558</v>
      </c>
      <c r="LD26" s="93">
        <v>942.56</v>
      </c>
      <c r="LE26" s="96" t="s">
        <v>642</v>
      </c>
      <c r="LF26" s="72">
        <v>42</v>
      </c>
      <c r="LG26" s="627">
        <f t="shared" si="35"/>
        <v>39587.519999999997</v>
      </c>
      <c r="LJ26" s="108"/>
      <c r="LK26" s="15">
        <v>19</v>
      </c>
      <c r="LL26" s="292">
        <v>936.21</v>
      </c>
      <c r="LM26" s="341">
        <v>44559</v>
      </c>
      <c r="LN26" s="292">
        <v>936.21</v>
      </c>
      <c r="LO26" s="96" t="s">
        <v>655</v>
      </c>
      <c r="LP26" s="72">
        <v>42</v>
      </c>
      <c r="LQ26" s="627">
        <f t="shared" si="36"/>
        <v>39320.82</v>
      </c>
      <c r="LT26" s="108"/>
      <c r="LU26" s="15">
        <v>19</v>
      </c>
      <c r="LV26" s="93">
        <v>909.9</v>
      </c>
      <c r="LW26" s="341">
        <v>44559</v>
      </c>
      <c r="LX26" s="93">
        <v>909.9</v>
      </c>
      <c r="LY26" s="96" t="s">
        <v>649</v>
      </c>
      <c r="LZ26" s="72">
        <v>42</v>
      </c>
      <c r="MA26" s="627">
        <f t="shared" si="37"/>
        <v>38215.799999999996</v>
      </c>
      <c r="MB26" s="627"/>
      <c r="MD26" s="108"/>
      <c r="ME26" s="15">
        <v>19</v>
      </c>
      <c r="MF26" s="412">
        <v>869.1</v>
      </c>
      <c r="MG26" s="341">
        <v>44560</v>
      </c>
      <c r="MH26" s="412">
        <v>869.1</v>
      </c>
      <c r="MI26" s="96" t="s">
        <v>661</v>
      </c>
      <c r="MJ26" s="72">
        <v>43</v>
      </c>
      <c r="MK26" s="72">
        <f t="shared" si="38"/>
        <v>37371.300000000003</v>
      </c>
      <c r="MN26" s="108"/>
      <c r="MO26" s="15">
        <v>19</v>
      </c>
      <c r="MP26" s="93">
        <v>914</v>
      </c>
      <c r="MQ26" s="341">
        <v>44560</v>
      </c>
      <c r="MR26" s="93">
        <v>914</v>
      </c>
      <c r="MS26" s="96" t="s">
        <v>663</v>
      </c>
      <c r="MT26" s="72">
        <v>43</v>
      </c>
      <c r="MU26" s="72">
        <f t="shared" si="39"/>
        <v>39302</v>
      </c>
      <c r="MX26" s="108"/>
      <c r="MY26" s="15">
        <v>19</v>
      </c>
      <c r="MZ26" s="93">
        <v>891.8</v>
      </c>
      <c r="NA26" s="341">
        <v>44561</v>
      </c>
      <c r="NB26" s="93">
        <v>891.8</v>
      </c>
      <c r="NC26" s="96" t="s">
        <v>667</v>
      </c>
      <c r="ND26" s="72">
        <v>40</v>
      </c>
      <c r="NE26" s="72">
        <f t="shared" si="40"/>
        <v>35672</v>
      </c>
      <c r="NH26" s="108"/>
      <c r="NI26" s="15">
        <v>19</v>
      </c>
      <c r="NJ26" s="93">
        <v>921.7</v>
      </c>
      <c r="NK26" s="341"/>
      <c r="NL26" s="93"/>
      <c r="NM26" s="96"/>
      <c r="NN26" s="72"/>
      <c r="NO26" s="72">
        <f t="shared" si="41"/>
        <v>0</v>
      </c>
      <c r="NR26" s="108"/>
      <c r="NS26" s="15">
        <v>19</v>
      </c>
      <c r="NT26" s="93">
        <v>874.5</v>
      </c>
      <c r="NU26" s="341">
        <v>44563</v>
      </c>
      <c r="NV26" s="93">
        <v>874.5</v>
      </c>
      <c r="NW26" s="96" t="s">
        <v>682</v>
      </c>
      <c r="NX26" s="72">
        <v>34</v>
      </c>
      <c r="NY26" s="72">
        <f t="shared" si="42"/>
        <v>29733</v>
      </c>
      <c r="OB26" s="108"/>
      <c r="OC26" s="15">
        <v>19</v>
      </c>
      <c r="OD26" s="93"/>
      <c r="OE26" s="341"/>
      <c r="OF26" s="93"/>
      <c r="OG26" s="96"/>
      <c r="OH26" s="72"/>
      <c r="OI26" s="72">
        <f t="shared" si="43"/>
        <v>0</v>
      </c>
      <c r="OL26" s="108"/>
      <c r="OM26" s="15">
        <v>19</v>
      </c>
      <c r="ON26" s="93"/>
      <c r="OO26" s="341"/>
      <c r="OP26" s="93"/>
      <c r="OQ26" s="96"/>
      <c r="OR26" s="72"/>
      <c r="OS26" s="72">
        <f t="shared" si="44"/>
        <v>0</v>
      </c>
      <c r="OV26" s="108"/>
      <c r="OW26" s="15">
        <v>19</v>
      </c>
      <c r="OX26" s="292"/>
      <c r="OY26" s="346"/>
      <c r="OZ26" s="292"/>
      <c r="PA26" s="334"/>
      <c r="PB26" s="279"/>
      <c r="PC26" s="279">
        <f t="shared" si="45"/>
        <v>0</v>
      </c>
      <c r="PF26" s="95"/>
      <c r="PG26" s="15">
        <v>19</v>
      </c>
      <c r="PH26" s="93"/>
      <c r="PI26" s="341"/>
      <c r="PJ26" s="93"/>
      <c r="PK26" s="96"/>
      <c r="PL26" s="72"/>
      <c r="PM26" s="72">
        <f t="shared" si="46"/>
        <v>0</v>
      </c>
      <c r="PP26" s="108"/>
      <c r="PQ26" s="15">
        <v>19</v>
      </c>
      <c r="PR26" s="93"/>
      <c r="PS26" s="341"/>
      <c r="PT26" s="93"/>
      <c r="PU26" s="96"/>
      <c r="PV26" s="72"/>
      <c r="PY26" s="108"/>
      <c r="PZ26" s="15">
        <v>19</v>
      </c>
      <c r="QA26" s="93"/>
      <c r="QB26" s="141"/>
      <c r="QC26" s="93"/>
      <c r="QD26" s="96"/>
      <c r="QE26" s="72"/>
      <c r="QH26" s="108"/>
      <c r="QI26" s="15">
        <v>19</v>
      </c>
      <c r="QJ26" s="93"/>
      <c r="QK26" s="341"/>
      <c r="QL26" s="93"/>
      <c r="QM26" s="96"/>
      <c r="QN26" s="72"/>
      <c r="QQ26" s="108"/>
      <c r="QR26" s="15">
        <v>19</v>
      </c>
      <c r="QS26" s="93"/>
      <c r="QT26" s="341"/>
      <c r="QU26" s="93"/>
      <c r="QV26" s="96"/>
      <c r="QW26" s="72"/>
      <c r="QZ26" s="108"/>
      <c r="RA26" s="15">
        <v>19</v>
      </c>
      <c r="RB26" s="93"/>
      <c r="RC26" s="341"/>
      <c r="RD26" s="93"/>
      <c r="RE26" s="96"/>
      <c r="RF26" s="72"/>
      <c r="RI26" s="108"/>
      <c r="RJ26" s="15">
        <v>19</v>
      </c>
      <c r="RK26" s="93"/>
      <c r="RL26" s="341"/>
      <c r="RM26" s="93"/>
      <c r="RN26" s="96"/>
      <c r="RO26" s="400"/>
      <c r="RR26" s="108"/>
      <c r="RS26" s="15">
        <v>19</v>
      </c>
      <c r="RT26" s="93"/>
      <c r="RU26" s="141"/>
      <c r="RV26" s="93"/>
      <c r="RW26" s="96"/>
      <c r="RX26" s="72"/>
      <c r="SA26" s="108"/>
      <c r="SB26" s="15">
        <v>19</v>
      </c>
      <c r="SC26" s="93"/>
      <c r="SD26" s="80"/>
      <c r="SE26" s="93"/>
      <c r="SF26" s="96"/>
      <c r="SG26" s="72"/>
      <c r="SJ26" s="108"/>
      <c r="SK26" s="15">
        <v>19</v>
      </c>
      <c r="SL26" s="93"/>
      <c r="SM26" s="80"/>
      <c r="SN26" s="93"/>
      <c r="SO26" s="96"/>
      <c r="SP26" s="72"/>
      <c r="SS26" s="108"/>
      <c r="ST26" s="15"/>
      <c r="SU26" s="93"/>
      <c r="SV26" s="80"/>
      <c r="SW26" s="93"/>
      <c r="SX26" s="96"/>
      <c r="SY26" s="72"/>
      <c r="TB26" s="108"/>
      <c r="TC26" s="15">
        <v>19</v>
      </c>
      <c r="TD26" s="93"/>
      <c r="TE26" s="411"/>
      <c r="TF26" s="189"/>
      <c r="TG26" s="404"/>
      <c r="TH26" s="403"/>
      <c r="TK26" s="108"/>
      <c r="TL26" s="15"/>
      <c r="TM26" s="93"/>
      <c r="TN26" s="80"/>
      <c r="TO26" s="93"/>
      <c r="TP26" s="96"/>
      <c r="TQ26" s="72"/>
      <c r="TT26" s="108"/>
      <c r="TU26" s="15">
        <v>19</v>
      </c>
      <c r="TV26" s="93"/>
      <c r="TW26" s="80"/>
      <c r="TX26" s="93"/>
      <c r="TY26" s="96"/>
      <c r="TZ26" s="72"/>
      <c r="UC26" s="108"/>
      <c r="UD26" s="15"/>
      <c r="UE26" s="93"/>
      <c r="UF26" s="80"/>
      <c r="UG26" s="93"/>
      <c r="UH26" s="96"/>
      <c r="UI26" s="72"/>
      <c r="UL26" s="108"/>
      <c r="UM26" s="15">
        <v>19</v>
      </c>
      <c r="UN26" s="93"/>
      <c r="UO26" s="80"/>
      <c r="UP26" s="93"/>
      <c r="UQ26" s="96"/>
      <c r="UR26" s="72"/>
      <c r="UU26" s="108"/>
      <c r="UV26" s="15">
        <v>19</v>
      </c>
      <c r="UW26" s="93"/>
      <c r="UX26" s="80"/>
      <c r="UY26" s="93"/>
      <c r="UZ26" s="96"/>
      <c r="VA26" s="72"/>
      <c r="VD26" s="108"/>
      <c r="VE26" s="15">
        <v>19</v>
      </c>
      <c r="VF26" s="93"/>
      <c r="VG26" s="80"/>
      <c r="VH26" s="93"/>
      <c r="VI26" s="96"/>
      <c r="VJ26" s="72"/>
      <c r="VM26" s="108"/>
      <c r="VN26" s="15">
        <v>19</v>
      </c>
      <c r="VO26" s="93"/>
      <c r="VP26" s="80"/>
      <c r="VQ26" s="93"/>
      <c r="VR26" s="96"/>
      <c r="VS26" s="72"/>
      <c r="VV26" s="108"/>
      <c r="VW26" s="15">
        <v>19</v>
      </c>
      <c r="VX26" s="93"/>
      <c r="VY26" s="80"/>
      <c r="VZ26" s="93"/>
      <c r="WA26" s="96"/>
      <c r="WB26" s="72"/>
      <c r="WE26" s="108"/>
      <c r="WF26" s="15">
        <v>19</v>
      </c>
      <c r="WG26" s="93"/>
      <c r="WH26" s="80"/>
      <c r="WI26" s="93"/>
      <c r="WJ26" s="96"/>
      <c r="WK26" s="72"/>
      <c r="WN26" s="108"/>
      <c r="WO26" s="15">
        <v>19</v>
      </c>
      <c r="WP26" s="93"/>
      <c r="WQ26" s="80"/>
      <c r="WR26" s="93"/>
      <c r="WS26" s="96"/>
      <c r="WT26" s="72"/>
      <c r="WW26" s="108"/>
      <c r="WX26" s="15">
        <v>19</v>
      </c>
      <c r="WY26" s="93"/>
      <c r="WZ26" s="80"/>
      <c r="XA26" s="93"/>
      <c r="XB26" s="96"/>
      <c r="XC26" s="72"/>
      <c r="XF26" s="108"/>
      <c r="XG26" s="15">
        <v>19</v>
      </c>
      <c r="XH26" s="93"/>
      <c r="XI26" s="80"/>
      <c r="XJ26" s="93"/>
      <c r="XK26" s="96"/>
      <c r="XL26" s="72"/>
      <c r="XO26" s="108"/>
      <c r="XP26" s="15">
        <v>19</v>
      </c>
      <c r="XQ26" s="93"/>
      <c r="XR26" s="80"/>
      <c r="XS26" s="93"/>
      <c r="XT26" s="96"/>
      <c r="XU26" s="72"/>
      <c r="XX26" s="108"/>
      <c r="XY26" s="15">
        <v>19</v>
      </c>
      <c r="XZ26" s="93"/>
      <c r="YA26" s="80"/>
      <c r="YB26" s="93"/>
      <c r="YC26" s="96"/>
      <c r="YD26" s="72"/>
      <c r="YG26" s="108"/>
      <c r="YH26" s="15">
        <v>19</v>
      </c>
      <c r="YI26" s="93"/>
      <c r="YJ26" s="80"/>
      <c r="YK26" s="93"/>
      <c r="YL26" s="96"/>
      <c r="YM26" s="72"/>
      <c r="YP26" s="108"/>
      <c r="YQ26" s="15">
        <v>19</v>
      </c>
      <c r="YR26" s="93"/>
      <c r="YS26" s="80"/>
      <c r="YT26" s="93"/>
      <c r="YU26" s="96"/>
      <c r="YV26" s="72"/>
      <c r="YY26" s="108"/>
      <c r="YZ26" s="15">
        <v>19</v>
      </c>
      <c r="ZA26" s="93"/>
      <c r="ZB26" s="80"/>
      <c r="ZC26" s="93"/>
      <c r="ZD26" s="96"/>
      <c r="ZE26" s="72"/>
      <c r="ZH26" s="108"/>
      <c r="ZI26" s="15">
        <v>19</v>
      </c>
      <c r="ZJ26" s="93"/>
      <c r="ZK26" s="80"/>
      <c r="ZL26" s="93"/>
      <c r="ZM26" s="96"/>
      <c r="ZN26" s="72"/>
      <c r="ZQ26" s="108"/>
      <c r="ZR26" s="15">
        <v>19</v>
      </c>
      <c r="ZS26" s="93"/>
      <c r="ZT26" s="80"/>
      <c r="ZU26" s="93"/>
      <c r="ZV26" s="96"/>
      <c r="ZW26" s="72"/>
      <c r="ZZ26" s="108"/>
      <c r="AAA26" s="15">
        <v>19</v>
      </c>
      <c r="AAB26" s="93"/>
      <c r="AAC26" s="80"/>
      <c r="AAD26" s="93"/>
      <c r="AAE26" s="96"/>
      <c r="AAF26" s="72"/>
      <c r="AAI26" s="108"/>
      <c r="AAJ26" s="15">
        <v>19</v>
      </c>
      <c r="AAK26" s="93"/>
      <c r="AAL26" s="80"/>
      <c r="AAM26" s="93"/>
      <c r="AAN26" s="96"/>
      <c r="AAO26" s="72"/>
      <c r="AAR26" s="108"/>
      <c r="AAS26" s="15">
        <v>19</v>
      </c>
      <c r="AAT26" s="93"/>
      <c r="AAU26" s="80"/>
      <c r="AAV26" s="93"/>
      <c r="AAW26" s="96"/>
      <c r="AAX26" s="72"/>
      <c r="ABA26" s="108"/>
      <c r="ABB26" s="15">
        <v>19</v>
      </c>
      <c r="ABC26" s="93"/>
      <c r="ABD26" s="80"/>
      <c r="ABE26" s="93"/>
      <c r="ABF26" s="96"/>
      <c r="ABG26" s="72"/>
      <c r="ABJ26" s="108"/>
      <c r="ABK26" s="15">
        <v>19</v>
      </c>
      <c r="ABL26" s="93"/>
      <c r="ABM26" s="80"/>
      <c r="ABN26" s="93"/>
      <c r="ABO26" s="96"/>
      <c r="ABP26" s="72"/>
      <c r="ABS26" s="108"/>
      <c r="ABT26" s="15">
        <v>19</v>
      </c>
      <c r="ABU26" s="93"/>
      <c r="ABV26" s="80"/>
      <c r="ABW26" s="93"/>
      <c r="ABX26" s="96"/>
      <c r="ABY26" s="72"/>
      <c r="ACB26" s="108"/>
      <c r="ACC26" s="15">
        <v>19</v>
      </c>
      <c r="ACD26" s="93"/>
      <c r="ACE26" s="80"/>
      <c r="ACF26" s="93"/>
      <c r="ACG26" s="96"/>
      <c r="ACH26" s="72"/>
      <c r="ACK26" s="108"/>
      <c r="ACL26" s="15">
        <v>19</v>
      </c>
      <c r="ACM26" s="93"/>
      <c r="ACN26" s="80"/>
      <c r="ACO26" s="93"/>
      <c r="ACP26" s="96"/>
      <c r="ACQ26" s="72"/>
      <c r="ACT26" s="108"/>
      <c r="ACU26" s="15">
        <v>19</v>
      </c>
      <c r="ACV26" s="93"/>
      <c r="ACW26" s="80"/>
      <c r="ACX26" s="93"/>
      <c r="ACY26" s="96"/>
      <c r="ACZ26" s="72"/>
      <c r="ADC26" s="108"/>
      <c r="ADD26" s="15">
        <v>19</v>
      </c>
      <c r="ADE26" s="93"/>
      <c r="ADF26" s="80"/>
      <c r="ADG26" s="93"/>
      <c r="ADH26" s="96"/>
      <c r="ADI26" s="72"/>
      <c r="ADL26" s="108"/>
      <c r="ADM26" s="15">
        <v>19</v>
      </c>
      <c r="ADN26" s="93"/>
      <c r="ADO26" s="80"/>
      <c r="ADP26" s="93"/>
      <c r="ADQ26" s="96"/>
      <c r="ADR26" s="72"/>
      <c r="ADU26" s="108"/>
      <c r="ADV26" s="15">
        <v>19</v>
      </c>
      <c r="ADW26" s="93"/>
      <c r="ADX26" s="80"/>
      <c r="ADY26" s="93"/>
      <c r="ADZ26" s="96"/>
      <c r="AEA26" s="72"/>
      <c r="AED26" s="108"/>
      <c r="AEE26" s="15">
        <v>19</v>
      </c>
      <c r="AEF26" s="93"/>
      <c r="AEG26" s="80"/>
      <c r="AEH26" s="93"/>
      <c r="AEI26" s="96"/>
      <c r="AEJ26" s="72"/>
      <c r="AEM26" s="108"/>
      <c r="AEN26" s="15">
        <v>19</v>
      </c>
      <c r="AEO26" s="93"/>
      <c r="AEP26" s="80"/>
      <c r="AEQ26" s="93"/>
      <c r="AER26" s="96"/>
      <c r="AES26" s="72"/>
    </row>
    <row r="27" spans="1:828" ht="20.25" customHeight="1" x14ac:dyDescent="0.25">
      <c r="A27" s="143">
        <v>24</v>
      </c>
      <c r="B27" s="76" t="str">
        <f t="shared" ref="B27:I27" si="65">IG5</f>
        <v>TYSON FRESH MEAT</v>
      </c>
      <c r="C27" s="263" t="str">
        <f t="shared" si="65"/>
        <v xml:space="preserve">I B P </v>
      </c>
      <c r="D27" s="104" t="str">
        <f t="shared" si="65"/>
        <v>PED. 75368484</v>
      </c>
      <c r="E27" s="141">
        <f t="shared" si="65"/>
        <v>44553</v>
      </c>
      <c r="F27" s="87">
        <f t="shared" si="65"/>
        <v>18453.52</v>
      </c>
      <c r="G27" s="74">
        <f t="shared" si="65"/>
        <v>20</v>
      </c>
      <c r="H27" s="48">
        <f t="shared" si="65"/>
        <v>18532.759999999998</v>
      </c>
      <c r="I27" s="107">
        <f t="shared" si="65"/>
        <v>-79.239999999997963</v>
      </c>
      <c r="L27" s="108"/>
      <c r="M27" s="15">
        <v>20</v>
      </c>
      <c r="N27" s="292">
        <v>865.9</v>
      </c>
      <c r="O27" s="341">
        <v>44537</v>
      </c>
      <c r="P27" s="292">
        <v>865.9</v>
      </c>
      <c r="Q27" s="96" t="s">
        <v>455</v>
      </c>
      <c r="R27" s="72">
        <v>37</v>
      </c>
      <c r="S27" s="627">
        <f t="shared" si="6"/>
        <v>32038.3</v>
      </c>
      <c r="T27" s="255"/>
      <c r="V27" s="241"/>
      <c r="W27" s="15">
        <v>20</v>
      </c>
      <c r="X27" s="292">
        <v>928</v>
      </c>
      <c r="Y27" s="346">
        <v>44538</v>
      </c>
      <c r="Z27" s="292">
        <v>928</v>
      </c>
      <c r="AA27" s="406" t="s">
        <v>469</v>
      </c>
      <c r="AB27" s="279">
        <v>37</v>
      </c>
      <c r="AC27" s="338">
        <f t="shared" si="7"/>
        <v>34336</v>
      </c>
      <c r="AF27" s="108"/>
      <c r="AG27" s="15">
        <v>20</v>
      </c>
      <c r="AH27" s="93">
        <v>905.4</v>
      </c>
      <c r="AI27" s="341">
        <v>44537</v>
      </c>
      <c r="AJ27" s="93">
        <v>905.4</v>
      </c>
      <c r="AK27" s="96" t="s">
        <v>465</v>
      </c>
      <c r="AL27" s="72">
        <v>37</v>
      </c>
      <c r="AM27" s="630">
        <f t="shared" si="8"/>
        <v>33499.799999999996</v>
      </c>
      <c r="AP27" s="108"/>
      <c r="AQ27" s="15">
        <v>20</v>
      </c>
      <c r="AR27" s="335">
        <v>973.4</v>
      </c>
      <c r="AS27" s="346">
        <v>44538</v>
      </c>
      <c r="AT27" s="335">
        <v>973.4</v>
      </c>
      <c r="AU27" s="334" t="s">
        <v>488</v>
      </c>
      <c r="AV27" s="279">
        <v>37</v>
      </c>
      <c r="AW27" s="338">
        <f t="shared" si="9"/>
        <v>36015.799999999996</v>
      </c>
      <c r="AZ27" s="108"/>
      <c r="BA27" s="15">
        <v>20</v>
      </c>
      <c r="BB27" s="93">
        <v>891.76</v>
      </c>
      <c r="BC27" s="141">
        <v>44539</v>
      </c>
      <c r="BD27" s="93">
        <v>891.76</v>
      </c>
      <c r="BE27" s="96" t="s">
        <v>459</v>
      </c>
      <c r="BF27" s="400">
        <v>36</v>
      </c>
      <c r="BG27" s="646">
        <f t="shared" si="10"/>
        <v>32103.360000000001</v>
      </c>
      <c r="BJ27" s="108"/>
      <c r="BK27" s="15">
        <v>20</v>
      </c>
      <c r="BL27" s="93">
        <v>885</v>
      </c>
      <c r="BM27" s="141">
        <v>44540</v>
      </c>
      <c r="BN27" s="93">
        <v>885</v>
      </c>
      <c r="BO27" s="96" t="s">
        <v>483</v>
      </c>
      <c r="BP27" s="400">
        <v>36</v>
      </c>
      <c r="BQ27" s="857">
        <f t="shared" si="11"/>
        <v>31860</v>
      </c>
      <c r="BT27" s="108"/>
      <c r="BU27" s="276">
        <v>20</v>
      </c>
      <c r="BV27" s="292">
        <v>863.6</v>
      </c>
      <c r="BW27" s="401">
        <v>44541</v>
      </c>
      <c r="BX27" s="292">
        <v>863.6</v>
      </c>
      <c r="BY27" s="402" t="s">
        <v>508</v>
      </c>
      <c r="BZ27" s="403">
        <v>36</v>
      </c>
      <c r="CA27" s="627">
        <f t="shared" si="12"/>
        <v>31089.600000000002</v>
      </c>
      <c r="CD27" s="909"/>
      <c r="CE27" s="15">
        <v>20</v>
      </c>
      <c r="CF27" s="93">
        <v>926.2</v>
      </c>
      <c r="CG27" s="401">
        <v>44541</v>
      </c>
      <c r="CH27" s="93">
        <v>926.2</v>
      </c>
      <c r="CI27" s="404" t="s">
        <v>474</v>
      </c>
      <c r="CJ27" s="403">
        <v>36</v>
      </c>
      <c r="CK27" s="627">
        <f t="shared" si="13"/>
        <v>33343.200000000004</v>
      </c>
      <c r="CN27" s="673"/>
      <c r="CO27" s="15">
        <v>20</v>
      </c>
      <c r="CP27" s="292">
        <v>939.8</v>
      </c>
      <c r="CQ27" s="401">
        <v>44544</v>
      </c>
      <c r="CR27" s="292">
        <v>939.8</v>
      </c>
      <c r="CS27" s="404" t="s">
        <v>522</v>
      </c>
      <c r="CT27" s="403">
        <v>38</v>
      </c>
      <c r="CU27" s="635">
        <f t="shared" si="48"/>
        <v>35712.400000000001</v>
      </c>
      <c r="CX27" s="108"/>
      <c r="CY27" s="15">
        <v>20</v>
      </c>
      <c r="CZ27" s="93">
        <v>873.6</v>
      </c>
      <c r="DA27" s="341">
        <v>44544</v>
      </c>
      <c r="DB27" s="93">
        <v>873.6</v>
      </c>
      <c r="DC27" s="96" t="s">
        <v>516</v>
      </c>
      <c r="DD27" s="72">
        <v>38</v>
      </c>
      <c r="DE27" s="627">
        <f t="shared" si="14"/>
        <v>33196.800000000003</v>
      </c>
      <c r="DH27" s="108"/>
      <c r="DI27" s="15">
        <v>20</v>
      </c>
      <c r="DJ27" s="93">
        <v>892.7</v>
      </c>
      <c r="DK27" s="401">
        <v>44544</v>
      </c>
      <c r="DL27" s="93">
        <v>892.7</v>
      </c>
      <c r="DM27" s="404" t="s">
        <v>463</v>
      </c>
      <c r="DN27" s="403">
        <v>38</v>
      </c>
      <c r="DO27" s="635">
        <f t="shared" si="15"/>
        <v>33922.6</v>
      </c>
      <c r="DR27" s="108"/>
      <c r="DS27" s="15">
        <v>20</v>
      </c>
      <c r="DT27" s="93">
        <v>901.74</v>
      </c>
      <c r="DU27" s="401">
        <v>44545</v>
      </c>
      <c r="DV27" s="93">
        <v>901.74</v>
      </c>
      <c r="DW27" s="404" t="s">
        <v>487</v>
      </c>
      <c r="DX27" s="403">
        <v>38</v>
      </c>
      <c r="DY27" s="627">
        <f t="shared" si="16"/>
        <v>34266.120000000003</v>
      </c>
      <c r="EB27" s="108"/>
      <c r="EC27" s="15">
        <v>20</v>
      </c>
      <c r="ED27" s="70">
        <v>941.2</v>
      </c>
      <c r="EE27" s="357">
        <v>44546</v>
      </c>
      <c r="EF27" s="70">
        <v>941.2</v>
      </c>
      <c r="EG27" s="71" t="s">
        <v>532</v>
      </c>
      <c r="EH27" s="72">
        <v>38</v>
      </c>
      <c r="EI27" s="627">
        <f t="shared" si="17"/>
        <v>35765.599999999999</v>
      </c>
      <c r="EL27" s="95"/>
      <c r="EM27" s="15">
        <v>20</v>
      </c>
      <c r="EN27" s="292">
        <v>931.7</v>
      </c>
      <c r="EO27" s="346">
        <v>44546</v>
      </c>
      <c r="EP27" s="292">
        <v>931.7</v>
      </c>
      <c r="EQ27" s="278" t="s">
        <v>531</v>
      </c>
      <c r="ER27" s="279">
        <v>38</v>
      </c>
      <c r="ES27" s="627">
        <f t="shared" si="18"/>
        <v>35404.6</v>
      </c>
      <c r="EV27" s="108"/>
      <c r="EW27" s="15">
        <v>20</v>
      </c>
      <c r="EX27" s="70">
        <v>885</v>
      </c>
      <c r="EY27" s="357">
        <v>44548</v>
      </c>
      <c r="EZ27" s="70">
        <v>885</v>
      </c>
      <c r="FA27" s="278" t="s">
        <v>541</v>
      </c>
      <c r="FB27" s="72">
        <v>38</v>
      </c>
      <c r="FC27" s="338">
        <f t="shared" si="19"/>
        <v>33630</v>
      </c>
      <c r="FF27" s="95"/>
      <c r="FG27" s="15">
        <v>20</v>
      </c>
      <c r="FH27" s="292">
        <v>888.6</v>
      </c>
      <c r="FI27" s="346">
        <v>44548</v>
      </c>
      <c r="FJ27" s="292">
        <v>888.6</v>
      </c>
      <c r="FK27" s="278" t="s">
        <v>539</v>
      </c>
      <c r="FL27" s="279">
        <v>38</v>
      </c>
      <c r="FM27" s="627">
        <f t="shared" si="20"/>
        <v>33766.800000000003</v>
      </c>
      <c r="FP27" s="108"/>
      <c r="FQ27" s="15">
        <v>20</v>
      </c>
      <c r="FR27" s="93"/>
      <c r="FS27" s="341"/>
      <c r="FT27" s="93"/>
      <c r="FU27" s="71"/>
      <c r="FV27" s="72"/>
      <c r="FW27" s="627">
        <f t="shared" si="21"/>
        <v>0</v>
      </c>
      <c r="FX27" s="72"/>
      <c r="FZ27" s="108"/>
      <c r="GA27" s="15">
        <v>20</v>
      </c>
      <c r="GB27" s="70">
        <v>902.6</v>
      </c>
      <c r="GC27" s="545">
        <v>44551</v>
      </c>
      <c r="GD27" s="70">
        <v>902.6</v>
      </c>
      <c r="GE27" s="278" t="s">
        <v>565</v>
      </c>
      <c r="GF27" s="279">
        <v>39</v>
      </c>
      <c r="GG27" s="338">
        <f t="shared" si="22"/>
        <v>35201.4</v>
      </c>
      <c r="GJ27" s="108"/>
      <c r="GK27" s="15">
        <v>20</v>
      </c>
      <c r="GL27" s="523">
        <v>907.6</v>
      </c>
      <c r="GM27" s="341">
        <v>44551</v>
      </c>
      <c r="GN27" s="523">
        <v>907.6</v>
      </c>
      <c r="GO27" s="96" t="s">
        <v>567</v>
      </c>
      <c r="GP27" s="72">
        <v>39</v>
      </c>
      <c r="GQ27" s="627">
        <f t="shared" si="23"/>
        <v>35396.400000000001</v>
      </c>
      <c r="GT27" s="108"/>
      <c r="GU27" s="15">
        <v>20</v>
      </c>
      <c r="GV27" s="292">
        <v>894.5</v>
      </c>
      <c r="GW27" s="346">
        <v>44551</v>
      </c>
      <c r="GX27" s="292">
        <v>894.5</v>
      </c>
      <c r="GY27" s="334" t="s">
        <v>569</v>
      </c>
      <c r="GZ27" s="279">
        <v>39</v>
      </c>
      <c r="HA27" s="627">
        <f t="shared" si="24"/>
        <v>34885.5</v>
      </c>
      <c r="HD27" s="108"/>
      <c r="HE27" s="15">
        <v>20</v>
      </c>
      <c r="HF27" s="93">
        <v>908.1</v>
      </c>
      <c r="HG27" s="341">
        <v>44552</v>
      </c>
      <c r="HH27" s="93">
        <v>908.1</v>
      </c>
      <c r="HI27" s="96" t="s">
        <v>582</v>
      </c>
      <c r="HJ27" s="72">
        <v>41</v>
      </c>
      <c r="HK27" s="338">
        <f t="shared" si="25"/>
        <v>37232.1</v>
      </c>
      <c r="HN27" s="241"/>
      <c r="HO27" s="15">
        <v>20</v>
      </c>
      <c r="HP27" s="292">
        <v>944.37</v>
      </c>
      <c r="HQ27" s="346">
        <v>44552</v>
      </c>
      <c r="HR27" s="292">
        <v>944.37</v>
      </c>
      <c r="HS27" s="406" t="s">
        <v>579</v>
      </c>
      <c r="HT27" s="279">
        <v>41</v>
      </c>
      <c r="HU27" s="627">
        <f t="shared" si="26"/>
        <v>38719.17</v>
      </c>
      <c r="HX27" s="108"/>
      <c r="HY27" s="15">
        <v>20</v>
      </c>
      <c r="HZ27" s="70">
        <v>952.99</v>
      </c>
      <c r="IA27" s="357">
        <v>44553</v>
      </c>
      <c r="IB27" s="70">
        <v>952.99</v>
      </c>
      <c r="IC27" s="71" t="s">
        <v>592</v>
      </c>
      <c r="ID27" s="72">
        <v>42</v>
      </c>
      <c r="IE27" s="627">
        <f t="shared" si="27"/>
        <v>40025.58</v>
      </c>
      <c r="IH27" s="108"/>
      <c r="II27" s="15">
        <v>20</v>
      </c>
      <c r="IJ27" s="70">
        <v>952.99</v>
      </c>
      <c r="IK27" s="357">
        <v>44553</v>
      </c>
      <c r="IL27" s="70">
        <v>952.99</v>
      </c>
      <c r="IM27" s="71" t="s">
        <v>599</v>
      </c>
      <c r="IN27" s="72">
        <v>41</v>
      </c>
      <c r="IO27" s="627">
        <f t="shared" si="28"/>
        <v>39072.590000000004</v>
      </c>
      <c r="IR27" s="108"/>
      <c r="IS27" s="15">
        <v>20</v>
      </c>
      <c r="IT27" s="292">
        <v>874.5</v>
      </c>
      <c r="IU27" s="258">
        <v>44554</v>
      </c>
      <c r="IV27" s="292">
        <v>874.5</v>
      </c>
      <c r="IW27" s="552" t="s">
        <v>611</v>
      </c>
      <c r="IX27" s="279">
        <v>41</v>
      </c>
      <c r="IY27" s="338">
        <f t="shared" si="29"/>
        <v>35854.5</v>
      </c>
      <c r="JA27" s="70"/>
      <c r="JB27" s="108"/>
      <c r="JC27" s="15">
        <v>20</v>
      </c>
      <c r="JD27" s="93">
        <v>898.1</v>
      </c>
      <c r="JE27" s="357">
        <v>44554</v>
      </c>
      <c r="JF27" s="93">
        <v>898.1</v>
      </c>
      <c r="JG27" s="71" t="s">
        <v>613</v>
      </c>
      <c r="JH27" s="72">
        <v>41</v>
      </c>
      <c r="JI27" s="627">
        <f t="shared" si="30"/>
        <v>36822.1</v>
      </c>
      <c r="JL27" s="108"/>
      <c r="JM27" s="15">
        <v>20</v>
      </c>
      <c r="JN27" s="93">
        <v>886.3</v>
      </c>
      <c r="JO27" s="341">
        <v>44554</v>
      </c>
      <c r="JP27" s="93">
        <v>886.3</v>
      </c>
      <c r="JQ27" s="71" t="s">
        <v>604</v>
      </c>
      <c r="JR27" s="72">
        <v>41</v>
      </c>
      <c r="JS27" s="627">
        <f t="shared" si="31"/>
        <v>36338.299999999996</v>
      </c>
      <c r="JV27" s="95"/>
      <c r="JW27" s="15">
        <v>20</v>
      </c>
      <c r="JX27" s="70">
        <v>894</v>
      </c>
      <c r="JY27" s="357">
        <v>44554</v>
      </c>
      <c r="JZ27" s="70">
        <v>894</v>
      </c>
      <c r="KA27" s="71" t="s">
        <v>605</v>
      </c>
      <c r="KB27" s="72">
        <v>41</v>
      </c>
      <c r="KC27" s="627">
        <f t="shared" si="32"/>
        <v>36654</v>
      </c>
      <c r="KF27" s="95"/>
      <c r="KG27" s="15">
        <v>20</v>
      </c>
      <c r="KH27" s="70">
        <v>898.6</v>
      </c>
      <c r="KI27" s="357">
        <v>44556</v>
      </c>
      <c r="KJ27" s="70">
        <v>898.6</v>
      </c>
      <c r="KK27" s="71" t="s">
        <v>618</v>
      </c>
      <c r="KL27" s="72">
        <v>41</v>
      </c>
      <c r="KM27" s="627">
        <f t="shared" si="33"/>
        <v>36842.6</v>
      </c>
      <c r="KP27" s="95"/>
      <c r="KQ27" s="15">
        <v>20</v>
      </c>
      <c r="KR27" s="70">
        <v>913.1</v>
      </c>
      <c r="KS27" s="357">
        <v>44558</v>
      </c>
      <c r="KT27" s="70">
        <v>913.1</v>
      </c>
      <c r="KU27" s="71" t="s">
        <v>636</v>
      </c>
      <c r="KV27" s="72">
        <v>42</v>
      </c>
      <c r="KW27" s="627">
        <f t="shared" si="34"/>
        <v>38350.200000000004</v>
      </c>
      <c r="KZ27" s="108"/>
      <c r="LA27" s="15">
        <v>20</v>
      </c>
      <c r="LB27" s="93">
        <v>868.62</v>
      </c>
      <c r="LC27" s="341">
        <v>44558</v>
      </c>
      <c r="LD27" s="93">
        <v>868.62</v>
      </c>
      <c r="LE27" s="96" t="s">
        <v>642</v>
      </c>
      <c r="LF27" s="72">
        <v>42</v>
      </c>
      <c r="LG27" s="627">
        <f t="shared" si="35"/>
        <v>36482.04</v>
      </c>
      <c r="LJ27" s="108"/>
      <c r="LK27" s="15">
        <v>20</v>
      </c>
      <c r="LL27" s="292">
        <v>909.9</v>
      </c>
      <c r="LM27" s="341">
        <v>44559</v>
      </c>
      <c r="LN27" s="292">
        <v>909.9</v>
      </c>
      <c r="LO27" s="96" t="s">
        <v>655</v>
      </c>
      <c r="LP27" s="72">
        <v>42</v>
      </c>
      <c r="LQ27" s="627">
        <f t="shared" si="36"/>
        <v>38215.799999999996</v>
      </c>
      <c r="LT27" s="108"/>
      <c r="LU27" s="15">
        <v>20</v>
      </c>
      <c r="LV27" s="93">
        <v>906.3</v>
      </c>
      <c r="LW27" s="341">
        <v>44559</v>
      </c>
      <c r="LX27" s="93">
        <v>906.3</v>
      </c>
      <c r="LY27" s="96" t="s">
        <v>649</v>
      </c>
      <c r="LZ27" s="72">
        <v>42</v>
      </c>
      <c r="MA27" s="627">
        <f t="shared" si="37"/>
        <v>38064.6</v>
      </c>
      <c r="MB27" s="627"/>
      <c r="MD27" s="108"/>
      <c r="ME27" s="15">
        <v>20</v>
      </c>
      <c r="MF27" s="412">
        <v>923.1</v>
      </c>
      <c r="MG27" s="341">
        <v>44560</v>
      </c>
      <c r="MH27" s="412">
        <v>923.1</v>
      </c>
      <c r="MI27" s="96" t="s">
        <v>661</v>
      </c>
      <c r="MJ27" s="72">
        <v>43</v>
      </c>
      <c r="MK27" s="72">
        <f t="shared" si="38"/>
        <v>39693.300000000003</v>
      </c>
      <c r="MN27" s="108"/>
      <c r="MO27" s="15">
        <v>20</v>
      </c>
      <c r="MP27" s="93">
        <v>946.66</v>
      </c>
      <c r="MQ27" s="341">
        <v>44560</v>
      </c>
      <c r="MR27" s="93">
        <v>946.66</v>
      </c>
      <c r="MS27" s="96" t="s">
        <v>663</v>
      </c>
      <c r="MT27" s="72">
        <v>43</v>
      </c>
      <c r="MU27" s="72">
        <f t="shared" si="39"/>
        <v>40706.379999999997</v>
      </c>
      <c r="MX27" s="108"/>
      <c r="MY27" s="15">
        <v>20</v>
      </c>
      <c r="MZ27" s="93">
        <v>890.4</v>
      </c>
      <c r="NA27" s="341">
        <v>44561</v>
      </c>
      <c r="NB27" s="93">
        <v>890.4</v>
      </c>
      <c r="NC27" s="96" t="s">
        <v>667</v>
      </c>
      <c r="ND27" s="72">
        <v>40</v>
      </c>
      <c r="NE27" s="72">
        <f t="shared" si="40"/>
        <v>35616</v>
      </c>
      <c r="NH27" s="108"/>
      <c r="NI27" s="15">
        <v>20</v>
      </c>
      <c r="NJ27" s="93">
        <v>896.7</v>
      </c>
      <c r="NK27" s="341"/>
      <c r="NL27" s="93"/>
      <c r="NM27" s="96"/>
      <c r="NN27" s="72"/>
      <c r="NO27" s="72">
        <f t="shared" si="41"/>
        <v>0</v>
      </c>
      <c r="NR27" s="108"/>
      <c r="NS27" s="15">
        <v>20</v>
      </c>
      <c r="NT27" s="93">
        <v>892.7</v>
      </c>
      <c r="NU27" s="341">
        <v>44563</v>
      </c>
      <c r="NV27" s="93">
        <v>892.7</v>
      </c>
      <c r="NW27" s="96" t="s">
        <v>682</v>
      </c>
      <c r="NX27" s="72">
        <v>34</v>
      </c>
      <c r="NY27" s="72">
        <f t="shared" si="42"/>
        <v>30351.800000000003</v>
      </c>
      <c r="OB27" s="108"/>
      <c r="OC27" s="15">
        <v>20</v>
      </c>
      <c r="OD27" s="93"/>
      <c r="OE27" s="341"/>
      <c r="OF27" s="93"/>
      <c r="OG27" s="96"/>
      <c r="OH27" s="72"/>
      <c r="OI27" s="72">
        <f t="shared" si="43"/>
        <v>0</v>
      </c>
      <c r="OL27" s="108"/>
      <c r="OM27" s="15">
        <v>20</v>
      </c>
      <c r="ON27" s="93"/>
      <c r="OO27" s="341"/>
      <c r="OP27" s="93"/>
      <c r="OQ27" s="96"/>
      <c r="OR27" s="72"/>
      <c r="OS27" s="72">
        <f t="shared" si="44"/>
        <v>0</v>
      </c>
      <c r="OV27" s="108"/>
      <c r="OW27" s="15">
        <v>20</v>
      </c>
      <c r="OX27" s="292"/>
      <c r="OY27" s="346"/>
      <c r="OZ27" s="292"/>
      <c r="PA27" s="334"/>
      <c r="PB27" s="279"/>
      <c r="PC27" s="279">
        <f t="shared" si="45"/>
        <v>0</v>
      </c>
      <c r="PF27" s="108"/>
      <c r="PG27" s="15">
        <v>20</v>
      </c>
      <c r="PH27" s="93"/>
      <c r="PI27" s="341"/>
      <c r="PJ27" s="93"/>
      <c r="PK27" s="96"/>
      <c r="PL27" s="72"/>
      <c r="PM27" s="72">
        <f t="shared" si="46"/>
        <v>0</v>
      </c>
      <c r="PP27" s="108"/>
      <c r="PQ27" s="15">
        <v>20</v>
      </c>
      <c r="PR27" s="93"/>
      <c r="PS27" s="341"/>
      <c r="PT27" s="93"/>
      <c r="PU27" s="96"/>
      <c r="PV27" s="72"/>
      <c r="PY27" s="108"/>
      <c r="PZ27" s="15">
        <v>20</v>
      </c>
      <c r="QA27" s="93"/>
      <c r="QB27" s="141"/>
      <c r="QC27" s="93"/>
      <c r="QD27" s="96"/>
      <c r="QE27" s="72"/>
      <c r="QH27" s="108"/>
      <c r="QI27" s="15">
        <v>20</v>
      </c>
      <c r="QJ27" s="93"/>
      <c r="QK27" s="341"/>
      <c r="QL27" s="93"/>
      <c r="QM27" s="96"/>
      <c r="QN27" s="72"/>
      <c r="QQ27" s="108"/>
      <c r="QR27" s="15">
        <v>20</v>
      </c>
      <c r="QS27" s="93"/>
      <c r="QT27" s="341"/>
      <c r="QU27" s="93"/>
      <c r="QV27" s="96"/>
      <c r="QW27" s="72"/>
      <c r="QZ27" s="108"/>
      <c r="RA27" s="15">
        <v>20</v>
      </c>
      <c r="RB27" s="93"/>
      <c r="RC27" s="341"/>
      <c r="RD27" s="93"/>
      <c r="RE27" s="96"/>
      <c r="RF27" s="72"/>
      <c r="RI27" s="108"/>
      <c r="RJ27" s="15">
        <v>20</v>
      </c>
      <c r="RK27" s="93"/>
      <c r="RL27" s="341"/>
      <c r="RM27" s="93"/>
      <c r="RN27" s="96"/>
      <c r="RO27" s="400"/>
      <c r="RR27" s="108"/>
      <c r="RS27" s="15">
        <v>20</v>
      </c>
      <c r="RT27" s="93"/>
      <c r="RU27" s="141"/>
      <c r="RV27" s="93"/>
      <c r="RW27" s="96"/>
      <c r="RX27" s="72"/>
      <c r="SA27" s="108"/>
      <c r="SB27" s="15">
        <v>20</v>
      </c>
      <c r="SC27" s="93"/>
      <c r="SD27" s="80"/>
      <c r="SE27" s="93"/>
      <c r="SF27" s="96"/>
      <c r="SG27" s="72"/>
      <c r="SJ27" s="108"/>
      <c r="SK27" s="15">
        <v>20</v>
      </c>
      <c r="SL27" s="93"/>
      <c r="SM27" s="80"/>
      <c r="SN27" s="93"/>
      <c r="SO27" s="96"/>
      <c r="SP27" s="72"/>
      <c r="SS27" s="108"/>
      <c r="ST27" s="15"/>
      <c r="SU27" s="93"/>
      <c r="SV27" s="80"/>
      <c r="SW27" s="93"/>
      <c r="SX27" s="96"/>
      <c r="SY27" s="72"/>
      <c r="TB27" s="108"/>
      <c r="TC27" s="15">
        <v>20</v>
      </c>
      <c r="TD27" s="93"/>
      <c r="TE27" s="411"/>
      <c r="TF27" s="189"/>
      <c r="TG27" s="404"/>
      <c r="TH27" s="403"/>
      <c r="TK27" s="108"/>
      <c r="TL27" s="15"/>
      <c r="TM27" s="93"/>
      <c r="TN27" s="80"/>
      <c r="TO27" s="93"/>
      <c r="TP27" s="96"/>
      <c r="TQ27" s="72"/>
      <c r="TT27" s="108"/>
      <c r="TU27" s="15">
        <v>20</v>
      </c>
      <c r="TV27" s="93"/>
      <c r="TW27" s="80"/>
      <c r="TX27" s="93"/>
      <c r="TY27" s="96"/>
      <c r="TZ27" s="72"/>
      <c r="UC27" s="108"/>
      <c r="UD27" s="15"/>
      <c r="UE27" s="93"/>
      <c r="UF27" s="80"/>
      <c r="UG27" s="93"/>
      <c r="UH27" s="96"/>
      <c r="UI27" s="72"/>
      <c r="UL27" s="108"/>
      <c r="UM27" s="15">
        <v>20</v>
      </c>
      <c r="UN27" s="93"/>
      <c r="UO27" s="80"/>
      <c r="UP27" s="93"/>
      <c r="UQ27" s="96"/>
      <c r="UR27" s="72"/>
      <c r="UU27" s="108"/>
      <c r="UV27" s="15">
        <v>20</v>
      </c>
      <c r="UW27" s="93"/>
      <c r="UX27" s="80"/>
      <c r="UY27" s="93"/>
      <c r="UZ27" s="96"/>
      <c r="VA27" s="72"/>
      <c r="VD27" s="108"/>
      <c r="VE27" s="15">
        <v>20</v>
      </c>
      <c r="VF27" s="93"/>
      <c r="VG27" s="80"/>
      <c r="VH27" s="93"/>
      <c r="VI27" s="96"/>
      <c r="VJ27" s="72"/>
      <c r="VM27" s="108"/>
      <c r="VN27" s="15">
        <v>20</v>
      </c>
      <c r="VO27" s="93"/>
      <c r="VP27" s="80"/>
      <c r="VQ27" s="93"/>
      <c r="VR27" s="96"/>
      <c r="VS27" s="72"/>
      <c r="VV27" s="108"/>
      <c r="VW27" s="15">
        <v>20</v>
      </c>
      <c r="VX27" s="93"/>
      <c r="VY27" s="80"/>
      <c r="VZ27" s="93"/>
      <c r="WA27" s="96"/>
      <c r="WB27" s="72"/>
      <c r="WE27" s="108"/>
      <c r="WF27" s="15">
        <v>20</v>
      </c>
      <c r="WG27" s="93"/>
      <c r="WH27" s="80"/>
      <c r="WI27" s="93"/>
      <c r="WJ27" s="96"/>
      <c r="WK27" s="72"/>
      <c r="WN27" s="108"/>
      <c r="WO27" s="15">
        <v>20</v>
      </c>
      <c r="WP27" s="93"/>
      <c r="WQ27" s="80"/>
      <c r="WR27" s="93"/>
      <c r="WS27" s="96"/>
      <c r="WT27" s="72"/>
      <c r="WW27" s="108"/>
      <c r="WX27" s="15">
        <v>20</v>
      </c>
      <c r="WY27" s="93"/>
      <c r="WZ27" s="80"/>
      <c r="XA27" s="93"/>
      <c r="XB27" s="96"/>
      <c r="XC27" s="72"/>
      <c r="XF27" s="108"/>
      <c r="XG27" s="15">
        <v>20</v>
      </c>
      <c r="XH27" s="93"/>
      <c r="XI27" s="80"/>
      <c r="XJ27" s="93"/>
      <c r="XK27" s="96"/>
      <c r="XL27" s="72"/>
      <c r="XO27" s="108"/>
      <c r="XP27" s="15">
        <v>20</v>
      </c>
      <c r="XQ27" s="93"/>
      <c r="XR27" s="80"/>
      <c r="XS27" s="93"/>
      <c r="XT27" s="96"/>
      <c r="XU27" s="72"/>
      <c r="XX27" s="108"/>
      <c r="XY27" s="15">
        <v>20</v>
      </c>
      <c r="XZ27" s="93"/>
      <c r="YA27" s="80"/>
      <c r="YB27" s="93"/>
      <c r="YC27" s="96"/>
      <c r="YD27" s="72"/>
      <c r="YG27" s="108"/>
      <c r="YH27" s="15">
        <v>20</v>
      </c>
      <c r="YI27" s="93"/>
      <c r="YJ27" s="80"/>
      <c r="YK27" s="93"/>
      <c r="YL27" s="96"/>
      <c r="YM27" s="72"/>
      <c r="YP27" s="108"/>
      <c r="YQ27" s="15">
        <v>20</v>
      </c>
      <c r="YR27" s="93"/>
      <c r="YS27" s="80"/>
      <c r="YT27" s="93"/>
      <c r="YU27" s="96"/>
      <c r="YV27" s="72"/>
      <c r="YY27" s="108"/>
      <c r="YZ27" s="15">
        <v>20</v>
      </c>
      <c r="ZA27" s="93"/>
      <c r="ZB27" s="80"/>
      <c r="ZC27" s="93"/>
      <c r="ZD27" s="96"/>
      <c r="ZE27" s="72"/>
      <c r="ZH27" s="108"/>
      <c r="ZI27" s="15">
        <v>20</v>
      </c>
      <c r="ZJ27" s="93"/>
      <c r="ZK27" s="80"/>
      <c r="ZL27" s="93"/>
      <c r="ZM27" s="96"/>
      <c r="ZN27" s="72"/>
      <c r="ZQ27" s="108"/>
      <c r="ZR27" s="15">
        <v>20</v>
      </c>
      <c r="ZS27" s="93"/>
      <c r="ZT27" s="80"/>
      <c r="ZU27" s="93"/>
      <c r="ZV27" s="96"/>
      <c r="ZW27" s="72"/>
      <c r="ZZ27" s="108"/>
      <c r="AAA27" s="15">
        <v>20</v>
      </c>
      <c r="AAB27" s="93"/>
      <c r="AAC27" s="80"/>
      <c r="AAD27" s="93"/>
      <c r="AAE27" s="96"/>
      <c r="AAF27" s="72"/>
      <c r="AAI27" s="108"/>
      <c r="AAJ27" s="15">
        <v>20</v>
      </c>
      <c r="AAK27" s="93"/>
      <c r="AAL27" s="80"/>
      <c r="AAM27" s="93"/>
      <c r="AAN27" s="96"/>
      <c r="AAO27" s="72"/>
      <c r="AAR27" s="108"/>
      <c r="AAS27" s="15">
        <v>20</v>
      </c>
      <c r="AAT27" s="93"/>
      <c r="AAU27" s="80"/>
      <c r="AAV27" s="93"/>
      <c r="AAW27" s="96"/>
      <c r="AAX27" s="72"/>
      <c r="ABA27" s="108"/>
      <c r="ABB27" s="15">
        <v>20</v>
      </c>
      <c r="ABC27" s="93"/>
      <c r="ABD27" s="80"/>
      <c r="ABE27" s="93"/>
      <c r="ABF27" s="96"/>
      <c r="ABG27" s="72"/>
      <c r="ABJ27" s="108"/>
      <c r="ABK27" s="15">
        <v>20</v>
      </c>
      <c r="ABL27" s="93"/>
      <c r="ABM27" s="80"/>
      <c r="ABN27" s="93"/>
      <c r="ABO27" s="96"/>
      <c r="ABP27" s="72"/>
      <c r="ABS27" s="108"/>
      <c r="ABT27" s="15">
        <v>20</v>
      </c>
      <c r="ABU27" s="93"/>
      <c r="ABV27" s="80"/>
      <c r="ABW27" s="93"/>
      <c r="ABX27" s="96"/>
      <c r="ABY27" s="72"/>
      <c r="ACB27" s="108"/>
      <c r="ACC27" s="15">
        <v>20</v>
      </c>
      <c r="ACD27" s="93"/>
      <c r="ACE27" s="80"/>
      <c r="ACF27" s="93"/>
      <c r="ACG27" s="96"/>
      <c r="ACH27" s="72"/>
      <c r="ACK27" s="108"/>
      <c r="ACL27" s="15">
        <v>20</v>
      </c>
      <c r="ACM27" s="93"/>
      <c r="ACN27" s="80"/>
      <c r="ACO27" s="93"/>
      <c r="ACP27" s="96"/>
      <c r="ACQ27" s="72"/>
      <c r="ACT27" s="108"/>
      <c r="ACU27" s="15">
        <v>20</v>
      </c>
      <c r="ACV27" s="93"/>
      <c r="ACW27" s="80"/>
      <c r="ACX27" s="93"/>
      <c r="ACY27" s="96"/>
      <c r="ACZ27" s="72"/>
      <c r="ADC27" s="108"/>
      <c r="ADD27" s="15">
        <v>20</v>
      </c>
      <c r="ADE27" s="93"/>
      <c r="ADF27" s="80"/>
      <c r="ADG27" s="93"/>
      <c r="ADH27" s="96"/>
      <c r="ADI27" s="72"/>
      <c r="ADL27" s="108"/>
      <c r="ADM27" s="15">
        <v>20</v>
      </c>
      <c r="ADN27" s="93"/>
      <c r="ADO27" s="80"/>
      <c r="ADP27" s="93"/>
      <c r="ADQ27" s="96"/>
      <c r="ADR27" s="72"/>
      <c r="ADU27" s="108"/>
      <c r="ADV27" s="15">
        <v>20</v>
      </c>
      <c r="ADW27" s="93"/>
      <c r="ADX27" s="80"/>
      <c r="ADY27" s="93"/>
      <c r="ADZ27" s="96"/>
      <c r="AEA27" s="72"/>
      <c r="AED27" s="108"/>
      <c r="AEE27" s="15">
        <v>20</v>
      </c>
      <c r="AEF27" s="93"/>
      <c r="AEG27" s="80"/>
      <c r="AEH27" s="93"/>
      <c r="AEI27" s="96"/>
      <c r="AEJ27" s="72"/>
      <c r="AEM27" s="108"/>
      <c r="AEN27" s="15">
        <v>20</v>
      </c>
      <c r="AEO27" s="93"/>
      <c r="AEP27" s="80"/>
      <c r="AEQ27" s="93"/>
      <c r="AER27" s="96"/>
      <c r="AES27" s="72"/>
    </row>
    <row r="28" spans="1:828" x14ac:dyDescent="0.25">
      <c r="A28" s="143">
        <v>25</v>
      </c>
      <c r="B28" s="76" t="str">
        <f t="shared" ref="B28:I28" si="66">IQ5</f>
        <v>SEABOARD FOODS</v>
      </c>
      <c r="C28" s="76" t="str">
        <f t="shared" si="66"/>
        <v xml:space="preserve">Seaboard </v>
      </c>
      <c r="D28" s="104" t="str">
        <f t="shared" si="66"/>
        <v xml:space="preserve">PED. </v>
      </c>
      <c r="E28" s="141">
        <f t="shared" si="66"/>
        <v>44554</v>
      </c>
      <c r="F28" s="87">
        <f t="shared" si="66"/>
        <v>18701.990000000002</v>
      </c>
      <c r="G28" s="74">
        <f t="shared" si="66"/>
        <v>21</v>
      </c>
      <c r="H28" s="48">
        <f t="shared" si="66"/>
        <v>18740</v>
      </c>
      <c r="I28" s="107">
        <f t="shared" si="66"/>
        <v>-38.009999999998399</v>
      </c>
      <c r="L28" s="108"/>
      <c r="M28" s="15">
        <v>21</v>
      </c>
      <c r="N28" s="93">
        <v>932.6</v>
      </c>
      <c r="O28" s="341">
        <v>44537</v>
      </c>
      <c r="P28" s="93">
        <v>932.6</v>
      </c>
      <c r="Q28" s="96" t="s">
        <v>455</v>
      </c>
      <c r="R28" s="72">
        <v>37</v>
      </c>
      <c r="S28" s="627">
        <f t="shared" si="6"/>
        <v>34506.200000000004</v>
      </c>
      <c r="T28" s="255"/>
      <c r="V28" s="108"/>
      <c r="W28" s="15">
        <v>21</v>
      </c>
      <c r="X28" s="292">
        <v>904.5</v>
      </c>
      <c r="Y28" s="346">
        <v>44538</v>
      </c>
      <c r="Z28" s="292">
        <v>904.5</v>
      </c>
      <c r="AA28" s="406" t="s">
        <v>469</v>
      </c>
      <c r="AB28" s="279">
        <v>37</v>
      </c>
      <c r="AC28" s="338">
        <f t="shared" si="7"/>
        <v>33466.5</v>
      </c>
      <c r="AF28" s="108"/>
      <c r="AG28" s="15">
        <v>21</v>
      </c>
      <c r="AH28" s="93">
        <v>876.3</v>
      </c>
      <c r="AI28" s="341">
        <v>44537</v>
      </c>
      <c r="AJ28" s="93">
        <v>876.3</v>
      </c>
      <c r="AK28" s="96" t="s">
        <v>465</v>
      </c>
      <c r="AL28" s="72">
        <v>37</v>
      </c>
      <c r="AM28" s="630">
        <f t="shared" si="8"/>
        <v>32423.1</v>
      </c>
      <c r="AP28" s="108"/>
      <c r="AQ28" s="15">
        <v>21</v>
      </c>
      <c r="AR28" s="335"/>
      <c r="AS28" s="346"/>
      <c r="AT28" s="335"/>
      <c r="AU28" s="334"/>
      <c r="AV28" s="279"/>
      <c r="AW28" s="338">
        <f t="shared" si="9"/>
        <v>0</v>
      </c>
      <c r="AZ28" s="108"/>
      <c r="BA28" s="15">
        <v>21</v>
      </c>
      <c r="BB28" s="93"/>
      <c r="BC28" s="141"/>
      <c r="BD28" s="93"/>
      <c r="BE28" s="96"/>
      <c r="BF28" s="400"/>
      <c r="BG28" s="857">
        <f t="shared" si="10"/>
        <v>0</v>
      </c>
      <c r="BJ28" s="108"/>
      <c r="BK28" s="15">
        <v>21</v>
      </c>
      <c r="BL28" s="93"/>
      <c r="BM28" s="141"/>
      <c r="BN28" s="93"/>
      <c r="BO28" s="96"/>
      <c r="BP28" s="400"/>
      <c r="BQ28" s="646">
        <f t="shared" si="11"/>
        <v>0</v>
      </c>
      <c r="BT28" s="108"/>
      <c r="BU28" s="276">
        <v>21</v>
      </c>
      <c r="BV28" s="292">
        <v>908.7</v>
      </c>
      <c r="BW28" s="401">
        <v>44541</v>
      </c>
      <c r="BX28" s="292">
        <v>908.7</v>
      </c>
      <c r="BY28" s="402" t="s">
        <v>508</v>
      </c>
      <c r="BZ28" s="403">
        <v>36</v>
      </c>
      <c r="CA28" s="627">
        <f t="shared" si="12"/>
        <v>32713.200000000001</v>
      </c>
      <c r="CD28" s="910"/>
      <c r="CE28" s="15">
        <v>21</v>
      </c>
      <c r="CF28" s="93">
        <v>919.4</v>
      </c>
      <c r="CG28" s="401">
        <v>44542</v>
      </c>
      <c r="CH28" s="93">
        <v>919.4</v>
      </c>
      <c r="CI28" s="404" t="s">
        <v>511</v>
      </c>
      <c r="CJ28" s="403">
        <v>36</v>
      </c>
      <c r="CK28" s="627">
        <f t="shared" si="13"/>
        <v>33098.400000000001</v>
      </c>
      <c r="CN28" s="673"/>
      <c r="CO28" s="15">
        <v>21</v>
      </c>
      <c r="CP28" s="292">
        <v>918.1</v>
      </c>
      <c r="CQ28" s="401">
        <v>44544</v>
      </c>
      <c r="CR28" s="292">
        <v>918.1</v>
      </c>
      <c r="CS28" s="404" t="s">
        <v>522</v>
      </c>
      <c r="CT28" s="403">
        <v>38</v>
      </c>
      <c r="CU28" s="635">
        <f t="shared" si="48"/>
        <v>34887.800000000003</v>
      </c>
      <c r="CX28" s="108"/>
      <c r="CY28" s="15">
        <v>21</v>
      </c>
      <c r="CZ28" s="93">
        <v>900.4</v>
      </c>
      <c r="DA28" s="341">
        <v>44544</v>
      </c>
      <c r="DB28" s="93">
        <v>900.4</v>
      </c>
      <c r="DC28" s="96" t="s">
        <v>516</v>
      </c>
      <c r="DD28" s="72">
        <v>38</v>
      </c>
      <c r="DE28" s="627">
        <f t="shared" si="14"/>
        <v>34215.199999999997</v>
      </c>
      <c r="DH28" s="108"/>
      <c r="DI28" s="15">
        <v>21</v>
      </c>
      <c r="DJ28" s="93">
        <v>917.6</v>
      </c>
      <c r="DK28" s="401">
        <v>44544</v>
      </c>
      <c r="DL28" s="93">
        <v>917.6</v>
      </c>
      <c r="DM28" s="404" t="s">
        <v>463</v>
      </c>
      <c r="DN28" s="403">
        <v>38</v>
      </c>
      <c r="DO28" s="635">
        <f t="shared" si="15"/>
        <v>34868.800000000003</v>
      </c>
      <c r="DR28" s="108"/>
      <c r="DS28" s="15">
        <v>21</v>
      </c>
      <c r="DT28" s="93"/>
      <c r="DU28" s="401"/>
      <c r="DV28" s="93"/>
      <c r="DW28" s="404"/>
      <c r="DX28" s="403"/>
      <c r="DY28" s="627">
        <f t="shared" si="16"/>
        <v>0</v>
      </c>
      <c r="EB28" s="108"/>
      <c r="EC28" s="15">
        <v>21</v>
      </c>
      <c r="ED28" s="70">
        <v>866.8</v>
      </c>
      <c r="EE28" s="357">
        <v>44546</v>
      </c>
      <c r="EF28" s="70">
        <v>866.8</v>
      </c>
      <c r="EG28" s="71" t="s">
        <v>532</v>
      </c>
      <c r="EH28" s="72">
        <v>38</v>
      </c>
      <c r="EI28" s="627">
        <f t="shared" si="17"/>
        <v>32938.400000000001</v>
      </c>
      <c r="EL28" s="95"/>
      <c r="EM28" s="15">
        <v>21</v>
      </c>
      <c r="EN28" s="292">
        <v>891.3</v>
      </c>
      <c r="EO28" s="346">
        <v>44546</v>
      </c>
      <c r="EP28" s="292">
        <v>891.3</v>
      </c>
      <c r="EQ28" s="278" t="s">
        <v>531</v>
      </c>
      <c r="ER28" s="279">
        <v>38</v>
      </c>
      <c r="ES28" s="627">
        <f t="shared" si="18"/>
        <v>33869.4</v>
      </c>
      <c r="EV28" s="108"/>
      <c r="EW28" s="15">
        <v>21</v>
      </c>
      <c r="EX28" s="70">
        <v>874.1</v>
      </c>
      <c r="EY28" s="357">
        <v>44549</v>
      </c>
      <c r="EZ28" s="70">
        <v>874.1</v>
      </c>
      <c r="FA28" s="278" t="s">
        <v>550</v>
      </c>
      <c r="FB28" s="72">
        <v>38</v>
      </c>
      <c r="FC28" s="338">
        <f t="shared" si="19"/>
        <v>33215.800000000003</v>
      </c>
      <c r="FF28" s="95"/>
      <c r="FG28" s="15">
        <v>21</v>
      </c>
      <c r="FH28" s="292">
        <v>910.4</v>
      </c>
      <c r="FI28" s="346">
        <v>44548</v>
      </c>
      <c r="FJ28" s="292">
        <v>910.4</v>
      </c>
      <c r="FK28" s="278" t="s">
        <v>538</v>
      </c>
      <c r="FL28" s="279">
        <v>38</v>
      </c>
      <c r="FM28" s="627">
        <f t="shared" si="20"/>
        <v>34595.199999999997</v>
      </c>
      <c r="FP28" s="108"/>
      <c r="FQ28" s="15">
        <v>21</v>
      </c>
      <c r="FR28" s="93"/>
      <c r="FS28" s="341"/>
      <c r="FT28" s="93"/>
      <c r="FU28" s="71"/>
      <c r="FV28" s="72"/>
      <c r="FW28" s="627">
        <f t="shared" si="21"/>
        <v>0</v>
      </c>
      <c r="FX28" s="72"/>
      <c r="FZ28" s="108"/>
      <c r="GA28" s="15">
        <v>21</v>
      </c>
      <c r="GB28" s="70">
        <v>908.5</v>
      </c>
      <c r="GC28" s="545">
        <v>44551</v>
      </c>
      <c r="GD28" s="70">
        <v>908.5</v>
      </c>
      <c r="GE28" s="278" t="s">
        <v>565</v>
      </c>
      <c r="GF28" s="279">
        <v>39</v>
      </c>
      <c r="GG28" s="338">
        <f t="shared" si="22"/>
        <v>35431.5</v>
      </c>
      <c r="GJ28" s="108"/>
      <c r="GK28" s="15">
        <v>21</v>
      </c>
      <c r="GL28" s="523">
        <v>923.1</v>
      </c>
      <c r="GM28" s="341">
        <v>44551</v>
      </c>
      <c r="GN28" s="523">
        <v>923.1</v>
      </c>
      <c r="GO28" s="96" t="s">
        <v>567</v>
      </c>
      <c r="GP28" s="72">
        <v>39</v>
      </c>
      <c r="GQ28" s="627">
        <f t="shared" si="23"/>
        <v>36000.9</v>
      </c>
      <c r="GT28" s="108"/>
      <c r="GU28" s="15">
        <v>21</v>
      </c>
      <c r="GV28" s="93">
        <v>921.2</v>
      </c>
      <c r="GW28" s="346">
        <v>44551</v>
      </c>
      <c r="GX28" s="292">
        <v>921.2</v>
      </c>
      <c r="GY28" s="334" t="s">
        <v>573</v>
      </c>
      <c r="GZ28" s="279">
        <v>39</v>
      </c>
      <c r="HA28" s="627">
        <f t="shared" si="24"/>
        <v>35926.800000000003</v>
      </c>
      <c r="HD28" s="108"/>
      <c r="HE28" s="15">
        <v>21</v>
      </c>
      <c r="HF28" s="93">
        <v>914</v>
      </c>
      <c r="HG28" s="341">
        <v>44552</v>
      </c>
      <c r="HH28" s="93">
        <v>914</v>
      </c>
      <c r="HI28" s="96" t="s">
        <v>583</v>
      </c>
      <c r="HJ28" s="72">
        <v>41</v>
      </c>
      <c r="HK28" s="338">
        <f t="shared" si="25"/>
        <v>37474</v>
      </c>
      <c r="HN28" s="108"/>
      <c r="HO28" s="15">
        <v>21</v>
      </c>
      <c r="HP28" s="292"/>
      <c r="HQ28" s="346"/>
      <c r="HR28" s="292"/>
      <c r="HS28" s="406"/>
      <c r="HT28" s="279"/>
      <c r="HU28" s="627">
        <f t="shared" si="26"/>
        <v>0</v>
      </c>
      <c r="HX28" s="108"/>
      <c r="HY28" s="15">
        <v>21</v>
      </c>
      <c r="HZ28" s="70"/>
      <c r="IA28" s="357"/>
      <c r="IB28" s="70"/>
      <c r="IC28" s="71"/>
      <c r="ID28" s="72"/>
      <c r="IE28" s="627">
        <f t="shared" si="27"/>
        <v>0</v>
      </c>
      <c r="IH28" s="108"/>
      <c r="II28" s="15">
        <v>21</v>
      </c>
      <c r="IJ28" s="70"/>
      <c r="IK28" s="357"/>
      <c r="IL28" s="70"/>
      <c r="IM28" s="71"/>
      <c r="IN28" s="72"/>
      <c r="IO28" s="627">
        <f t="shared" si="28"/>
        <v>0</v>
      </c>
      <c r="IR28" s="108"/>
      <c r="IS28" s="15">
        <v>21</v>
      </c>
      <c r="IT28" s="292">
        <v>900.8</v>
      </c>
      <c r="IU28" s="258">
        <v>44554</v>
      </c>
      <c r="IV28" s="292">
        <v>900.8</v>
      </c>
      <c r="IW28" s="552" t="s">
        <v>611</v>
      </c>
      <c r="IX28" s="279">
        <v>41</v>
      </c>
      <c r="IY28" s="338">
        <f t="shared" si="29"/>
        <v>36932.799999999996</v>
      </c>
      <c r="JA28" s="70"/>
      <c r="JB28" s="108"/>
      <c r="JC28" s="15">
        <v>21</v>
      </c>
      <c r="JD28" s="70">
        <v>917.2</v>
      </c>
      <c r="JE28" s="357">
        <v>44554</v>
      </c>
      <c r="JF28" s="70">
        <v>917.2</v>
      </c>
      <c r="JG28" s="71" t="s">
        <v>613</v>
      </c>
      <c r="JH28" s="72">
        <v>41</v>
      </c>
      <c r="JI28" s="627">
        <f t="shared" si="30"/>
        <v>37605.200000000004</v>
      </c>
      <c r="JL28" s="108"/>
      <c r="JM28" s="15">
        <v>21</v>
      </c>
      <c r="JN28" s="93">
        <v>916.3</v>
      </c>
      <c r="JO28" s="341">
        <v>44554</v>
      </c>
      <c r="JP28" s="93">
        <v>916.3</v>
      </c>
      <c r="JQ28" s="71" t="s">
        <v>604</v>
      </c>
      <c r="JR28" s="72">
        <v>41</v>
      </c>
      <c r="JS28" s="627">
        <f>JR28*JP28</f>
        <v>37568.299999999996</v>
      </c>
      <c r="JV28" s="95"/>
      <c r="JW28" s="15">
        <v>21</v>
      </c>
      <c r="JX28" s="70">
        <v>898.1</v>
      </c>
      <c r="JY28" s="357">
        <v>44554</v>
      </c>
      <c r="JZ28" s="70">
        <v>898.1</v>
      </c>
      <c r="KA28" s="71" t="s">
        <v>605</v>
      </c>
      <c r="KB28" s="72">
        <v>41</v>
      </c>
      <c r="KC28" s="627">
        <f t="shared" si="32"/>
        <v>36822.1</v>
      </c>
      <c r="KF28" s="95"/>
      <c r="KG28" s="15">
        <v>21</v>
      </c>
      <c r="KH28" s="70">
        <v>929.9</v>
      </c>
      <c r="KI28" s="357">
        <v>44556</v>
      </c>
      <c r="KJ28" s="70">
        <v>929.9</v>
      </c>
      <c r="KK28" s="71" t="s">
        <v>618</v>
      </c>
      <c r="KL28" s="72">
        <v>41</v>
      </c>
      <c r="KM28" s="627">
        <f t="shared" si="33"/>
        <v>38125.9</v>
      </c>
      <c r="KP28" s="95"/>
      <c r="KQ28" s="15">
        <v>21</v>
      </c>
      <c r="KR28" s="70">
        <v>880.4</v>
      </c>
      <c r="KS28" s="357">
        <v>44558</v>
      </c>
      <c r="KT28" s="70">
        <v>880.4</v>
      </c>
      <c r="KU28" s="71" t="s">
        <v>636</v>
      </c>
      <c r="KV28" s="72">
        <v>42</v>
      </c>
      <c r="KW28" s="627">
        <f t="shared" si="34"/>
        <v>36976.799999999996</v>
      </c>
      <c r="KZ28" s="108"/>
      <c r="LA28" s="15">
        <v>21</v>
      </c>
      <c r="LB28" s="93"/>
      <c r="LC28" s="341"/>
      <c r="LD28" s="93"/>
      <c r="LE28" s="96"/>
      <c r="LF28" s="72"/>
      <c r="LG28" s="627">
        <f t="shared" si="35"/>
        <v>0</v>
      </c>
      <c r="LJ28" s="108"/>
      <c r="LK28" s="15">
        <v>21</v>
      </c>
      <c r="LL28" s="93"/>
      <c r="LM28" s="341"/>
      <c r="LN28" s="93"/>
      <c r="LO28" s="96"/>
      <c r="LP28" s="72"/>
      <c r="LQ28" s="627">
        <f t="shared" si="36"/>
        <v>0</v>
      </c>
      <c r="LT28" s="108"/>
      <c r="LU28" s="15">
        <v>21</v>
      </c>
      <c r="LV28" s="93">
        <v>931.2</v>
      </c>
      <c r="LW28" s="341">
        <v>44559</v>
      </c>
      <c r="LX28" s="93">
        <v>931.2</v>
      </c>
      <c r="LY28" s="96" t="s">
        <v>649</v>
      </c>
      <c r="LZ28" s="72">
        <v>42</v>
      </c>
      <c r="MA28" s="627">
        <f t="shared" si="37"/>
        <v>39110.400000000001</v>
      </c>
      <c r="MB28" s="627"/>
      <c r="MD28" s="108"/>
      <c r="ME28" s="15">
        <v>21</v>
      </c>
      <c r="MF28" s="412">
        <v>936.7</v>
      </c>
      <c r="MG28" s="341">
        <v>44560</v>
      </c>
      <c r="MH28" s="412">
        <v>936.7</v>
      </c>
      <c r="MI28" s="96" t="s">
        <v>661</v>
      </c>
      <c r="MJ28" s="72">
        <v>43</v>
      </c>
      <c r="MK28" s="72">
        <f t="shared" si="38"/>
        <v>40278.1</v>
      </c>
      <c r="MN28" s="108"/>
      <c r="MO28" s="15">
        <v>21</v>
      </c>
      <c r="MP28" s="93"/>
      <c r="MQ28" s="341"/>
      <c r="MR28" s="93"/>
      <c r="MS28" s="96"/>
      <c r="MT28" s="72"/>
      <c r="MU28" s="72">
        <f t="shared" si="39"/>
        <v>0</v>
      </c>
      <c r="MX28" s="108"/>
      <c r="MY28" s="15">
        <v>21</v>
      </c>
      <c r="MZ28" s="93">
        <v>931.7</v>
      </c>
      <c r="NA28" s="341">
        <v>44561</v>
      </c>
      <c r="NB28" s="93">
        <v>931.7</v>
      </c>
      <c r="NC28" s="96" t="s">
        <v>667</v>
      </c>
      <c r="ND28" s="72">
        <v>40</v>
      </c>
      <c r="NE28" s="72">
        <f t="shared" si="40"/>
        <v>37268</v>
      </c>
      <c r="NH28" s="108"/>
      <c r="NI28" s="15">
        <v>21</v>
      </c>
      <c r="NJ28" s="93">
        <v>867.7</v>
      </c>
      <c r="NK28" s="341"/>
      <c r="NL28" s="93"/>
      <c r="NM28" s="96"/>
      <c r="NN28" s="72"/>
      <c r="NO28" s="72">
        <f t="shared" si="41"/>
        <v>0</v>
      </c>
      <c r="NR28" s="108"/>
      <c r="NS28" s="15">
        <v>21</v>
      </c>
      <c r="NT28" s="93">
        <v>934.4</v>
      </c>
      <c r="NU28" s="341">
        <v>44563</v>
      </c>
      <c r="NV28" s="93">
        <v>934.4</v>
      </c>
      <c r="NW28" s="96" t="s">
        <v>681</v>
      </c>
      <c r="NX28" s="72">
        <v>34</v>
      </c>
      <c r="NY28" s="72">
        <f t="shared" si="42"/>
        <v>31769.599999999999</v>
      </c>
      <c r="OB28" s="108"/>
      <c r="OC28" s="15">
        <v>21</v>
      </c>
      <c r="OD28" s="93"/>
      <c r="OE28" s="341"/>
      <c r="OF28" s="93"/>
      <c r="OG28" s="96"/>
      <c r="OH28" s="72"/>
      <c r="OI28" s="72">
        <f t="shared" si="43"/>
        <v>0</v>
      </c>
      <c r="OL28" s="108"/>
      <c r="OM28" s="15">
        <v>21</v>
      </c>
      <c r="ON28" s="93"/>
      <c r="OO28" s="341"/>
      <c r="OP28" s="93"/>
      <c r="OQ28" s="96"/>
      <c r="OR28" s="72"/>
      <c r="OS28" s="72">
        <f t="shared" si="44"/>
        <v>0</v>
      </c>
      <c r="OV28" s="108"/>
      <c r="OW28" s="15">
        <v>21</v>
      </c>
      <c r="OX28" s="292"/>
      <c r="OY28" s="346"/>
      <c r="OZ28" s="292"/>
      <c r="PA28" s="334"/>
      <c r="PB28" s="279"/>
      <c r="PC28" s="279">
        <f t="shared" si="45"/>
        <v>0</v>
      </c>
      <c r="PF28" s="108"/>
      <c r="PG28" s="15">
        <v>21</v>
      </c>
      <c r="PH28" s="93"/>
      <c r="PI28" s="341"/>
      <c r="PJ28" s="93"/>
      <c r="PK28" s="96"/>
      <c r="PL28" s="72"/>
      <c r="PM28" s="72">
        <f t="shared" si="46"/>
        <v>0</v>
      </c>
      <c r="PP28" s="108"/>
      <c r="PQ28" s="15">
        <v>21</v>
      </c>
      <c r="PR28" s="93"/>
      <c r="PS28" s="341"/>
      <c r="PT28" s="93"/>
      <c r="PU28" s="96"/>
      <c r="PV28" s="72"/>
      <c r="PY28" s="108"/>
      <c r="PZ28" s="15">
        <v>21</v>
      </c>
      <c r="QA28" s="93"/>
      <c r="QB28" s="141"/>
      <c r="QC28" s="93"/>
      <c r="QD28" s="96"/>
      <c r="QE28" s="72"/>
      <c r="QH28" s="108"/>
      <c r="QI28" s="15">
        <v>21</v>
      </c>
      <c r="QJ28" s="93"/>
      <c r="QK28" s="341"/>
      <c r="QL28" s="93"/>
      <c r="QM28" s="96"/>
      <c r="QN28" s="72"/>
      <c r="QQ28" s="108"/>
      <c r="QR28" s="15">
        <v>21</v>
      </c>
      <c r="QS28" s="93"/>
      <c r="QT28" s="341"/>
      <c r="QU28" s="93"/>
      <c r="QV28" s="96"/>
      <c r="QW28" s="72"/>
      <c r="QZ28" s="108"/>
      <c r="RA28" s="15">
        <v>21</v>
      </c>
      <c r="RB28" s="93"/>
      <c r="RC28" s="341"/>
      <c r="RD28" s="93"/>
      <c r="RE28" s="96"/>
      <c r="RF28" s="72"/>
      <c r="RI28" s="108"/>
      <c r="RJ28" s="15">
        <v>21</v>
      </c>
      <c r="RK28" s="93"/>
      <c r="RL28" s="341"/>
      <c r="RM28" s="93"/>
      <c r="RN28" s="96"/>
      <c r="RO28" s="400"/>
      <c r="RR28" s="108"/>
      <c r="RS28" s="15">
        <v>21</v>
      </c>
      <c r="RT28" s="93"/>
      <c r="RU28" s="141"/>
      <c r="RV28" s="93"/>
      <c r="RW28" s="96"/>
      <c r="RX28" s="72"/>
      <c r="SA28" s="108"/>
      <c r="SB28" s="15">
        <v>21</v>
      </c>
      <c r="SC28" s="93"/>
      <c r="SD28" s="80"/>
      <c r="SE28" s="93"/>
      <c r="SF28" s="96"/>
      <c r="SG28" s="72"/>
      <c r="SJ28" s="108"/>
      <c r="SK28" s="15">
        <v>21</v>
      </c>
      <c r="SL28" s="93"/>
      <c r="SM28" s="80"/>
      <c r="SN28" s="93"/>
      <c r="SO28" s="96"/>
      <c r="SP28" s="72"/>
      <c r="SS28" s="108"/>
      <c r="ST28" s="15"/>
      <c r="SU28" s="93"/>
      <c r="SV28" s="80"/>
      <c r="SW28" s="93"/>
      <c r="SX28" s="96"/>
      <c r="SY28" s="72"/>
      <c r="TB28" s="108"/>
      <c r="TC28" s="15"/>
      <c r="TD28" s="93"/>
      <c r="TE28" s="80"/>
      <c r="TF28" s="93"/>
      <c r="TG28" s="96"/>
      <c r="TH28" s="72"/>
      <c r="TK28" s="108"/>
      <c r="TL28" s="15"/>
      <c r="TM28" s="93"/>
      <c r="TN28" s="80"/>
      <c r="TO28" s="93"/>
      <c r="TP28" s="96"/>
      <c r="TQ28" s="72"/>
      <c r="TT28" s="108"/>
      <c r="TU28" s="15">
        <v>21</v>
      </c>
      <c r="TV28" s="93"/>
      <c r="TW28" s="80"/>
      <c r="TX28" s="93"/>
      <c r="TY28" s="96"/>
      <c r="TZ28" s="72"/>
      <c r="UC28" s="108"/>
      <c r="UD28" s="15"/>
      <c r="UE28" s="93"/>
      <c r="UF28" s="80"/>
      <c r="UG28" s="93"/>
      <c r="UH28" s="96"/>
      <c r="UI28" s="72"/>
      <c r="UL28" s="108"/>
      <c r="UM28" s="15">
        <v>21</v>
      </c>
      <c r="UN28" s="93"/>
      <c r="UO28" s="80"/>
      <c r="UP28" s="93"/>
      <c r="UQ28" s="96"/>
      <c r="UR28" s="72"/>
      <c r="UU28" s="108"/>
      <c r="UV28" s="15"/>
      <c r="UW28" s="93"/>
      <c r="UX28" s="80"/>
      <c r="UY28" s="93"/>
      <c r="UZ28" s="96"/>
      <c r="VA28" s="72"/>
      <c r="VD28" s="108"/>
      <c r="VE28" s="15">
        <v>21</v>
      </c>
      <c r="VF28" s="93"/>
      <c r="VG28" s="80"/>
      <c r="VH28" s="93"/>
      <c r="VI28" s="96"/>
      <c r="VJ28" s="72"/>
      <c r="VM28" s="108"/>
      <c r="VN28" s="15">
        <v>21</v>
      </c>
      <c r="VO28" s="93"/>
      <c r="VP28" s="80"/>
      <c r="VQ28" s="93"/>
      <c r="VR28" s="96"/>
      <c r="VS28" s="72"/>
      <c r="VV28" s="108"/>
      <c r="VW28" s="15">
        <v>21</v>
      </c>
      <c r="VX28" s="93"/>
      <c r="VY28" s="80"/>
      <c r="VZ28" s="93"/>
      <c r="WA28" s="96"/>
      <c r="WB28" s="72"/>
      <c r="WE28" s="108"/>
      <c r="WF28" s="15">
        <v>21</v>
      </c>
      <c r="WG28" s="93"/>
      <c r="WH28" s="80"/>
      <c r="WI28" s="93"/>
      <c r="WJ28" s="96"/>
      <c r="WK28" s="72"/>
      <c r="WN28" s="108"/>
      <c r="WO28" s="15">
        <v>21</v>
      </c>
      <c r="WP28" s="93"/>
      <c r="WQ28" s="80"/>
      <c r="WR28" s="93"/>
      <c r="WS28" s="96"/>
      <c r="WT28" s="72"/>
      <c r="WW28" s="108"/>
      <c r="WX28" s="15">
        <v>21</v>
      </c>
      <c r="WY28" s="93"/>
      <c r="WZ28" s="80"/>
      <c r="XA28" s="93"/>
      <c r="XB28" s="96"/>
      <c r="XC28" s="72"/>
      <c r="XF28" s="108"/>
      <c r="XG28" s="15">
        <v>21</v>
      </c>
      <c r="XH28" s="93"/>
      <c r="XI28" s="80"/>
      <c r="XJ28" s="93"/>
      <c r="XK28" s="96"/>
      <c r="XL28" s="72"/>
      <c r="XO28" s="108"/>
      <c r="XP28" s="15">
        <v>21</v>
      </c>
      <c r="XQ28" s="93"/>
      <c r="XR28" s="80"/>
      <c r="XS28" s="93"/>
      <c r="XT28" s="96"/>
      <c r="XU28" s="72"/>
      <c r="XX28" s="108"/>
      <c r="XY28" s="15">
        <v>21</v>
      </c>
      <c r="XZ28" s="93"/>
      <c r="YA28" s="80"/>
      <c r="YB28" s="93"/>
      <c r="YC28" s="96"/>
      <c r="YD28" s="72"/>
      <c r="YG28" s="108"/>
      <c r="YH28" s="15">
        <v>21</v>
      </c>
      <c r="YI28" s="93"/>
      <c r="YJ28" s="80"/>
      <c r="YK28" s="93"/>
      <c r="YL28" s="96"/>
      <c r="YM28" s="72"/>
      <c r="YP28" s="108"/>
      <c r="YQ28" s="15">
        <v>21</v>
      </c>
      <c r="YR28" s="93"/>
      <c r="YS28" s="80"/>
      <c r="YT28" s="93"/>
      <c r="YU28" s="96"/>
      <c r="YV28" s="72"/>
      <c r="YY28" s="108"/>
      <c r="YZ28" s="15">
        <v>21</v>
      </c>
      <c r="ZA28" s="93"/>
      <c r="ZB28" s="80"/>
      <c r="ZC28" s="93"/>
      <c r="ZD28" s="96"/>
      <c r="ZE28" s="72"/>
      <c r="ZH28" s="108"/>
      <c r="ZI28" s="15">
        <v>21</v>
      </c>
      <c r="ZJ28" s="93"/>
      <c r="ZK28" s="80"/>
      <c r="ZL28" s="93"/>
      <c r="ZM28" s="96"/>
      <c r="ZN28" s="72"/>
      <c r="ZQ28" s="108"/>
      <c r="ZR28" s="15">
        <v>21</v>
      </c>
      <c r="ZS28" s="93"/>
      <c r="ZT28" s="80"/>
      <c r="ZU28" s="93"/>
      <c r="ZV28" s="96"/>
      <c r="ZW28" s="72"/>
      <c r="ZZ28" s="108"/>
      <c r="AAA28" s="15">
        <v>21</v>
      </c>
      <c r="AAB28" s="93"/>
      <c r="AAC28" s="80"/>
      <c r="AAD28" s="93"/>
      <c r="AAE28" s="96"/>
      <c r="AAF28" s="72"/>
      <c r="AAI28" s="108"/>
      <c r="AAJ28" s="15">
        <v>21</v>
      </c>
      <c r="AAK28" s="93"/>
      <c r="AAL28" s="80"/>
      <c r="AAM28" s="93"/>
      <c r="AAN28" s="96"/>
      <c r="AAO28" s="72"/>
      <c r="AAR28" s="108"/>
      <c r="AAS28" s="15">
        <v>21</v>
      </c>
      <c r="AAT28" s="93"/>
      <c r="AAU28" s="80"/>
      <c r="AAV28" s="93"/>
      <c r="AAW28" s="96"/>
      <c r="AAX28" s="72"/>
      <c r="ABA28" s="108"/>
      <c r="ABB28" s="15">
        <v>21</v>
      </c>
      <c r="ABC28" s="93"/>
      <c r="ABD28" s="80"/>
      <c r="ABE28" s="93"/>
      <c r="ABF28" s="96"/>
      <c r="ABG28" s="72"/>
      <c r="ABJ28" s="108"/>
      <c r="ABK28" s="15">
        <v>21</v>
      </c>
      <c r="ABL28" s="93"/>
      <c r="ABM28" s="80"/>
      <c r="ABN28" s="93"/>
      <c r="ABO28" s="96"/>
      <c r="ABP28" s="72"/>
      <c r="ABS28" s="108"/>
      <c r="ABT28" s="15">
        <v>21</v>
      </c>
      <c r="ABU28" s="93"/>
      <c r="ABV28" s="80"/>
      <c r="ABW28" s="93"/>
      <c r="ABX28" s="96"/>
      <c r="ABY28" s="72"/>
      <c r="ACB28" s="108"/>
      <c r="ACC28" s="15">
        <v>21</v>
      </c>
      <c r="ACD28" s="93"/>
      <c r="ACE28" s="80"/>
      <c r="ACF28" s="93"/>
      <c r="ACG28" s="96"/>
      <c r="ACH28" s="72"/>
      <c r="ACK28" s="108"/>
      <c r="ACL28" s="15">
        <v>21</v>
      </c>
      <c r="ACM28" s="93"/>
      <c r="ACN28" s="80"/>
      <c r="ACO28" s="93"/>
      <c r="ACP28" s="96"/>
      <c r="ACQ28" s="72"/>
      <c r="ACT28" s="108"/>
      <c r="ACU28" s="15">
        <v>21</v>
      </c>
      <c r="ACV28" s="93"/>
      <c r="ACW28" s="80"/>
      <c r="ACX28" s="93"/>
      <c r="ACY28" s="96"/>
      <c r="ACZ28" s="72"/>
      <c r="ADC28" s="108"/>
      <c r="ADD28" s="15">
        <v>21</v>
      </c>
      <c r="ADE28" s="93"/>
      <c r="ADF28" s="80"/>
      <c r="ADG28" s="93"/>
      <c r="ADH28" s="96"/>
      <c r="ADI28" s="72"/>
      <c r="ADL28" s="108"/>
      <c r="ADM28" s="15">
        <v>21</v>
      </c>
      <c r="ADN28" s="93"/>
      <c r="ADO28" s="80"/>
      <c r="ADP28" s="93"/>
      <c r="ADQ28" s="96"/>
      <c r="ADR28" s="72"/>
      <c r="ADU28" s="108"/>
      <c r="ADV28" s="15">
        <v>21</v>
      </c>
      <c r="ADW28" s="93"/>
      <c r="ADX28" s="80"/>
      <c r="ADY28" s="93"/>
      <c r="ADZ28" s="96"/>
      <c r="AEA28" s="72"/>
      <c r="AED28" s="108"/>
      <c r="AEE28" s="15">
        <v>21</v>
      </c>
      <c r="AEF28" s="93"/>
      <c r="AEG28" s="80"/>
      <c r="AEH28" s="93"/>
      <c r="AEI28" s="96"/>
      <c r="AEJ28" s="72"/>
      <c r="AEM28" s="108"/>
      <c r="AEN28" s="15">
        <v>21</v>
      </c>
      <c r="AEO28" s="93"/>
      <c r="AEP28" s="80"/>
      <c r="AEQ28" s="93"/>
      <c r="AER28" s="96"/>
      <c r="AES28" s="72"/>
    </row>
    <row r="29" spans="1:828" x14ac:dyDescent="0.25">
      <c r="A29" s="143">
        <v>26</v>
      </c>
      <c r="B29" s="76" t="str">
        <f t="shared" ref="B29:I29" si="67">JA5</f>
        <v>SEABOARD FOODS</v>
      </c>
      <c r="C29" s="76" t="str">
        <f t="shared" si="67"/>
        <v>Seaboard</v>
      </c>
      <c r="D29" s="104" t="str">
        <f t="shared" si="67"/>
        <v>PED. 75400289</v>
      </c>
      <c r="E29" s="141">
        <f t="shared" si="67"/>
        <v>44554</v>
      </c>
      <c r="F29" s="87">
        <f t="shared" si="67"/>
        <v>18697.38</v>
      </c>
      <c r="G29" s="74">
        <f t="shared" si="67"/>
        <v>21</v>
      </c>
      <c r="H29" s="48">
        <f t="shared" si="67"/>
        <v>18734.8</v>
      </c>
      <c r="I29" s="107">
        <f t="shared" si="67"/>
        <v>-37.419999999998254</v>
      </c>
      <c r="L29" s="108"/>
      <c r="M29" s="15"/>
      <c r="N29" s="93"/>
      <c r="O29" s="341"/>
      <c r="P29" s="292"/>
      <c r="Q29" s="96"/>
      <c r="R29" s="72"/>
      <c r="S29" s="627">
        <f t="shared" si="6"/>
        <v>0</v>
      </c>
      <c r="V29" s="108"/>
      <c r="W29" s="15">
        <v>22</v>
      </c>
      <c r="X29" s="93"/>
      <c r="Y29" s="341"/>
      <c r="Z29" s="93"/>
      <c r="AA29" s="71"/>
      <c r="AB29" s="72"/>
      <c r="AC29" s="338">
        <f t="shared" si="7"/>
        <v>0</v>
      </c>
      <c r="AF29" s="95"/>
      <c r="AG29" s="15"/>
      <c r="AH29" s="93"/>
      <c r="AI29" s="341"/>
      <c r="AJ29" s="93"/>
      <c r="AK29" s="96"/>
      <c r="AL29" s="72"/>
      <c r="AM29" s="630">
        <f t="shared" si="8"/>
        <v>0</v>
      </c>
      <c r="AP29" s="108"/>
      <c r="AQ29" s="15">
        <v>22</v>
      </c>
      <c r="AR29" s="412"/>
      <c r="AS29" s="346"/>
      <c r="AT29" s="412"/>
      <c r="AU29" s="334"/>
      <c r="AV29" s="279"/>
      <c r="AW29" s="338">
        <f t="shared" si="9"/>
        <v>0</v>
      </c>
      <c r="AZ29" s="108"/>
      <c r="BA29" s="15">
        <v>22</v>
      </c>
      <c r="BB29" s="93"/>
      <c r="BC29" s="416"/>
      <c r="BD29" s="170"/>
      <c r="BE29" s="417"/>
      <c r="BF29" s="61"/>
      <c r="BG29" s="646">
        <f t="shared" si="10"/>
        <v>0</v>
      </c>
      <c r="BJ29" s="108"/>
      <c r="BK29" s="15">
        <v>22</v>
      </c>
      <c r="BL29" s="93"/>
      <c r="BM29" s="141"/>
      <c r="BN29" s="93"/>
      <c r="BO29" s="96"/>
      <c r="BP29" s="400"/>
      <c r="BQ29" s="646">
        <f t="shared" si="11"/>
        <v>0</v>
      </c>
      <c r="BT29" s="108"/>
      <c r="BU29" s="276">
        <v>22</v>
      </c>
      <c r="BV29" s="292"/>
      <c r="BW29" s="80"/>
      <c r="BX29" s="93"/>
      <c r="BY29" s="96"/>
      <c r="BZ29" s="72"/>
      <c r="CA29" s="627">
        <v>0</v>
      </c>
      <c r="CD29" s="108"/>
      <c r="CE29" s="15">
        <v>22</v>
      </c>
      <c r="CF29" s="93"/>
      <c r="CG29" s="401"/>
      <c r="CH29" s="93"/>
      <c r="CI29" s="414"/>
      <c r="CJ29" s="403"/>
      <c r="CK29" s="627">
        <f t="shared" si="13"/>
        <v>0</v>
      </c>
      <c r="CN29" s="673"/>
      <c r="CO29" s="15">
        <v>22</v>
      </c>
      <c r="CP29" s="93"/>
      <c r="CQ29" s="401"/>
      <c r="CR29" s="93"/>
      <c r="CS29" s="404"/>
      <c r="CT29" s="403"/>
      <c r="CU29" s="635">
        <f t="shared" si="48"/>
        <v>0</v>
      </c>
      <c r="CX29" s="108"/>
      <c r="CY29" s="15"/>
      <c r="CZ29" s="93"/>
      <c r="DA29" s="341"/>
      <c r="DB29" s="93"/>
      <c r="DC29" s="96"/>
      <c r="DD29" s="72"/>
      <c r="DE29" s="627">
        <f t="shared" si="14"/>
        <v>0</v>
      </c>
      <c r="DH29" s="108"/>
      <c r="DI29" s="15"/>
      <c r="DJ29" s="93"/>
      <c r="DK29" s="341"/>
      <c r="DL29" s="93"/>
      <c r="DM29" s="96"/>
      <c r="DN29" s="72"/>
      <c r="DO29" s="635">
        <f t="shared" si="15"/>
        <v>0</v>
      </c>
      <c r="DR29" s="501"/>
      <c r="DS29" s="15">
        <v>22</v>
      </c>
      <c r="DT29" s="93"/>
      <c r="DU29" s="341"/>
      <c r="DV29" s="93"/>
      <c r="DW29" s="96"/>
      <c r="DX29" s="72"/>
      <c r="DY29" s="627">
        <f t="shared" si="16"/>
        <v>0</v>
      </c>
      <c r="EB29" s="108"/>
      <c r="EC29" s="15">
        <v>22</v>
      </c>
      <c r="ED29" s="70"/>
      <c r="EE29" s="357"/>
      <c r="EF29" s="70"/>
      <c r="EG29" s="71"/>
      <c r="EH29" s="72"/>
      <c r="EI29" s="627">
        <f>SUM(EI8:EI28)</f>
        <v>721601</v>
      </c>
      <c r="EL29" s="95"/>
      <c r="EM29" s="15">
        <v>22</v>
      </c>
      <c r="EN29" s="93"/>
      <c r="EO29" s="341"/>
      <c r="EP29" s="93"/>
      <c r="EQ29" s="71"/>
      <c r="ER29" s="72"/>
      <c r="ES29" s="627">
        <f t="shared" si="18"/>
        <v>0</v>
      </c>
      <c r="EV29" s="108"/>
      <c r="EW29" s="15">
        <v>22</v>
      </c>
      <c r="EX29" s="70"/>
      <c r="EY29" s="357"/>
      <c r="EZ29" s="70"/>
      <c r="FA29" s="71"/>
      <c r="FB29" s="72"/>
      <c r="FC29" s="338">
        <f t="shared" si="19"/>
        <v>0</v>
      </c>
      <c r="FF29" s="95"/>
      <c r="FG29" s="15">
        <v>22</v>
      </c>
      <c r="FH29" s="93"/>
      <c r="FI29" s="341"/>
      <c r="FJ29" s="93"/>
      <c r="FK29" s="71"/>
      <c r="FL29" s="72"/>
      <c r="FM29" s="627">
        <f t="shared" si="20"/>
        <v>0</v>
      </c>
      <c r="FP29" s="108"/>
      <c r="FQ29" s="15">
        <v>22</v>
      </c>
      <c r="FR29" s="93"/>
      <c r="FS29" s="341"/>
      <c r="FT29" s="93"/>
      <c r="FU29" s="71"/>
      <c r="FV29" s="72"/>
      <c r="FW29" s="627">
        <f t="shared" si="21"/>
        <v>0</v>
      </c>
      <c r="FZ29" s="108"/>
      <c r="GA29" s="15"/>
      <c r="GB29" s="70"/>
      <c r="GC29" s="357"/>
      <c r="GD29" s="70"/>
      <c r="GE29" s="71"/>
      <c r="GF29" s="72"/>
      <c r="GG29" s="338">
        <f t="shared" si="22"/>
        <v>0</v>
      </c>
      <c r="GJ29" s="108"/>
      <c r="GK29" s="15"/>
      <c r="GL29" s="523"/>
      <c r="GM29" s="341"/>
      <c r="GN29" s="93"/>
      <c r="GO29" s="96"/>
      <c r="GP29" s="72"/>
      <c r="GQ29" s="627">
        <f t="shared" si="23"/>
        <v>0</v>
      </c>
      <c r="GT29" s="108" t="s">
        <v>40</v>
      </c>
      <c r="GU29" s="15">
        <v>22</v>
      </c>
      <c r="GV29" s="93"/>
      <c r="GW29" s="341"/>
      <c r="GX29" s="93"/>
      <c r="GY29" s="96"/>
      <c r="GZ29" s="72"/>
      <c r="HA29" s="627">
        <f>SUM(HA8:HA28)</f>
        <v>742045.2</v>
      </c>
      <c r="HD29" s="108"/>
      <c r="HE29" s="15"/>
      <c r="HF29" s="93"/>
      <c r="HG29" s="341"/>
      <c r="HH29" s="93"/>
      <c r="HI29" s="96"/>
      <c r="HJ29" s="72"/>
      <c r="HK29" s="627">
        <f>SUM(HK8:HK28)</f>
        <v>775584.7</v>
      </c>
      <c r="HN29" s="108"/>
      <c r="HO29" s="15">
        <v>22</v>
      </c>
      <c r="HP29" s="93"/>
      <c r="HQ29" s="341"/>
      <c r="HR29" s="93"/>
      <c r="HS29" s="71"/>
      <c r="HT29" s="72"/>
      <c r="HU29" s="627">
        <f t="shared" si="26"/>
        <v>0</v>
      </c>
      <c r="HX29" s="108"/>
      <c r="HY29" s="15">
        <v>22</v>
      </c>
      <c r="HZ29" s="70"/>
      <c r="IA29" s="357"/>
      <c r="IB29" s="70"/>
      <c r="IC29" s="71"/>
      <c r="ID29" s="72"/>
      <c r="IE29" s="627">
        <f t="shared" si="27"/>
        <v>0</v>
      </c>
      <c r="IH29" s="108"/>
      <c r="II29" s="15">
        <v>22</v>
      </c>
      <c r="IJ29" s="70"/>
      <c r="IK29" s="357"/>
      <c r="IL29" s="70"/>
      <c r="IM29" s="71"/>
      <c r="IN29" s="72"/>
      <c r="IO29" s="627">
        <f t="shared" si="28"/>
        <v>0</v>
      </c>
      <c r="IR29" s="108"/>
      <c r="IS29" s="15">
        <v>22</v>
      </c>
      <c r="IT29" s="292"/>
      <c r="IU29" s="258"/>
      <c r="IV29" s="292"/>
      <c r="IW29" s="334"/>
      <c r="IX29" s="279"/>
      <c r="IY29" s="338">
        <f t="shared" si="29"/>
        <v>0</v>
      </c>
      <c r="JA29" s="107"/>
      <c r="JB29" s="108"/>
      <c r="JC29" s="15">
        <v>22</v>
      </c>
      <c r="JD29" s="70"/>
      <c r="JE29" s="357"/>
      <c r="JF29" s="70"/>
      <c r="JG29" s="71"/>
      <c r="JH29" s="72"/>
      <c r="JI29" s="627">
        <f t="shared" si="30"/>
        <v>0</v>
      </c>
      <c r="JL29" s="108"/>
      <c r="JM29" s="15"/>
      <c r="JN29" s="93"/>
      <c r="JO29" s="341"/>
      <c r="JP29" s="93"/>
      <c r="JQ29" s="71"/>
      <c r="JR29" s="72"/>
      <c r="JS29" s="627">
        <f>SUM(JS8:JS28)</f>
        <v>783526.40000000002</v>
      </c>
      <c r="JV29" s="108"/>
      <c r="JW29" s="15"/>
      <c r="JX29" s="70"/>
      <c r="JY29" s="357"/>
      <c r="JZ29" s="70"/>
      <c r="KA29" s="71"/>
      <c r="KB29" s="72"/>
      <c r="KC29" s="627">
        <f>SUM(KC8:KC28)</f>
        <v>781000.79999999993</v>
      </c>
      <c r="KF29" s="108"/>
      <c r="KG29" s="15"/>
      <c r="KH29" s="70"/>
      <c r="KI29" s="357"/>
      <c r="KJ29" s="70"/>
      <c r="KK29" s="71"/>
      <c r="KL29" s="72"/>
      <c r="KM29" s="627">
        <f>SUM(KM8:KM28)</f>
        <v>776991</v>
      </c>
      <c r="KP29" s="108"/>
      <c r="KQ29" s="15"/>
      <c r="KR29" s="70"/>
      <c r="KS29" s="357"/>
      <c r="KT29" s="70"/>
      <c r="KU29" s="71"/>
      <c r="KV29" s="72"/>
      <c r="KW29" s="627">
        <f>SUM(KW8:KW28)</f>
        <v>795362.39999999991</v>
      </c>
      <c r="KZ29" s="108"/>
      <c r="LA29" s="15"/>
      <c r="LB29" s="93"/>
      <c r="LC29" s="341"/>
      <c r="LD29" s="93"/>
      <c r="LE29" s="96"/>
      <c r="LF29" s="72"/>
      <c r="LG29" s="627">
        <f>LF29*LD29</f>
        <v>0</v>
      </c>
      <c r="LJ29" s="108"/>
      <c r="LK29" s="15"/>
      <c r="LL29" s="93"/>
      <c r="LM29" s="341"/>
      <c r="LN29" s="292"/>
      <c r="LO29" s="96"/>
      <c r="LP29" s="72"/>
      <c r="LQ29" s="627">
        <f t="shared" si="36"/>
        <v>0</v>
      </c>
      <c r="LT29" s="108"/>
      <c r="LU29" s="15"/>
      <c r="LV29" s="93"/>
      <c r="LW29" s="341"/>
      <c r="LX29" s="93"/>
      <c r="LY29" s="96"/>
      <c r="LZ29" s="72"/>
      <c r="MA29" s="627">
        <f t="shared" si="37"/>
        <v>0</v>
      </c>
      <c r="MB29" s="627"/>
      <c r="MD29" s="108"/>
      <c r="ME29" s="15">
        <v>22</v>
      </c>
      <c r="MF29" s="412"/>
      <c r="MG29" s="341"/>
      <c r="MH29" s="412"/>
      <c r="MI29" s="96"/>
      <c r="MJ29" s="72"/>
      <c r="MK29" s="72">
        <f>SUM(MK8:MK28)</f>
        <v>816810.79999999993</v>
      </c>
      <c r="MN29" s="95"/>
      <c r="MO29" s="15"/>
      <c r="MP29" s="93"/>
      <c r="MQ29" s="341"/>
      <c r="MR29" s="93"/>
      <c r="MS29" s="96"/>
      <c r="MT29" s="72"/>
      <c r="MU29" s="72">
        <f>SUM(MU8:MU28)</f>
        <v>796849.77</v>
      </c>
      <c r="MX29" s="95"/>
      <c r="MY29" s="15"/>
      <c r="MZ29" s="93"/>
      <c r="NA29" s="341"/>
      <c r="NB29" s="93"/>
      <c r="NC29" s="96"/>
      <c r="ND29" s="72"/>
      <c r="NE29" s="72">
        <f>SUM(NE8:NE28)</f>
        <v>753988</v>
      </c>
      <c r="NF29" s="72"/>
      <c r="NG29" s="72"/>
      <c r="NH29" s="72"/>
      <c r="NK29" s="108"/>
      <c r="NL29" s="15"/>
      <c r="NM29" s="93"/>
      <c r="NN29" s="341"/>
      <c r="NO29" s="93"/>
      <c r="NP29" s="96"/>
      <c r="NQ29" s="72"/>
      <c r="NR29" s="72">
        <v>0</v>
      </c>
      <c r="NU29" s="108"/>
      <c r="NV29" s="15"/>
      <c r="NW29" s="93"/>
      <c r="NX29" s="341"/>
      <c r="NY29" s="93">
        <v>0</v>
      </c>
      <c r="NZ29" s="96"/>
      <c r="OA29" s="72"/>
      <c r="OB29" s="72">
        <f>SUM(NY8:NY28)</f>
        <v>650420</v>
      </c>
      <c r="OE29" s="108"/>
      <c r="OF29" s="15"/>
      <c r="OG29" s="93"/>
      <c r="OH29" s="341"/>
      <c r="OI29" s="72">
        <f t="shared" si="43"/>
        <v>0</v>
      </c>
      <c r="OJ29" s="93"/>
      <c r="OK29" s="96"/>
      <c r="OL29" s="72"/>
      <c r="OO29" s="108"/>
      <c r="OP29" s="15"/>
      <c r="OQ29" s="93"/>
      <c r="OR29" s="341"/>
      <c r="OS29" s="627">
        <v>0</v>
      </c>
      <c r="OT29" s="93"/>
      <c r="OU29" s="96"/>
      <c r="OV29" s="72"/>
      <c r="OY29" s="108"/>
      <c r="OZ29" s="15"/>
      <c r="PA29" s="292"/>
      <c r="PB29" s="346"/>
      <c r="PC29" s="338">
        <v>0</v>
      </c>
      <c r="PD29" s="292"/>
      <c r="PE29" s="334"/>
      <c r="PF29" s="279"/>
      <c r="PI29" s="108"/>
      <c r="PJ29" s="15"/>
      <c r="PK29" s="93"/>
      <c r="PL29" s="341"/>
      <c r="PM29" s="341"/>
      <c r="PN29" s="93"/>
      <c r="PO29" s="96"/>
      <c r="PP29" s="72"/>
      <c r="PS29" s="108"/>
      <c r="PT29" s="15"/>
      <c r="PU29" s="93"/>
      <c r="PV29" s="341"/>
      <c r="PW29" s="93"/>
      <c r="PX29" s="96"/>
      <c r="PY29" s="72"/>
      <c r="QB29" s="108"/>
      <c r="QC29" s="15"/>
      <c r="QD29" s="93"/>
      <c r="QE29" s="141"/>
      <c r="QF29" s="93"/>
      <c r="QG29" s="96"/>
      <c r="QH29" s="72"/>
      <c r="QK29" s="108"/>
      <c r="QL29" s="15"/>
      <c r="QM29" s="93"/>
      <c r="QN29" s="341"/>
      <c r="QO29" s="93"/>
      <c r="QP29" s="96"/>
      <c r="QQ29" s="72"/>
      <c r="QT29" s="108"/>
      <c r="QU29" s="15"/>
      <c r="QV29" s="93"/>
      <c r="QW29" s="341"/>
      <c r="QX29" s="93"/>
      <c r="QY29" s="96"/>
      <c r="QZ29" s="72"/>
      <c r="RC29" s="108"/>
      <c r="RD29" s="15"/>
      <c r="RE29" s="93"/>
      <c r="RF29" s="341"/>
      <c r="RG29" s="93"/>
      <c r="RH29" s="96"/>
      <c r="RI29" s="72"/>
      <c r="RL29" s="108"/>
      <c r="RM29" s="15"/>
      <c r="RN29" s="93"/>
      <c r="RO29" s="341"/>
      <c r="RP29" s="93"/>
      <c r="RQ29" s="96"/>
      <c r="RR29" s="400"/>
      <c r="RU29" s="108"/>
      <c r="RV29" s="15"/>
      <c r="RW29" s="93"/>
      <c r="RX29" s="141"/>
      <c r="RY29" s="93"/>
      <c r="RZ29" s="96"/>
      <c r="SA29" s="72"/>
      <c r="SD29" s="108"/>
      <c r="SE29" s="15"/>
      <c r="SF29" s="93"/>
      <c r="SG29" s="80"/>
      <c r="SH29" s="93"/>
      <c r="SI29" s="96"/>
      <c r="SJ29" s="72"/>
      <c r="SM29" s="108"/>
      <c r="SN29" s="15"/>
      <c r="SO29" s="93"/>
      <c r="SP29" s="80"/>
      <c r="SQ29" s="93"/>
      <c r="SR29" s="96"/>
      <c r="SS29" s="72"/>
      <c r="SV29" s="108"/>
      <c r="SW29" s="15"/>
      <c r="SX29" s="93"/>
      <c r="SY29" s="80"/>
      <c r="SZ29" s="93"/>
      <c r="TA29" s="96"/>
      <c r="TB29" s="72"/>
      <c r="TE29" s="108"/>
      <c r="TF29" s="15"/>
      <c r="TG29" s="93"/>
      <c r="TH29" s="80"/>
      <c r="TI29" s="93"/>
      <c r="TJ29" s="96"/>
      <c r="TK29" s="72"/>
      <c r="TN29" s="108"/>
      <c r="TO29" s="15"/>
      <c r="TP29" s="93"/>
      <c r="TQ29" s="80"/>
      <c r="TR29" s="93"/>
      <c r="TS29" s="96"/>
      <c r="TT29" s="72"/>
      <c r="TW29" s="108"/>
      <c r="TX29" s="15"/>
      <c r="TY29" s="93"/>
      <c r="TZ29" s="80"/>
      <c r="UA29" s="93"/>
      <c r="UB29" s="96"/>
      <c r="UC29" s="72"/>
      <c r="UF29" s="108"/>
      <c r="UG29" s="15"/>
      <c r="UH29" s="93"/>
      <c r="UI29" s="80"/>
      <c r="UJ29" s="93"/>
      <c r="UK29" s="96"/>
      <c r="UL29" s="72"/>
      <c r="UO29" s="108"/>
      <c r="UP29" s="15"/>
      <c r="UQ29" s="93"/>
      <c r="UR29" s="80"/>
      <c r="US29" s="93"/>
      <c r="UT29" s="96"/>
      <c r="UU29" s="72"/>
      <c r="UX29" s="108"/>
      <c r="UY29" s="15"/>
      <c r="UZ29" s="93"/>
      <c r="VA29" s="80"/>
      <c r="VB29" s="93"/>
      <c r="VC29" s="96"/>
      <c r="VD29" s="72"/>
      <c r="VG29" s="108"/>
      <c r="VH29" s="15">
        <v>22</v>
      </c>
      <c r="VI29" s="93"/>
      <c r="VJ29" s="80"/>
      <c r="VK29" s="93"/>
      <c r="VL29" s="96"/>
      <c r="VM29" s="72"/>
      <c r="VP29" s="108"/>
      <c r="VQ29" s="15">
        <v>22</v>
      </c>
      <c r="VR29" s="93"/>
      <c r="VS29" s="80"/>
      <c r="VT29" s="93"/>
      <c r="VU29" s="96"/>
      <c r="VV29" s="72"/>
      <c r="VY29" s="108"/>
      <c r="VZ29" s="15">
        <v>22</v>
      </c>
      <c r="WA29" s="93"/>
      <c r="WB29" s="80"/>
      <c r="WC29" s="93"/>
      <c r="WD29" s="96"/>
      <c r="WE29" s="72"/>
      <c r="WH29" s="108"/>
      <c r="WI29" s="15">
        <v>22</v>
      </c>
      <c r="WJ29" s="93"/>
      <c r="WK29" s="80"/>
      <c r="WL29" s="93"/>
      <c r="WM29" s="96"/>
      <c r="WN29" s="72"/>
      <c r="WQ29" s="108"/>
      <c r="WR29" s="15">
        <v>22</v>
      </c>
      <c r="WS29" s="93"/>
      <c r="WT29" s="80"/>
      <c r="WU29" s="93"/>
      <c r="WV29" s="96"/>
      <c r="WW29" s="72"/>
      <c r="WZ29" s="108"/>
      <c r="XA29" s="15">
        <v>22</v>
      </c>
      <c r="XB29" s="93"/>
      <c r="XC29" s="80"/>
      <c r="XD29" s="93"/>
      <c r="XE29" s="96"/>
      <c r="XF29" s="72"/>
      <c r="XI29" s="108"/>
      <c r="XJ29" s="15">
        <v>22</v>
      </c>
      <c r="XK29" s="93"/>
      <c r="XL29" s="80"/>
      <c r="XM29" s="93"/>
      <c r="XN29" s="96"/>
      <c r="XO29" s="72"/>
      <c r="XR29" s="108"/>
      <c r="XS29" s="15">
        <v>22</v>
      </c>
      <c r="XT29" s="93"/>
      <c r="XU29" s="80"/>
      <c r="XV29" s="93"/>
      <c r="XW29" s="96"/>
      <c r="XX29" s="72"/>
      <c r="YA29" s="108"/>
      <c r="YB29" s="15">
        <v>22</v>
      </c>
      <c r="YC29" s="93"/>
      <c r="YD29" s="80"/>
      <c r="YE29" s="93"/>
      <c r="YF29" s="96"/>
      <c r="YG29" s="72"/>
      <c r="YJ29" s="108"/>
      <c r="YK29" s="15">
        <v>22</v>
      </c>
      <c r="YL29" s="93"/>
      <c r="YM29" s="80"/>
      <c r="YN29" s="93"/>
      <c r="YO29" s="96"/>
      <c r="YP29" s="72"/>
      <c r="YS29" s="108"/>
      <c r="YT29" s="15">
        <v>22</v>
      </c>
      <c r="YU29" s="93"/>
      <c r="YV29" s="80"/>
      <c r="YW29" s="93"/>
      <c r="YX29" s="96"/>
      <c r="YY29" s="72"/>
      <c r="ZB29" s="108"/>
      <c r="ZC29" s="15">
        <v>22</v>
      </c>
      <c r="ZD29" s="93"/>
      <c r="ZE29" s="80"/>
      <c r="ZF29" s="93"/>
      <c r="ZG29" s="96"/>
      <c r="ZH29" s="72"/>
      <c r="ZK29" s="108"/>
      <c r="ZL29" s="15">
        <v>22</v>
      </c>
      <c r="ZM29" s="93"/>
      <c r="ZN29" s="80"/>
      <c r="ZO29" s="93"/>
      <c r="ZP29" s="96"/>
      <c r="ZQ29" s="72"/>
      <c r="ZT29" s="108"/>
      <c r="ZU29" s="15">
        <v>22</v>
      </c>
      <c r="ZV29" s="93"/>
      <c r="ZW29" s="80"/>
      <c r="ZX29" s="93"/>
      <c r="ZY29" s="96"/>
      <c r="ZZ29" s="72"/>
      <c r="AAC29" s="108"/>
      <c r="AAD29" s="15">
        <v>22</v>
      </c>
      <c r="AAE29" s="93"/>
      <c r="AAF29" s="80"/>
      <c r="AAG29" s="93"/>
      <c r="AAH29" s="96"/>
      <c r="AAI29" s="72"/>
      <c r="AAL29" s="108"/>
      <c r="AAM29" s="15">
        <v>22</v>
      </c>
      <c r="AAN29" s="93"/>
      <c r="AAO29" s="80"/>
      <c r="AAP29" s="93"/>
      <c r="AAQ29" s="96"/>
      <c r="AAR29" s="72"/>
      <c r="AAU29" s="108"/>
      <c r="AAV29" s="15">
        <v>22</v>
      </c>
      <c r="AAW29" s="93"/>
      <c r="AAX29" s="80"/>
      <c r="AAY29" s="93"/>
      <c r="AAZ29" s="96"/>
      <c r="ABA29" s="72"/>
      <c r="ABD29" s="108"/>
      <c r="ABE29" s="15">
        <v>22</v>
      </c>
      <c r="ABF29" s="93"/>
      <c r="ABG29" s="80"/>
      <c r="ABH29" s="93"/>
      <c r="ABI29" s="96"/>
      <c r="ABJ29" s="72"/>
      <c r="ABM29" s="108"/>
      <c r="ABN29" s="15">
        <v>22</v>
      </c>
      <c r="ABO29" s="93"/>
      <c r="ABP29" s="80"/>
      <c r="ABQ29" s="93"/>
      <c r="ABR29" s="96"/>
      <c r="ABS29" s="72"/>
      <c r="ABV29" s="108"/>
      <c r="ABW29" s="15">
        <v>22</v>
      </c>
      <c r="ABX29" s="93"/>
      <c r="ABY29" s="80"/>
      <c r="ABZ29" s="93"/>
      <c r="ACA29" s="96"/>
      <c r="ACB29" s="72"/>
      <c r="ACE29" s="108"/>
      <c r="ACF29" s="15">
        <v>22</v>
      </c>
      <c r="ACG29" s="93"/>
      <c r="ACH29" s="80"/>
      <c r="ACI29" s="93"/>
      <c r="ACJ29" s="96"/>
      <c r="ACK29" s="72"/>
      <c r="ACN29" s="108"/>
      <c r="ACO29" s="15">
        <v>22</v>
      </c>
      <c r="ACP29" s="93"/>
      <c r="ACQ29" s="80"/>
      <c r="ACR29" s="93"/>
      <c r="ACS29" s="96"/>
      <c r="ACT29" s="72"/>
      <c r="ACW29" s="108"/>
      <c r="ACX29" s="15">
        <v>22</v>
      </c>
      <c r="ACY29" s="93"/>
      <c r="ACZ29" s="80"/>
      <c r="ADA29" s="93"/>
      <c r="ADB29" s="96"/>
      <c r="ADC29" s="72"/>
      <c r="ADF29" s="108"/>
      <c r="ADG29" s="15">
        <v>22</v>
      </c>
      <c r="ADH29" s="93"/>
      <c r="ADI29" s="80"/>
      <c r="ADJ29" s="93"/>
      <c r="ADK29" s="96"/>
      <c r="ADL29" s="72"/>
      <c r="ADO29" s="108"/>
      <c r="ADP29" s="15">
        <v>22</v>
      </c>
      <c r="ADQ29" s="93"/>
      <c r="ADR29" s="80"/>
      <c r="ADS29" s="93"/>
      <c r="ADT29" s="96"/>
      <c r="ADU29" s="72"/>
      <c r="ADX29" s="108"/>
      <c r="ADY29" s="15">
        <v>22</v>
      </c>
      <c r="ADZ29" s="93"/>
      <c r="AEA29" s="80"/>
      <c r="AEB29" s="93"/>
      <c r="AEC29" s="96"/>
      <c r="AED29" s="72"/>
      <c r="AEG29" s="108"/>
      <c r="AEH29" s="15">
        <v>22</v>
      </c>
      <c r="AEI29" s="93"/>
      <c r="AEJ29" s="80"/>
      <c r="AEK29" s="93"/>
      <c r="AEL29" s="96"/>
      <c r="AEM29" s="72"/>
      <c r="AEP29" s="108"/>
      <c r="AEQ29" s="15">
        <v>22</v>
      </c>
      <c r="AER29" s="93"/>
      <c r="AES29" s="80"/>
      <c r="AET29" s="93"/>
      <c r="AEU29" s="96"/>
      <c r="AEV29" s="72"/>
    </row>
    <row r="30" spans="1:828" x14ac:dyDescent="0.25">
      <c r="A30" s="143">
        <v>27</v>
      </c>
      <c r="B30" s="76" t="str">
        <f t="shared" ref="B30:H30" si="68">JK5</f>
        <v>SEABOARD FOODS</v>
      </c>
      <c r="C30" s="76" t="str">
        <f t="shared" si="68"/>
        <v>Seaboard</v>
      </c>
      <c r="D30" s="104" t="str">
        <f t="shared" si="68"/>
        <v>PED. 75418454</v>
      </c>
      <c r="E30" s="141">
        <f t="shared" si="68"/>
        <v>44554</v>
      </c>
      <c r="F30" s="87">
        <f t="shared" si="68"/>
        <v>19104.060000000001</v>
      </c>
      <c r="G30" s="74">
        <f t="shared" si="68"/>
        <v>21</v>
      </c>
      <c r="H30" s="48">
        <f t="shared" si="68"/>
        <v>19110.400000000001</v>
      </c>
      <c r="I30" s="107">
        <f>F30-H30</f>
        <v>-6.3400000000001455</v>
      </c>
      <c r="L30" s="108"/>
      <c r="M30" s="15"/>
      <c r="N30" s="93"/>
      <c r="O30" s="341"/>
      <c r="P30" s="93"/>
      <c r="Q30" s="96"/>
      <c r="R30" s="72"/>
      <c r="S30" s="627">
        <f>SUM(S8:S29)</f>
        <v>698001.29999999993</v>
      </c>
      <c r="V30" s="108"/>
      <c r="W30" s="15">
        <v>23</v>
      </c>
      <c r="X30" s="93"/>
      <c r="Y30" s="341"/>
      <c r="Z30" s="107"/>
      <c r="AA30" s="71"/>
      <c r="AB30" s="72"/>
      <c r="AC30" s="627">
        <f>SUM(AC8:AC29)</f>
        <v>704539.20000000007</v>
      </c>
      <c r="AF30" s="108"/>
      <c r="AG30" s="15"/>
      <c r="AH30" s="70"/>
      <c r="AI30" s="341"/>
      <c r="AJ30" s="70"/>
      <c r="AK30" s="96"/>
      <c r="AL30" s="72"/>
      <c r="AM30" s="72">
        <f>SUM(AM8:AM29)</f>
        <v>709648.89999999991</v>
      </c>
      <c r="AP30" s="108"/>
      <c r="AQ30" s="15"/>
      <c r="AR30" s="412"/>
      <c r="AS30" s="80"/>
      <c r="AT30" s="70"/>
      <c r="AU30" s="96"/>
      <c r="AV30" s="72"/>
      <c r="AW30" s="627">
        <f>SUM(AW8:AW29)</f>
        <v>684252.47000000009</v>
      </c>
      <c r="AZ30" s="108"/>
      <c r="BA30" s="15"/>
      <c r="BB30" s="70"/>
      <c r="BC30" s="141"/>
      <c r="BD30" s="70"/>
      <c r="BE30" s="96"/>
      <c r="BF30" s="72"/>
      <c r="BG30" s="627">
        <f>SUM(BG8:BG29)</f>
        <v>664681.32000000007</v>
      </c>
      <c r="BJ30" s="108"/>
      <c r="BK30" s="15"/>
      <c r="BL30" s="70"/>
      <c r="BM30" s="141"/>
      <c r="BN30" s="70"/>
      <c r="BO30" s="96"/>
      <c r="BP30" s="72"/>
      <c r="BQ30" s="627">
        <f>SUM(BQ8:BQ29)</f>
        <v>661532.4</v>
      </c>
      <c r="BT30" s="108"/>
      <c r="BU30" s="276"/>
      <c r="BV30" s="277"/>
      <c r="BW30" s="80"/>
      <c r="BX30" s="70"/>
      <c r="BY30" s="96"/>
      <c r="BZ30" s="72"/>
      <c r="CA30" s="627">
        <f>SUM(CA8:CA29)</f>
        <v>684179.99999999988</v>
      </c>
      <c r="CD30" s="108"/>
      <c r="CE30" s="15">
        <v>23</v>
      </c>
      <c r="CF30" s="70"/>
      <c r="CG30" s="401"/>
      <c r="CH30" s="70"/>
      <c r="CI30" s="414"/>
      <c r="CJ30" s="403"/>
      <c r="CK30" s="627">
        <f>SUM(CK8:CK29)</f>
        <v>691362.00000000012</v>
      </c>
      <c r="CN30" s="108"/>
      <c r="CO30" s="15"/>
      <c r="CP30" s="70"/>
      <c r="CQ30" s="341"/>
      <c r="CR30" s="70"/>
      <c r="CS30" s="96"/>
      <c r="CT30" s="72"/>
      <c r="CU30" s="635">
        <f t="shared" si="48"/>
        <v>0</v>
      </c>
      <c r="CX30" s="108"/>
      <c r="CY30" s="15"/>
      <c r="CZ30" s="70"/>
      <c r="DA30" s="341"/>
      <c r="DB30" s="70"/>
      <c r="DC30" s="96"/>
      <c r="DD30" s="72"/>
      <c r="DE30" s="627">
        <f>SUM(DE8:DE29)</f>
        <v>715973.2</v>
      </c>
      <c r="DH30" s="108"/>
      <c r="DI30" s="15"/>
      <c r="DJ30" s="70"/>
      <c r="DK30" s="341"/>
      <c r="DL30" s="70"/>
      <c r="DM30" s="96"/>
      <c r="DN30" s="72"/>
      <c r="DO30" s="627">
        <f>SUM(DO8:DO29)</f>
        <v>717379.20000000007</v>
      </c>
      <c r="DR30" s="108"/>
      <c r="DS30" s="15"/>
      <c r="DT30" s="70"/>
      <c r="DU30" s="341"/>
      <c r="DV30" s="70"/>
      <c r="DW30" s="96"/>
      <c r="DX30" s="72"/>
      <c r="DY30" s="627">
        <f>SUM(DY8:DY29)</f>
        <v>709347.52</v>
      </c>
      <c r="EB30" s="108"/>
      <c r="EC30" s="15"/>
      <c r="ED30" s="70"/>
      <c r="EE30" s="357"/>
      <c r="EF30" s="107"/>
      <c r="EG30" s="71"/>
      <c r="EH30" s="72"/>
      <c r="EL30" s="108"/>
      <c r="EM30" s="15"/>
      <c r="EN30" s="70"/>
      <c r="EO30" s="357"/>
      <c r="EP30" s="107"/>
      <c r="EQ30" s="71"/>
      <c r="ER30" s="72"/>
      <c r="ES30" s="627">
        <f>SUM(ES8:ES29)</f>
        <v>721817.59999999998</v>
      </c>
      <c r="EV30" s="95"/>
      <c r="EW30" s="15"/>
      <c r="EX30" s="93"/>
      <c r="EY30" s="341"/>
      <c r="EZ30" s="107"/>
      <c r="FA30" s="71"/>
      <c r="FB30" s="72"/>
      <c r="FC30" s="627">
        <f>SUM(FC8:FC29)</f>
        <v>722357.2</v>
      </c>
      <c r="FF30" s="95"/>
      <c r="FG30" s="15"/>
      <c r="FH30" s="93"/>
      <c r="FI30" s="341"/>
      <c r="FJ30" s="107"/>
      <c r="FK30" s="71"/>
      <c r="FL30" s="72"/>
      <c r="FM30" s="627">
        <f>SUM(FM8:FM29)</f>
        <v>720677.6</v>
      </c>
      <c r="FP30" s="108"/>
      <c r="FQ30" s="15"/>
      <c r="FR30" s="93"/>
      <c r="FS30" s="341"/>
      <c r="FT30" s="93"/>
      <c r="FU30" s="71"/>
      <c r="FV30" s="72"/>
      <c r="FW30" s="627">
        <f>SUM(FW8:FW29)</f>
        <v>623716.80000000005</v>
      </c>
      <c r="FZ30" s="108"/>
      <c r="GA30" s="15"/>
      <c r="GB30" s="70"/>
      <c r="GC30" s="357"/>
      <c r="GD30" s="107"/>
      <c r="GE30" s="71"/>
      <c r="GF30" s="72"/>
      <c r="GG30" s="627">
        <f>SUM(GG8:GG29)</f>
        <v>738328.5</v>
      </c>
      <c r="GJ30" s="108"/>
      <c r="GK30" s="15"/>
      <c r="GL30" s="523"/>
      <c r="GM30" s="341"/>
      <c r="GN30" s="70"/>
      <c r="GO30" s="96"/>
      <c r="GP30" s="72"/>
      <c r="GQ30" s="627">
        <f>SUM(GQ8:GQ29)</f>
        <v>747438.89999999991</v>
      </c>
      <c r="GT30" s="108"/>
      <c r="GU30" s="15">
        <v>23</v>
      </c>
      <c r="GV30" s="93"/>
      <c r="GW30" s="341"/>
      <c r="GX30" s="93"/>
      <c r="GY30" s="96"/>
      <c r="GZ30" s="72"/>
      <c r="HD30" s="108"/>
      <c r="HE30" s="15"/>
      <c r="HF30" s="70"/>
      <c r="HG30" s="401"/>
      <c r="HH30" s="189"/>
      <c r="HI30" s="404"/>
      <c r="HJ30" s="403"/>
      <c r="HK30" s="635"/>
      <c r="HN30" s="108"/>
      <c r="HO30" s="15"/>
      <c r="HP30" s="93"/>
      <c r="HQ30" s="341"/>
      <c r="HR30" s="107"/>
      <c r="HS30" s="71"/>
      <c r="HT30" s="72"/>
      <c r="HU30" s="627">
        <f>SUM(HU8:HU29)</f>
        <v>760082.19000000006</v>
      </c>
      <c r="HX30" s="108"/>
      <c r="HY30" s="15"/>
      <c r="HZ30" s="70"/>
      <c r="IA30" s="357"/>
      <c r="IB30" s="107"/>
      <c r="IC30" s="71"/>
      <c r="ID30" s="72"/>
      <c r="IE30" s="627">
        <f>SUM(IE8:IE29)</f>
        <v>774794.57999999984</v>
      </c>
      <c r="IH30" s="108"/>
      <c r="II30" s="15">
        <v>23</v>
      </c>
      <c r="IJ30" s="70"/>
      <c r="IK30" s="357"/>
      <c r="IL30" s="107"/>
      <c r="IM30" s="71"/>
      <c r="IN30" s="72"/>
      <c r="IO30" s="627">
        <f>SUM(IO8:IO29)</f>
        <v>759843.15999999992</v>
      </c>
      <c r="IR30" s="108"/>
      <c r="IS30" s="15"/>
      <c r="IT30" s="70"/>
      <c r="IU30" s="80"/>
      <c r="IV30" s="70"/>
      <c r="IW30" s="96"/>
      <c r="IX30" s="72"/>
      <c r="IY30" s="627">
        <f>SUM(IY8:IY29)</f>
        <v>768340.00000000012</v>
      </c>
      <c r="JB30" s="108"/>
      <c r="JC30" s="15"/>
      <c r="JD30" s="70"/>
      <c r="JE30" s="357"/>
      <c r="JF30" s="107"/>
      <c r="JG30" s="71"/>
      <c r="JH30" s="72"/>
      <c r="JI30" s="627">
        <f>SUM(JI8:JI29)</f>
        <v>768126.8</v>
      </c>
      <c r="JL30" s="108"/>
      <c r="JM30" s="15"/>
      <c r="JN30" s="93"/>
      <c r="JO30" s="341"/>
      <c r="JP30" s="107"/>
      <c r="JQ30" s="71"/>
      <c r="JR30" s="72"/>
      <c r="JV30" s="108"/>
      <c r="JW30" s="15"/>
      <c r="JX30" s="70"/>
      <c r="JY30" s="357"/>
      <c r="JZ30" s="107"/>
      <c r="KA30" s="71"/>
      <c r="KB30" s="72"/>
      <c r="KF30" s="108"/>
      <c r="KG30" s="15"/>
      <c r="KH30" s="70"/>
      <c r="KI30" s="357"/>
      <c r="KJ30" s="107"/>
      <c r="KK30" s="71"/>
      <c r="KL30" s="72"/>
      <c r="KP30" s="108"/>
      <c r="KQ30" s="15"/>
      <c r="KR30" s="70"/>
      <c r="KS30" s="357"/>
      <c r="KT30" s="107"/>
      <c r="KU30" s="71"/>
      <c r="KV30" s="72"/>
      <c r="KZ30" s="108"/>
      <c r="LA30" s="15"/>
      <c r="LB30" s="93"/>
      <c r="LC30" s="341"/>
      <c r="LD30" s="70"/>
      <c r="LE30" s="96"/>
      <c r="LF30" s="72"/>
      <c r="LG30" s="627">
        <f>SUM(LG8:LG29)</f>
        <v>774718.14</v>
      </c>
      <c r="LJ30" s="108"/>
      <c r="LK30" s="15"/>
      <c r="LL30" s="93"/>
      <c r="LM30" s="341"/>
      <c r="LN30" s="93"/>
      <c r="LO30" s="96"/>
      <c r="LP30" s="72"/>
      <c r="LQ30" s="627">
        <f>SUM(LQ8:LQ29)</f>
        <v>779043.29999999993</v>
      </c>
      <c r="LT30" s="108"/>
      <c r="LU30" s="15"/>
      <c r="LV30" s="70"/>
      <c r="LW30" s="341"/>
      <c r="LX30" s="70"/>
      <c r="LY30" s="96"/>
      <c r="LZ30" s="72"/>
      <c r="MA30" s="627">
        <f>SUM(MA8:MA29)</f>
        <v>801255.00000000012</v>
      </c>
      <c r="MB30" s="627"/>
      <c r="MD30" s="108"/>
      <c r="ME30" s="15"/>
      <c r="MF30" s="412"/>
      <c r="MG30" s="341"/>
      <c r="MH30" s="70"/>
      <c r="MI30" s="96"/>
      <c r="MJ30" s="72"/>
      <c r="MK30" s="72"/>
      <c r="MN30" s="108"/>
      <c r="MO30" s="15"/>
      <c r="MP30" s="70"/>
      <c r="MQ30" s="341"/>
      <c r="MR30" s="70"/>
      <c r="MS30" s="96"/>
      <c r="MT30" s="72"/>
      <c r="MU30" s="72"/>
      <c r="MX30" s="108"/>
      <c r="MY30" s="15"/>
      <c r="MZ30" s="70"/>
      <c r="NA30" s="341"/>
      <c r="NB30" s="70"/>
      <c r="NC30" s="96"/>
      <c r="ND30" s="72"/>
      <c r="NE30" s="72"/>
      <c r="NI30" s="15"/>
      <c r="NJ30" s="70"/>
      <c r="NK30" s="341"/>
      <c r="NL30" s="70"/>
      <c r="NM30" s="96"/>
      <c r="NN30" s="72"/>
      <c r="NO30" s="72">
        <f>SUM(NO8:NO29)</f>
        <v>0</v>
      </c>
      <c r="NR30" s="108"/>
      <c r="NS30" s="15"/>
      <c r="NT30" s="70"/>
      <c r="NU30" s="341"/>
      <c r="NV30" s="70"/>
      <c r="NW30" s="96"/>
      <c r="NX30" s="72"/>
      <c r="NY30" s="72">
        <f>SUM(NY8:NY29)</f>
        <v>650420</v>
      </c>
      <c r="OC30" s="15"/>
      <c r="OD30" s="70"/>
      <c r="OE30" s="341"/>
      <c r="OF30" s="70"/>
      <c r="OG30" s="96"/>
      <c r="OH30" s="72"/>
      <c r="OI30" s="72">
        <f>SUM(OI8:OI29)</f>
        <v>0</v>
      </c>
      <c r="OL30" s="108"/>
      <c r="OM30" s="15"/>
      <c r="ON30" s="70"/>
      <c r="OO30" s="341"/>
      <c r="OP30" s="70"/>
      <c r="OQ30" s="96"/>
      <c r="OR30" s="72"/>
      <c r="OS30" s="72">
        <f>SUM(OS8:OS29)</f>
        <v>0</v>
      </c>
      <c r="OV30" s="108"/>
      <c r="OW30" s="15"/>
      <c r="OX30" s="70"/>
      <c r="OY30" s="341"/>
      <c r="OZ30" s="93"/>
      <c r="PA30" s="96"/>
      <c r="PB30" s="72"/>
      <c r="PC30" s="72">
        <f>SUM(PC8:PC29)</f>
        <v>0</v>
      </c>
      <c r="PG30" s="15"/>
      <c r="PH30" s="70"/>
      <c r="PI30" s="341"/>
      <c r="PJ30" s="70"/>
      <c r="PK30" s="96"/>
      <c r="PL30" s="72"/>
      <c r="PM30" s="72"/>
      <c r="PP30" s="108"/>
      <c r="PQ30" s="15"/>
      <c r="PR30" s="70"/>
      <c r="PS30" s="341"/>
      <c r="PT30" s="70"/>
      <c r="PU30" s="96"/>
      <c r="PV30" s="72"/>
      <c r="PY30" s="108"/>
      <c r="PZ30" s="15"/>
      <c r="QA30" s="70"/>
      <c r="QB30" s="141"/>
      <c r="QC30" s="70"/>
      <c r="QH30" s="108"/>
      <c r="QI30" s="15"/>
      <c r="QJ30" s="70"/>
      <c r="QK30" s="341"/>
      <c r="QL30" s="93"/>
      <c r="QM30" s="96"/>
      <c r="QN30" s="72"/>
      <c r="QQ30" s="108"/>
      <c r="QR30" s="15"/>
      <c r="QS30" s="70"/>
      <c r="QT30" s="341"/>
      <c r="QU30" s="93"/>
      <c r="QV30" s="96"/>
      <c r="QW30" s="72"/>
      <c r="QZ30" s="108"/>
      <c r="RA30" s="15"/>
      <c r="RB30" s="70"/>
      <c r="RC30" s="341"/>
      <c r="RD30" s="93"/>
      <c r="RE30" s="96"/>
      <c r="RF30" s="72"/>
      <c r="RI30" s="108"/>
      <c r="RJ30" s="15"/>
      <c r="RK30" s="70"/>
      <c r="RL30" s="341"/>
      <c r="RM30" s="70"/>
      <c r="RN30" s="96"/>
      <c r="RO30" s="72"/>
      <c r="RR30" s="108"/>
      <c r="RS30" s="15"/>
      <c r="RT30" s="70"/>
      <c r="RU30" s="141"/>
      <c r="RV30" s="70"/>
      <c r="SA30" s="108"/>
      <c r="SB30" s="15"/>
      <c r="SC30" s="70"/>
      <c r="SE30" s="70"/>
      <c r="SJ30" s="108"/>
      <c r="SK30" s="15"/>
      <c r="SL30" s="70"/>
      <c r="SN30" s="70"/>
      <c r="SS30" s="108"/>
      <c r="ST30" s="15"/>
      <c r="SU30" s="70"/>
      <c r="SW30" s="70"/>
      <c r="TB30" s="108"/>
      <c r="TC30" s="15"/>
      <c r="TD30" s="70"/>
      <c r="TF30" s="70"/>
      <c r="TK30" s="108"/>
      <c r="TL30" s="15"/>
      <c r="TM30" s="70"/>
      <c r="TO30" s="70"/>
      <c r="TT30" s="108"/>
      <c r="TU30" s="15"/>
      <c r="TV30" s="70"/>
      <c r="TX30" s="70"/>
      <c r="UC30" s="108"/>
      <c r="UD30" s="15"/>
      <c r="UE30" s="70"/>
      <c r="UG30" s="70"/>
      <c r="UL30" s="108"/>
      <c r="UM30" s="15"/>
      <c r="UN30" s="70"/>
      <c r="UP30" s="70"/>
      <c r="UU30" s="108"/>
      <c r="UV30" s="15"/>
      <c r="UW30" s="70"/>
      <c r="UY30" s="70"/>
      <c r="VD30" s="108"/>
      <c r="VE30" s="15">
        <v>23</v>
      </c>
      <c r="VF30" s="70"/>
      <c r="VH30" s="70"/>
      <c r="VM30" s="108"/>
      <c r="VN30" s="15">
        <v>23</v>
      </c>
      <c r="VO30" s="70"/>
      <c r="VP30" s="80"/>
      <c r="VQ30" s="70"/>
      <c r="VR30" s="96"/>
      <c r="VS30" s="72"/>
      <c r="VV30" s="108"/>
      <c r="VW30" s="15">
        <v>23</v>
      </c>
      <c r="VX30" s="70"/>
      <c r="VY30" s="80"/>
      <c r="VZ30" s="70"/>
      <c r="WA30" s="96"/>
      <c r="WB30" s="72"/>
      <c r="WE30" s="108"/>
      <c r="WF30" s="15">
        <v>23</v>
      </c>
      <c r="WG30" s="70"/>
      <c r="WH30" s="80"/>
      <c r="WI30" s="70"/>
      <c r="WJ30" s="96"/>
      <c r="WK30" s="72"/>
      <c r="WN30" s="108"/>
      <c r="WO30" s="15">
        <v>23</v>
      </c>
      <c r="WP30" s="70"/>
      <c r="WQ30" s="80"/>
      <c r="WR30" s="70"/>
      <c r="WS30" s="96"/>
      <c r="WT30" s="72"/>
      <c r="WW30" s="108"/>
      <c r="WX30" s="15">
        <v>23</v>
      </c>
      <c r="WY30" s="70"/>
      <c r="WZ30" s="80"/>
      <c r="XA30" s="70"/>
      <c r="XB30" s="96"/>
      <c r="XC30" s="72"/>
      <c r="XF30" s="108"/>
      <c r="XG30" s="15">
        <v>23</v>
      </c>
      <c r="XH30" s="70"/>
      <c r="XI30" s="80"/>
      <c r="XJ30" s="70"/>
      <c r="XK30" s="96"/>
      <c r="XL30" s="72"/>
      <c r="XO30" s="108"/>
      <c r="XP30" s="15">
        <v>23</v>
      </c>
      <c r="XQ30" s="70"/>
      <c r="XR30" s="80"/>
      <c r="XS30" s="70"/>
      <c r="XT30" s="96"/>
      <c r="XU30" s="72"/>
      <c r="XX30" s="108"/>
      <c r="XY30" s="15">
        <v>23</v>
      </c>
      <c r="XZ30" s="70"/>
      <c r="YA30" s="80"/>
      <c r="YB30" s="70"/>
      <c r="YC30" s="96"/>
      <c r="YD30" s="72"/>
      <c r="YG30" s="108"/>
      <c r="YH30" s="15">
        <v>23</v>
      </c>
      <c r="YI30" s="70"/>
      <c r="YJ30" s="80"/>
      <c r="YK30" s="70"/>
      <c r="YL30" s="96"/>
      <c r="YM30" s="72"/>
      <c r="YP30" s="108"/>
      <c r="YQ30" s="15">
        <v>23</v>
      </c>
      <c r="YR30" s="70"/>
      <c r="YS30" s="80"/>
      <c r="YT30" s="70"/>
      <c r="YU30" s="96"/>
      <c r="YV30" s="72"/>
      <c r="YY30" s="108"/>
      <c r="YZ30" s="15">
        <v>23</v>
      </c>
      <c r="ZA30" s="70"/>
      <c r="ZB30" s="80"/>
      <c r="ZC30" s="70"/>
      <c r="ZD30" s="96"/>
      <c r="ZE30" s="72"/>
      <c r="ZH30" s="108"/>
      <c r="ZI30" s="15">
        <v>23</v>
      </c>
      <c r="ZJ30" s="70"/>
      <c r="ZK30" s="80"/>
      <c r="ZL30" s="70"/>
      <c r="ZM30" s="96"/>
      <c r="ZN30" s="72"/>
      <c r="ZQ30" s="108"/>
      <c r="ZR30" s="15">
        <v>23</v>
      </c>
      <c r="ZS30" s="70"/>
      <c r="ZT30" s="80"/>
      <c r="ZU30" s="70"/>
      <c r="ZV30" s="96"/>
      <c r="ZW30" s="72"/>
      <c r="ZZ30" s="108"/>
      <c r="AAA30" s="15">
        <v>23</v>
      </c>
      <c r="AAB30" s="70"/>
      <c r="AAC30" s="80"/>
      <c r="AAD30" s="70"/>
      <c r="AAE30" s="96"/>
      <c r="AAF30" s="72"/>
      <c r="AAI30" s="108"/>
      <c r="AAJ30" s="15">
        <v>23</v>
      </c>
      <c r="AAK30" s="70"/>
      <c r="AAL30" s="80"/>
      <c r="AAM30" s="70"/>
      <c r="AAN30" s="96"/>
      <c r="AAO30" s="72"/>
      <c r="AAR30" s="108"/>
      <c r="AAS30" s="15">
        <v>23</v>
      </c>
      <c r="AAT30" s="70"/>
      <c r="AAU30" s="80"/>
      <c r="AAV30" s="70"/>
      <c r="AAW30" s="96"/>
      <c r="AAX30" s="72"/>
      <c r="ABA30" s="108"/>
      <c r="ABB30" s="15">
        <v>23</v>
      </c>
      <c r="ABC30" s="70"/>
      <c r="ABD30" s="80"/>
      <c r="ABE30" s="70"/>
      <c r="ABF30" s="96"/>
      <c r="ABG30" s="72"/>
      <c r="ABJ30" s="108"/>
      <c r="ABK30" s="15">
        <v>23</v>
      </c>
      <c r="ABL30" s="70"/>
      <c r="ABM30" s="80"/>
      <c r="ABN30" s="70"/>
      <c r="ABO30" s="96"/>
      <c r="ABP30" s="72"/>
      <c r="ABS30" s="108"/>
      <c r="ABT30" s="15">
        <v>23</v>
      </c>
      <c r="ABU30" s="70"/>
      <c r="ABV30" s="80"/>
      <c r="ABW30" s="70"/>
      <c r="ABX30" s="96"/>
      <c r="ABY30" s="72"/>
      <c r="ACB30" s="108"/>
      <c r="ACC30" s="15">
        <v>23</v>
      </c>
      <c r="ACD30" s="70"/>
      <c r="ACE30" s="80"/>
      <c r="ACF30" s="70"/>
      <c r="ACG30" s="96"/>
      <c r="ACH30" s="72"/>
      <c r="ACK30" s="108"/>
      <c r="ACL30" s="15">
        <v>23</v>
      </c>
      <c r="ACM30" s="70"/>
      <c r="ACN30" s="80"/>
      <c r="ACO30" s="70"/>
      <c r="ACP30" s="96"/>
      <c r="ACQ30" s="72"/>
      <c r="ACT30" s="108"/>
      <c r="ACU30" s="15">
        <v>23</v>
      </c>
      <c r="ACV30" s="70"/>
      <c r="ACW30" s="80"/>
      <c r="ACX30" s="70"/>
      <c r="ACY30" s="96"/>
      <c r="ACZ30" s="72"/>
      <c r="ADC30" s="108"/>
      <c r="ADD30" s="15">
        <v>23</v>
      </c>
      <c r="ADE30" s="70"/>
      <c r="ADF30" s="80"/>
      <c r="ADG30" s="70"/>
      <c r="ADH30" s="96"/>
      <c r="ADI30" s="72"/>
      <c r="ADL30" s="108"/>
      <c r="ADM30" s="15">
        <v>23</v>
      </c>
      <c r="ADN30" s="70"/>
      <c r="ADO30" s="80"/>
      <c r="ADP30" s="70"/>
      <c r="ADQ30" s="96"/>
      <c r="ADR30" s="72"/>
      <c r="ADU30" s="108"/>
      <c r="ADV30" s="15">
        <v>23</v>
      </c>
      <c r="ADW30" s="70"/>
      <c r="ADX30" s="80"/>
      <c r="ADY30" s="70"/>
      <c r="ADZ30" s="96"/>
      <c r="AEA30" s="72"/>
      <c r="AED30" s="108"/>
      <c r="AEE30" s="15">
        <v>23</v>
      </c>
      <c r="AEF30" s="70"/>
      <c r="AEG30" s="80"/>
      <c r="AEH30" s="70"/>
      <c r="AEI30" s="96"/>
      <c r="AEJ30" s="72"/>
      <c r="AEM30" s="108"/>
      <c r="AEN30" s="15">
        <v>23</v>
      </c>
      <c r="AEO30" s="70"/>
      <c r="AEP30" s="80"/>
      <c r="AEQ30" s="70"/>
      <c r="AER30" s="96"/>
      <c r="AES30" s="72"/>
    </row>
    <row r="31" spans="1:828" ht="16.5" thickBot="1" x14ac:dyDescent="0.3">
      <c r="A31" s="143">
        <v>28</v>
      </c>
      <c r="B31" s="76" t="str">
        <f t="shared" ref="B31:H31" si="69">JU5</f>
        <v>SEABOARD FOODS</v>
      </c>
      <c r="C31" s="76" t="str">
        <f t="shared" si="69"/>
        <v>Seaboard</v>
      </c>
      <c r="D31" s="104" t="str">
        <f t="shared" si="69"/>
        <v>PED. 75417567</v>
      </c>
      <c r="E31" s="141">
        <f t="shared" si="69"/>
        <v>44554</v>
      </c>
      <c r="F31" s="87">
        <f t="shared" si="69"/>
        <v>19049.900000000001</v>
      </c>
      <c r="G31" s="74">
        <f t="shared" si="69"/>
        <v>21</v>
      </c>
      <c r="H31" s="48">
        <f t="shared" si="69"/>
        <v>19048.8</v>
      </c>
      <c r="I31" s="107">
        <f t="shared" ref="I31:I92" si="70">F31-H31</f>
        <v>1.1000000000021828</v>
      </c>
      <c r="L31" s="206"/>
      <c r="M31" s="37"/>
      <c r="N31" s="427"/>
      <c r="O31" s="419"/>
      <c r="P31" s="427"/>
      <c r="Q31" s="434"/>
      <c r="R31" s="221"/>
      <c r="S31" s="634"/>
      <c r="V31" s="206"/>
      <c r="W31" s="37"/>
      <c r="X31" s="427"/>
      <c r="Y31" s="419"/>
      <c r="Z31" s="231"/>
      <c r="AA31" s="145"/>
      <c r="AB31" s="221"/>
      <c r="AC31" s="634"/>
      <c r="AF31" s="206"/>
      <c r="AG31" s="37"/>
      <c r="AH31" s="418"/>
      <c r="AI31" s="420"/>
      <c r="AJ31" s="421"/>
      <c r="AK31" s="422"/>
      <c r="AL31" s="403"/>
      <c r="AM31" s="403"/>
      <c r="AP31" s="206"/>
      <c r="AQ31" s="37"/>
      <c r="AR31" s="208"/>
      <c r="AS31" s="230"/>
      <c r="AT31" s="418"/>
      <c r="AU31" s="96"/>
      <c r="AV31" s="72"/>
      <c r="AZ31" s="206"/>
      <c r="BA31" s="423"/>
      <c r="BB31" s="418"/>
      <c r="BC31" s="424"/>
      <c r="BD31" s="418"/>
      <c r="BE31" s="396"/>
      <c r="BJ31" s="206"/>
      <c r="BK31" s="423"/>
      <c r="BL31" s="418"/>
      <c r="BM31" s="425"/>
      <c r="BN31" s="418"/>
      <c r="BO31" s="396"/>
      <c r="BT31" s="206"/>
      <c r="BU31" s="37"/>
      <c r="BV31" s="418"/>
      <c r="BW31" s="230"/>
      <c r="BX31" s="418"/>
      <c r="BY31" s="396"/>
      <c r="BZ31" s="221"/>
      <c r="CD31" s="206"/>
      <c r="CE31" s="37">
        <v>24</v>
      </c>
      <c r="CF31" s="418"/>
      <c r="CG31" s="546"/>
      <c r="CH31" s="418"/>
      <c r="CI31" s="547"/>
      <c r="CJ31" s="548"/>
      <c r="CN31" s="206"/>
      <c r="CO31" s="37"/>
      <c r="CP31" s="418"/>
      <c r="CQ31" s="426"/>
      <c r="CR31" s="418"/>
      <c r="CS31" s="396"/>
      <c r="CT31" s="72"/>
      <c r="CU31" s="635">
        <f>SUM(CU8:CU30)</f>
        <v>724352.20000000019</v>
      </c>
      <c r="CX31" s="206"/>
      <c r="CY31" s="37"/>
      <c r="CZ31" s="418"/>
      <c r="DA31" s="426"/>
      <c r="DB31" s="418"/>
      <c r="DC31" s="396"/>
      <c r="DD31" s="72"/>
      <c r="DH31" s="206"/>
      <c r="DI31" s="37"/>
      <c r="DJ31" s="418"/>
      <c r="DK31" s="426"/>
      <c r="DL31" s="418"/>
      <c r="DM31" s="396"/>
      <c r="DN31" s="72"/>
      <c r="DR31" s="206"/>
      <c r="DS31" s="37"/>
      <c r="DT31" s="418"/>
      <c r="DU31" s="426"/>
      <c r="DV31" s="418"/>
      <c r="DW31" s="396"/>
      <c r="DX31" s="221"/>
      <c r="EB31" s="206"/>
      <c r="EC31" s="37"/>
      <c r="ED31" s="418"/>
      <c r="EE31" s="419"/>
      <c r="EF31" s="231"/>
      <c r="EG31" s="145"/>
      <c r="EH31" s="221"/>
      <c r="EI31" s="634"/>
      <c r="EL31" s="206"/>
      <c r="EM31" s="37"/>
      <c r="EN31" s="418"/>
      <c r="EO31" s="419"/>
      <c r="EP31" s="231"/>
      <c r="EQ31" s="145"/>
      <c r="ER31" s="221"/>
      <c r="ES31" s="634"/>
      <c r="EV31" s="95"/>
      <c r="EW31" s="37"/>
      <c r="EX31" s="427"/>
      <c r="EY31" s="454"/>
      <c r="EZ31" s="231"/>
      <c r="FA31" s="145"/>
      <c r="FB31" s="221"/>
      <c r="FC31" s="634"/>
      <c r="FF31" s="428"/>
      <c r="FG31" s="37"/>
      <c r="FH31" s="418"/>
      <c r="FI31" s="230"/>
      <c r="FJ31" s="418"/>
      <c r="FK31" s="145"/>
      <c r="FL31" s="221"/>
      <c r="FM31" s="634"/>
      <c r="FP31" s="206"/>
      <c r="FQ31" s="37"/>
      <c r="FR31" s="427"/>
      <c r="FS31" s="419"/>
      <c r="FT31" s="427"/>
      <c r="FU31" s="145"/>
      <c r="FV31" s="221"/>
      <c r="FW31" s="634"/>
      <c r="FZ31" s="206"/>
      <c r="GA31" s="37"/>
      <c r="GB31" s="418"/>
      <c r="GC31" s="419"/>
      <c r="GD31" s="231"/>
      <c r="GE31" s="145"/>
      <c r="GF31" s="221"/>
      <c r="GG31" s="634"/>
      <c r="GJ31" s="206"/>
      <c r="GK31" s="423"/>
      <c r="GL31" s="524"/>
      <c r="GM31" s="424"/>
      <c r="GN31" s="418"/>
      <c r="GO31" s="396"/>
      <c r="GT31" s="370"/>
      <c r="GU31" s="52"/>
      <c r="GV31" s="429"/>
      <c r="GW31" s="430"/>
      <c r="GX31" s="431"/>
      <c r="GY31" s="432"/>
      <c r="GZ31" s="433"/>
      <c r="HA31" s="637"/>
      <c r="HD31" s="370"/>
      <c r="HE31" s="52"/>
      <c r="HF31" s="429"/>
      <c r="HG31" s="430"/>
      <c r="HH31" s="431"/>
      <c r="HI31" s="432"/>
      <c r="HJ31" s="433"/>
      <c r="HK31" s="637"/>
      <c r="HN31" s="206"/>
      <c r="HO31" s="37"/>
      <c r="HP31" s="427"/>
      <c r="HQ31" s="419"/>
      <c r="HR31" s="231"/>
      <c r="HS31" s="145"/>
      <c r="HT31" s="221"/>
      <c r="HU31" s="634"/>
      <c r="HX31" s="206"/>
      <c r="HY31" s="37"/>
      <c r="HZ31" s="418"/>
      <c r="IA31" s="419"/>
      <c r="IB31" s="231"/>
      <c r="IC31" s="145"/>
      <c r="ID31" s="221"/>
      <c r="IE31" s="634"/>
      <c r="IH31" s="206"/>
      <c r="II31" s="37"/>
      <c r="IJ31" s="418"/>
      <c r="IK31" s="419"/>
      <c r="IL31" s="231"/>
      <c r="IM31" s="145"/>
      <c r="IN31" s="221"/>
      <c r="IO31" s="634"/>
      <c r="IR31" s="206"/>
      <c r="IS31" s="423"/>
      <c r="IT31" s="418"/>
      <c r="IU31" s="424"/>
      <c r="IV31" s="418"/>
      <c r="IW31" s="396"/>
      <c r="JB31" s="206"/>
      <c r="JC31" s="37"/>
      <c r="JD31" s="418"/>
      <c r="JE31" s="419"/>
      <c r="JF31" s="231"/>
      <c r="JG31" s="145"/>
      <c r="JH31" s="221"/>
      <c r="JI31" s="634"/>
      <c r="JL31" s="206"/>
      <c r="JM31" s="37"/>
      <c r="JN31" s="427"/>
      <c r="JO31" s="419"/>
      <c r="JP31" s="231"/>
      <c r="JQ31" s="145"/>
      <c r="JR31" s="221"/>
      <c r="JS31" s="634"/>
      <c r="JV31" s="206"/>
      <c r="JW31" s="37"/>
      <c r="JX31" s="418"/>
      <c r="JY31" s="419"/>
      <c r="JZ31" s="231"/>
      <c r="KA31" s="145"/>
      <c r="KB31" s="221"/>
      <c r="KC31" s="634"/>
      <c r="KF31" s="206"/>
      <c r="KG31" s="37"/>
      <c r="KH31" s="418"/>
      <c r="KI31" s="419"/>
      <c r="KJ31" s="231"/>
      <c r="KK31" s="145"/>
      <c r="KL31" s="221"/>
      <c r="KM31" s="634"/>
      <c r="KP31" s="206"/>
      <c r="KQ31" s="37"/>
      <c r="KR31" s="418"/>
      <c r="KS31" s="419"/>
      <c r="KT31" s="231"/>
      <c r="KU31" s="145"/>
      <c r="KV31" s="221"/>
      <c r="KW31" s="634"/>
      <c r="KZ31" s="206"/>
      <c r="LA31" s="423"/>
      <c r="LB31" s="418"/>
      <c r="LC31" s="230"/>
      <c r="LD31" s="418"/>
      <c r="LE31" s="434"/>
      <c r="LF31" s="221"/>
      <c r="LG31" s="634"/>
      <c r="LJ31" s="206"/>
      <c r="LK31" s="37"/>
      <c r="LL31" s="427"/>
      <c r="LM31" s="419"/>
      <c r="LN31" s="427"/>
      <c r="LO31" s="434"/>
      <c r="LP31" s="221"/>
      <c r="LQ31" s="634"/>
      <c r="LT31" s="206"/>
      <c r="LU31" s="37"/>
      <c r="LV31" s="231"/>
      <c r="LW31" s="230"/>
      <c r="LX31" s="418"/>
      <c r="LY31" s="434"/>
      <c r="LZ31" s="435"/>
      <c r="MA31" s="634"/>
      <c r="MB31" s="634"/>
      <c r="MD31" s="206"/>
      <c r="ME31" s="37"/>
      <c r="MF31" s="208"/>
      <c r="MG31" s="230"/>
      <c r="MH31" s="418"/>
      <c r="MI31" s="96"/>
      <c r="MJ31" s="72"/>
      <c r="MK31" s="72"/>
      <c r="MN31" s="206"/>
      <c r="MO31" s="37"/>
      <c r="MP31" s="418"/>
      <c r="MQ31" s="420"/>
      <c r="MR31" s="421"/>
      <c r="MS31" s="422"/>
      <c r="MT31" s="403"/>
      <c r="MU31" s="403"/>
      <c r="MX31" s="206"/>
      <c r="MY31" s="37"/>
      <c r="MZ31" s="418"/>
      <c r="NA31" s="420"/>
      <c r="NB31" s="421"/>
      <c r="NC31" s="422"/>
      <c r="ND31" s="403"/>
      <c r="NE31" s="403"/>
      <c r="NH31" s="423"/>
      <c r="NI31" s="37"/>
      <c r="NJ31" s="396"/>
      <c r="NK31" s="230"/>
      <c r="NL31" s="396"/>
      <c r="NM31" s="434"/>
      <c r="NN31" s="221"/>
      <c r="NO31" s="660"/>
      <c r="NR31" s="206"/>
      <c r="NS31" s="37"/>
      <c r="NT31" s="418"/>
      <c r="NU31" s="420"/>
      <c r="NV31" s="421"/>
      <c r="NW31" s="422"/>
      <c r="NX31" s="403"/>
      <c r="NY31" s="403"/>
      <c r="OB31" s="423"/>
      <c r="OC31" s="37"/>
      <c r="OD31" s="396"/>
      <c r="OE31" s="230"/>
      <c r="OF31" s="396"/>
      <c r="OG31" s="434"/>
      <c r="OH31" s="221"/>
      <c r="OI31" s="660"/>
      <c r="OL31" s="206"/>
      <c r="OM31" s="37"/>
      <c r="ON31" s="418"/>
      <c r="OO31" s="230"/>
      <c r="OP31" s="418"/>
      <c r="OQ31" s="434"/>
      <c r="OR31" s="72"/>
      <c r="OS31" s="72"/>
      <c r="OV31" s="206"/>
      <c r="OW31" s="423"/>
      <c r="OX31" s="418"/>
      <c r="OY31" s="230"/>
      <c r="OZ31" s="418"/>
      <c r="PA31" s="434"/>
      <c r="PB31" s="72"/>
      <c r="PC31" s="72"/>
      <c r="PF31" s="423"/>
      <c r="PG31" s="37"/>
      <c r="PH31" s="396"/>
      <c r="PI31" s="230"/>
      <c r="PJ31" s="396"/>
      <c r="PK31" s="434"/>
      <c r="PL31" s="221"/>
      <c r="PM31" s="660"/>
      <c r="PP31" s="206"/>
      <c r="PQ31" s="423"/>
      <c r="PR31" s="418"/>
      <c r="PS31" s="426"/>
      <c r="PT31" s="418"/>
      <c r="PU31" s="396"/>
      <c r="PY31" s="206"/>
      <c r="PZ31" s="423"/>
      <c r="QA31" s="418"/>
      <c r="QB31" s="424"/>
      <c r="QC31" s="418"/>
      <c r="QD31" s="396"/>
      <c r="QH31" s="206"/>
      <c r="QI31" s="423"/>
      <c r="QJ31" s="418"/>
      <c r="QK31" s="426"/>
      <c r="QL31" s="418"/>
      <c r="QM31" s="434"/>
      <c r="QN31" s="72"/>
      <c r="QQ31" s="206"/>
      <c r="QR31" s="423"/>
      <c r="QS31" s="418"/>
      <c r="QT31" s="230"/>
      <c r="QU31" s="418"/>
      <c r="QV31" s="434"/>
      <c r="QW31" s="72"/>
      <c r="QZ31" s="206"/>
      <c r="RA31" s="423"/>
      <c r="RB31" s="418"/>
      <c r="RC31" s="230"/>
      <c r="RD31" s="418"/>
      <c r="RE31" s="434"/>
      <c r="RF31" s="72"/>
      <c r="RI31" s="206"/>
      <c r="RJ31" s="423"/>
      <c r="RK31" s="418"/>
      <c r="RL31" s="424"/>
      <c r="RM31" s="418"/>
      <c r="RN31" s="396"/>
      <c r="RR31" s="436"/>
      <c r="RS31" s="437"/>
      <c r="RT31" s="418"/>
      <c r="RU31" s="424"/>
      <c r="RV31" s="418"/>
      <c r="RW31" s="396"/>
      <c r="SA31" s="436"/>
      <c r="SB31" s="437"/>
      <c r="SC31" s="418"/>
      <c r="SD31" s="424"/>
      <c r="SE31" s="418"/>
      <c r="SF31" s="396"/>
      <c r="SJ31" s="436"/>
      <c r="SK31" s="437"/>
      <c r="SL31" s="418"/>
      <c r="SM31" s="424"/>
      <c r="SN31" s="418"/>
      <c r="SO31" s="396"/>
      <c r="SS31" s="436"/>
      <c r="ST31" s="437"/>
      <c r="SU31" s="418"/>
      <c r="SV31" s="424"/>
      <c r="SW31" s="418"/>
      <c r="SX31" s="396"/>
      <c r="TB31" s="436"/>
      <c r="TC31" s="437"/>
      <c r="TD31" s="418"/>
      <c r="TE31" s="424"/>
      <c r="TF31" s="418"/>
      <c r="TG31" s="396"/>
      <c r="TK31" s="436"/>
      <c r="TL31" s="437"/>
      <c r="TM31" s="418"/>
      <c r="TN31" s="424"/>
      <c r="TO31" s="418"/>
      <c r="TP31" s="396"/>
      <c r="TT31" s="436"/>
      <c r="TU31" s="437"/>
      <c r="TV31" s="418"/>
      <c r="TW31" s="424"/>
      <c r="TX31" s="418"/>
      <c r="TY31" s="396"/>
      <c r="UC31" s="436"/>
      <c r="UD31" s="437"/>
      <c r="UE31" s="418"/>
      <c r="UF31" s="424"/>
      <c r="UG31" s="418"/>
      <c r="UH31" s="396"/>
      <c r="UL31" s="436"/>
      <c r="UM31" s="437"/>
      <c r="UN31" s="418"/>
      <c r="UO31" s="424"/>
      <c r="UP31" s="418"/>
      <c r="UQ31" s="396"/>
      <c r="UU31" s="436"/>
      <c r="UV31" s="437"/>
      <c r="UW31" s="418"/>
      <c r="UX31" s="424"/>
      <c r="UY31" s="418"/>
      <c r="UZ31" s="396"/>
      <c r="VD31" s="436"/>
      <c r="VE31" s="142">
        <v>24</v>
      </c>
      <c r="VF31" s="418"/>
      <c r="VG31" s="424"/>
      <c r="VH31" s="418"/>
      <c r="VI31" s="396"/>
      <c r="VM31" s="436"/>
      <c r="VN31" s="142">
        <v>24</v>
      </c>
      <c r="VO31" s="418"/>
      <c r="VP31" s="80"/>
      <c r="VQ31" s="418"/>
      <c r="VR31" s="396"/>
      <c r="VS31" s="72"/>
      <c r="VV31" s="436"/>
      <c r="VW31" s="142">
        <v>24</v>
      </c>
      <c r="VX31" s="418"/>
      <c r="VY31" s="80"/>
      <c r="VZ31" s="418"/>
      <c r="WA31" s="396"/>
      <c r="WB31" s="72"/>
      <c r="WE31" s="436"/>
      <c r="WF31" s="142">
        <v>24</v>
      </c>
      <c r="WG31" s="418"/>
      <c r="WH31" s="80"/>
      <c r="WI31" s="418"/>
      <c r="WJ31" s="396"/>
      <c r="WK31" s="72"/>
      <c r="WN31" s="436"/>
      <c r="WO31" s="142">
        <v>24</v>
      </c>
      <c r="WP31" s="418"/>
      <c r="WQ31" s="80"/>
      <c r="WR31" s="418"/>
      <c r="WS31" s="396"/>
      <c r="WT31" s="72"/>
      <c r="WW31" s="436"/>
      <c r="WX31" s="142">
        <v>24</v>
      </c>
      <c r="WY31" s="418"/>
      <c r="WZ31" s="80"/>
      <c r="XA31" s="418"/>
      <c r="XB31" s="396"/>
      <c r="XC31" s="72"/>
      <c r="XF31" s="436"/>
      <c r="XG31" s="142">
        <v>24</v>
      </c>
      <c r="XH31" s="418"/>
      <c r="XI31" s="80"/>
      <c r="XJ31" s="418"/>
      <c r="XK31" s="396"/>
      <c r="XL31" s="72"/>
      <c r="XO31" s="436"/>
      <c r="XP31" s="142">
        <v>24</v>
      </c>
      <c r="XQ31" s="418"/>
      <c r="XR31" s="80"/>
      <c r="XS31" s="418"/>
      <c r="XT31" s="396"/>
      <c r="XU31" s="72"/>
      <c r="XX31" s="436"/>
      <c r="XY31" s="142">
        <v>24</v>
      </c>
      <c r="XZ31" s="418"/>
      <c r="YA31" s="80"/>
      <c r="YB31" s="418"/>
      <c r="YC31" s="396"/>
      <c r="YD31" s="72"/>
      <c r="YG31" s="436"/>
      <c r="YH31" s="142">
        <v>24</v>
      </c>
      <c r="YI31" s="418"/>
      <c r="YJ31" s="80"/>
      <c r="YK31" s="418"/>
      <c r="YL31" s="396"/>
      <c r="YM31" s="72"/>
      <c r="YP31" s="436"/>
      <c r="YQ31" s="142"/>
      <c r="YR31" s="418"/>
      <c r="YS31" s="80"/>
      <c r="YT31" s="418"/>
      <c r="YU31" s="396"/>
      <c r="YV31" s="72"/>
      <c r="YY31" s="436"/>
      <c r="YZ31" s="142">
        <v>24</v>
      </c>
      <c r="ZA31" s="418"/>
      <c r="ZB31" s="80"/>
      <c r="ZC31" s="418"/>
      <c r="ZD31" s="396"/>
      <c r="ZE31" s="72"/>
      <c r="ZH31" s="436"/>
      <c r="ZI31" s="142">
        <v>24</v>
      </c>
      <c r="ZJ31" s="418"/>
      <c r="ZK31" s="80"/>
      <c r="ZL31" s="418"/>
      <c r="ZM31" s="396"/>
      <c r="ZN31" s="72"/>
      <c r="ZQ31" s="436"/>
      <c r="ZR31" s="142">
        <v>24</v>
      </c>
      <c r="ZS31" s="418"/>
      <c r="ZT31" s="80"/>
      <c r="ZU31" s="418"/>
      <c r="ZV31" s="396"/>
      <c r="ZW31" s="72"/>
      <c r="ZZ31" s="436"/>
      <c r="AAA31" s="142">
        <v>24</v>
      </c>
      <c r="AAB31" s="418"/>
      <c r="AAC31" s="80"/>
      <c r="AAD31" s="418"/>
      <c r="AAE31" s="396"/>
      <c r="AAF31" s="72"/>
      <c r="AAI31" s="436"/>
      <c r="AAJ31" s="142">
        <v>24</v>
      </c>
      <c r="AAK31" s="418"/>
      <c r="AAL31" s="80"/>
      <c r="AAM31" s="418"/>
      <c r="AAN31" s="396"/>
      <c r="AAO31" s="72"/>
      <c r="AAR31" s="436"/>
      <c r="AAS31" s="142">
        <v>24</v>
      </c>
      <c r="AAT31" s="418"/>
      <c r="AAU31" s="80"/>
      <c r="AAV31" s="418"/>
      <c r="AAW31" s="396"/>
      <c r="AAX31" s="72"/>
      <c r="ABA31" s="436"/>
      <c r="ABB31" s="142">
        <v>24</v>
      </c>
      <c r="ABC31" s="418"/>
      <c r="ABD31" s="80"/>
      <c r="ABE31" s="418"/>
      <c r="ABF31" s="396"/>
      <c r="ABG31" s="72"/>
      <c r="ABJ31" s="436"/>
      <c r="ABK31" s="142">
        <v>24</v>
      </c>
      <c r="ABL31" s="418"/>
      <c r="ABM31" s="80"/>
      <c r="ABN31" s="418"/>
      <c r="ABO31" s="396"/>
      <c r="ABP31" s="72"/>
      <c r="ABS31" s="436"/>
      <c r="ABT31" s="142">
        <v>24</v>
      </c>
      <c r="ABU31" s="418"/>
      <c r="ABV31" s="80"/>
      <c r="ABW31" s="418"/>
      <c r="ABX31" s="396"/>
      <c r="ABY31" s="72"/>
      <c r="ACB31" s="436"/>
      <c r="ACC31" s="142">
        <v>24</v>
      </c>
      <c r="ACD31" s="418"/>
      <c r="ACE31" s="80"/>
      <c r="ACF31" s="418"/>
      <c r="ACG31" s="396"/>
      <c r="ACH31" s="72"/>
      <c r="ACK31" s="436"/>
      <c r="ACL31" s="142">
        <v>24</v>
      </c>
      <c r="ACM31" s="418"/>
      <c r="ACN31" s="80"/>
      <c r="ACO31" s="418"/>
      <c r="ACP31" s="396"/>
      <c r="ACQ31" s="72"/>
      <c r="ACT31" s="436"/>
      <c r="ACU31" s="142">
        <v>24</v>
      </c>
      <c r="ACV31" s="418"/>
      <c r="ACW31" s="80"/>
      <c r="ACX31" s="418"/>
      <c r="ACY31" s="396"/>
      <c r="ACZ31" s="72"/>
      <c r="ADC31" s="436"/>
      <c r="ADD31" s="142">
        <v>24</v>
      </c>
      <c r="ADE31" s="418"/>
      <c r="ADF31" s="80"/>
      <c r="ADG31" s="418"/>
      <c r="ADH31" s="396"/>
      <c r="ADI31" s="72"/>
      <c r="ADL31" s="436"/>
      <c r="ADM31" s="142">
        <v>24</v>
      </c>
      <c r="ADN31" s="418"/>
      <c r="ADO31" s="80"/>
      <c r="ADP31" s="418"/>
      <c r="ADQ31" s="396"/>
      <c r="ADR31" s="72"/>
      <c r="ADU31" s="436"/>
      <c r="ADV31" s="142">
        <v>24</v>
      </c>
      <c r="ADW31" s="418"/>
      <c r="ADX31" s="80"/>
      <c r="ADY31" s="418"/>
      <c r="ADZ31" s="396"/>
      <c r="AEA31" s="72"/>
      <c r="AED31" s="436"/>
      <c r="AEE31" s="142">
        <v>24</v>
      </c>
      <c r="AEF31" s="418"/>
      <c r="AEG31" s="80"/>
      <c r="AEH31" s="418"/>
      <c r="AEI31" s="396"/>
      <c r="AEJ31" s="72"/>
      <c r="AEM31" s="436"/>
      <c r="AEN31" s="142">
        <v>24</v>
      </c>
      <c r="AEO31" s="418"/>
      <c r="AEP31" s="80"/>
      <c r="AEQ31" s="418"/>
      <c r="AER31" s="396"/>
      <c r="AES31" s="72"/>
    </row>
    <row r="32" spans="1:828" ht="18.75" customHeight="1" thickTop="1" thickBot="1" x14ac:dyDescent="0.3">
      <c r="A32" s="143">
        <v>29</v>
      </c>
      <c r="B32" s="76" t="str">
        <f t="shared" ref="B32:H32" si="71">KE5</f>
        <v>SEABOARD FOODS</v>
      </c>
      <c r="C32" s="76" t="str">
        <f t="shared" si="71"/>
        <v>Seaboard</v>
      </c>
      <c r="D32" s="104" t="str">
        <f t="shared" si="71"/>
        <v>PED. 75443423</v>
      </c>
      <c r="E32" s="141">
        <f t="shared" si="71"/>
        <v>44556</v>
      </c>
      <c r="F32" s="87">
        <f t="shared" si="71"/>
        <v>18914.25</v>
      </c>
      <c r="G32" s="74">
        <f t="shared" si="71"/>
        <v>21</v>
      </c>
      <c r="H32" s="48">
        <f t="shared" si="71"/>
        <v>18951</v>
      </c>
      <c r="I32" s="107">
        <f t="shared" si="70"/>
        <v>-36.75</v>
      </c>
      <c r="N32" s="87">
        <f>SUM(N8:N31)</f>
        <v>18864.899999999998</v>
      </c>
      <c r="P32" s="107">
        <f>SUM(P8:P31)</f>
        <v>18864.899999999998</v>
      </c>
      <c r="S32" s="627"/>
      <c r="X32" s="107">
        <f>SUM(X8:X31)</f>
        <v>19041.599999999999</v>
      </c>
      <c r="Z32" s="107">
        <f>SUM(Z8:Z31)</f>
        <v>19041.599999999999</v>
      </c>
      <c r="AH32" s="87">
        <f>SUM(AH8:AH31)</f>
        <v>19179.7</v>
      </c>
      <c r="AJ32" s="87">
        <f>SUM(AJ8:AJ31)</f>
        <v>19179.7</v>
      </c>
      <c r="AR32" s="107">
        <f>SUM(AR8:AR31)</f>
        <v>18493.310000000001</v>
      </c>
      <c r="AT32" s="107">
        <f>SUM(AT8:AT31)</f>
        <v>18493.310000000001</v>
      </c>
      <c r="AZ32" s="76"/>
      <c r="BB32" s="107">
        <f>SUM(BB8:BB31)</f>
        <v>18463.349999999999</v>
      </c>
      <c r="BD32" s="107">
        <f>SUM(BD8:BD31)</f>
        <v>18463.37</v>
      </c>
      <c r="BL32" s="107">
        <f>SUM(BL8:BL31)</f>
        <v>18375.899999999998</v>
      </c>
      <c r="BN32" s="107">
        <f>SUM(BN8:BN31)</f>
        <v>18375.899999999998</v>
      </c>
      <c r="BV32" s="107">
        <f>SUM(BV8:BV31)</f>
        <v>19004.999999999996</v>
      </c>
      <c r="BX32" s="107">
        <f>SUM(BX8:BX31)</f>
        <v>19004.999999999996</v>
      </c>
      <c r="CE32" s="15"/>
      <c r="CF32" s="107">
        <f>SUM(CF8:CF31)</f>
        <v>19204.500000000004</v>
      </c>
      <c r="CH32" s="107">
        <f>SUM(CH8:CH31)</f>
        <v>19204.500000000004</v>
      </c>
      <c r="CP32" s="107">
        <f>SUM(CP8:CP31)</f>
        <v>19061.899999999998</v>
      </c>
      <c r="CR32" s="107">
        <f>SUM(CR8:CR31)</f>
        <v>19061.899999999998</v>
      </c>
      <c r="CZ32" s="107">
        <f>SUM(CZ8:CZ31)</f>
        <v>18841.400000000001</v>
      </c>
      <c r="DB32" s="107">
        <f>SUM(DB8:DB31)</f>
        <v>18841.400000000001</v>
      </c>
      <c r="DJ32" s="107">
        <f>SUM(DJ8:DJ31)</f>
        <v>18878.399999999998</v>
      </c>
      <c r="DL32" s="107">
        <f>SUM(DL8:DL31)</f>
        <v>18878.399999999998</v>
      </c>
      <c r="DT32" s="107">
        <f>SUM(DT8:DT31)</f>
        <v>18667.040000000008</v>
      </c>
      <c r="DV32" s="107">
        <f>SUM(DV8:DV31)</f>
        <v>18667.040000000008</v>
      </c>
      <c r="ED32" s="107">
        <f>SUM(ED8:ED31)</f>
        <v>18989.5</v>
      </c>
      <c r="EF32" s="107">
        <f>SUM(EF8:EF31)</f>
        <v>18989.5</v>
      </c>
      <c r="EN32" s="107">
        <f>SUM(EN8:EN31)</f>
        <v>18995.2</v>
      </c>
      <c r="EP32" s="107">
        <f>SUM(EP8:EP31)</f>
        <v>18995.2</v>
      </c>
      <c r="EX32" s="107">
        <f>SUM(EX8:EX31)</f>
        <v>19009.399999999998</v>
      </c>
      <c r="EZ32" s="107">
        <f>SUM(EZ8:EZ31)</f>
        <v>19009.399999999998</v>
      </c>
      <c r="FH32" s="136">
        <f>SUM(FH8:FH31)</f>
        <v>18965.199999999997</v>
      </c>
      <c r="FJ32" s="107">
        <f>SUM(FJ8:FJ31)</f>
        <v>18965.199999999997</v>
      </c>
      <c r="FR32" s="107">
        <f>SUM(FR8:FR31)</f>
        <v>16413.599999999999</v>
      </c>
      <c r="FS32" s="107"/>
      <c r="FT32" s="107">
        <f>SUM(FT8:FT31)</f>
        <v>16413.599999999999</v>
      </c>
      <c r="FU32" s="76" t="s">
        <v>36</v>
      </c>
      <c r="GB32" s="107">
        <f>SUM(GB8:GB31)</f>
        <v>18931.5</v>
      </c>
      <c r="GD32" s="107">
        <f>SUM(GD8:GD31)</f>
        <v>18931.5</v>
      </c>
      <c r="GL32" s="107">
        <f>SUM(GL8:GL31)</f>
        <v>19165.099999999999</v>
      </c>
      <c r="GN32" s="107">
        <f>SUM(GN8:GN31)</f>
        <v>19165.099999999999</v>
      </c>
      <c r="GV32" s="107">
        <f>SUM(GV8:GV31)</f>
        <v>19026.8</v>
      </c>
      <c r="GX32" s="107">
        <f>SUM(GX8:GX31)</f>
        <v>19026.8</v>
      </c>
      <c r="HF32" s="107">
        <f>SUM(HF8:HF31)</f>
        <v>18916.7</v>
      </c>
      <c r="HH32" s="107">
        <f>SUM(HH8:HH31)</f>
        <v>18916.7</v>
      </c>
      <c r="HP32" s="107">
        <f>SUM(HP8:HP31)</f>
        <v>18538.59</v>
      </c>
      <c r="HR32" s="107">
        <f>SUM(HR8:HR31)</f>
        <v>18538.59</v>
      </c>
      <c r="HZ32" s="107">
        <f>SUM(HZ8:HZ31)</f>
        <v>18447.490000000005</v>
      </c>
      <c r="IB32" s="107">
        <f>SUM(IB8:IB31)</f>
        <v>18447.490000000005</v>
      </c>
      <c r="IJ32" s="107">
        <f>SUM(IJ8:IJ31)</f>
        <v>18532.759999999998</v>
      </c>
      <c r="IL32" s="107">
        <f>SUM(IL8:IL31)</f>
        <v>18532.759999999998</v>
      </c>
      <c r="IT32" s="107">
        <f>SUM(IT8:IT31)</f>
        <v>18739.999999999996</v>
      </c>
      <c r="IV32" s="107">
        <f>SUM(IV8:IV31)</f>
        <v>18739.999999999996</v>
      </c>
      <c r="JD32" s="107">
        <f>SUM(JD8:JD31)</f>
        <v>18734.8</v>
      </c>
      <c r="JF32" s="107">
        <f>SUM(JF8:JF31)</f>
        <v>18734.8</v>
      </c>
      <c r="JN32" s="107">
        <f>SUM(JN8:JN31)</f>
        <v>19110.400000000001</v>
      </c>
      <c r="JP32" s="107">
        <f>SUM(JP8:JP31)</f>
        <v>19110.400000000001</v>
      </c>
      <c r="JX32" s="107">
        <f>SUM(JX8:JX31)</f>
        <v>19048.799999999996</v>
      </c>
      <c r="JZ32" s="107">
        <f>SUM(JZ8:JZ31)</f>
        <v>19048.799999999996</v>
      </c>
      <c r="KH32" s="107">
        <f>SUM(KH8:KH31)</f>
        <v>18951</v>
      </c>
      <c r="KJ32" s="107">
        <f>SUM(KJ8:KJ31)</f>
        <v>18951</v>
      </c>
      <c r="KR32" s="107">
        <f>SUM(KR8:KR31)</f>
        <v>18937.2</v>
      </c>
      <c r="KT32" s="107">
        <f>SUM(KT8:KT31)</f>
        <v>18937.2</v>
      </c>
      <c r="LB32" s="107">
        <f>SUM(LB8:LB31)</f>
        <v>18445.670000000002</v>
      </c>
      <c r="LD32" s="107">
        <f>SUM(LD8:LD31)</f>
        <v>18445.670000000002</v>
      </c>
      <c r="LL32" s="87">
        <f>SUM(LL8:LL31)</f>
        <v>18548.650000000001</v>
      </c>
      <c r="LN32" s="107">
        <f>SUM(LN8:LN31)</f>
        <v>18548.650000000001</v>
      </c>
      <c r="LU32" s="146"/>
      <c r="LV32" s="87">
        <f>SUM(LV8:LV31)</f>
        <v>19077.500000000004</v>
      </c>
      <c r="LW32" s="87"/>
      <c r="LX32" s="87">
        <f>SUM(LX8:LX31)</f>
        <v>19077.500000000004</v>
      </c>
      <c r="MA32" s="627"/>
      <c r="MB32" s="627"/>
      <c r="MF32" s="107">
        <f>SUM(MF8:MF31)</f>
        <v>18995.599999999999</v>
      </c>
      <c r="MH32" s="107">
        <f>SUM(MH8:MH31)</f>
        <v>18995.599999999999</v>
      </c>
      <c r="MP32" s="87">
        <f>SUM(MP8:MP31)</f>
        <v>18531.39</v>
      </c>
      <c r="MR32" s="87">
        <f>SUM(MR8:MR31)</f>
        <v>18531.39</v>
      </c>
      <c r="MZ32" s="87">
        <f>SUM(MZ8:MZ31)</f>
        <v>18849.7</v>
      </c>
      <c r="NB32" s="87">
        <f>SUM(NB8:NB31)</f>
        <v>18849.7</v>
      </c>
      <c r="NJ32" s="107">
        <f>SUM(NJ8:NJ31)</f>
        <v>19073.700000000004</v>
      </c>
      <c r="NL32" s="107">
        <f>SUM(NL8:NL31)</f>
        <v>0</v>
      </c>
      <c r="NT32" s="87">
        <f>SUM(NT8:NT31)</f>
        <v>19120.000000000004</v>
      </c>
      <c r="NV32" s="87">
        <f>SUM(NV8:NV31)</f>
        <v>19130.000000000004</v>
      </c>
      <c r="OD32" s="107">
        <f>SUM(OD8:OD31)</f>
        <v>0</v>
      </c>
      <c r="OF32" s="107">
        <f>SUM(OF8:OF31)</f>
        <v>0</v>
      </c>
      <c r="ON32" s="107">
        <f>SUM(ON8:ON31)</f>
        <v>0</v>
      </c>
      <c r="OO32" s="107"/>
      <c r="OP32" s="107">
        <f>SUM(OP8:OP31)</f>
        <v>0</v>
      </c>
      <c r="OX32" s="107">
        <f>SUM(OX8:OX31)</f>
        <v>0</v>
      </c>
      <c r="OZ32" s="107">
        <f>SUM(OZ8:OZ31)</f>
        <v>0</v>
      </c>
      <c r="PH32" s="107">
        <f>SUM(PH8:PH31)</f>
        <v>0</v>
      </c>
      <c r="PJ32" s="107">
        <f>SUM(PJ8:PJ31)</f>
        <v>0</v>
      </c>
      <c r="PR32" s="107">
        <f>SUM(PR8:PR31)</f>
        <v>0</v>
      </c>
      <c r="PS32" s="107"/>
      <c r="PT32" s="107">
        <f>SUM(PT8:PT31)</f>
        <v>0</v>
      </c>
      <c r="QA32" s="107">
        <f>SUM(QA8:QA31)</f>
        <v>0</v>
      </c>
      <c r="QC32" s="107">
        <f>SUM(QC8:QC31)</f>
        <v>0</v>
      </c>
      <c r="QJ32" s="107">
        <f>SUM(QJ8:QJ31)</f>
        <v>0</v>
      </c>
      <c r="QL32" s="107">
        <f>SUM(QL8:QL31)</f>
        <v>0</v>
      </c>
      <c r="QS32" s="107">
        <f>SUM(QS8:QS31)</f>
        <v>0</v>
      </c>
      <c r="QU32" s="107">
        <f>SUM(QU8:QU31)</f>
        <v>0</v>
      </c>
      <c r="RB32" s="107">
        <f>SUM(RB8:RB31)</f>
        <v>0</v>
      </c>
      <c r="RD32" s="107">
        <f>SUM(RD8:RD31)</f>
        <v>0</v>
      </c>
      <c r="RK32" s="107">
        <f>SUM(RK8:RK31)</f>
        <v>0</v>
      </c>
      <c r="RM32" s="107">
        <f>SUM(RM8:RM31)</f>
        <v>0</v>
      </c>
      <c r="RT32" s="107">
        <f>SUM(RT8:RT31)</f>
        <v>0</v>
      </c>
      <c r="RV32" s="107">
        <f>SUM(RV8:RV31)</f>
        <v>0</v>
      </c>
      <c r="SC32" s="107">
        <f>SUM(SC8:SC31)</f>
        <v>0</v>
      </c>
      <c r="SE32" s="107">
        <f>SUM(SE8:SE31)</f>
        <v>0</v>
      </c>
      <c r="SL32" s="107">
        <f>SUM(SL8:SL31)</f>
        <v>0</v>
      </c>
      <c r="SN32" s="107">
        <f>SUM(SN8:SN31)</f>
        <v>0</v>
      </c>
      <c r="SU32" s="107">
        <f>SUM(SU8:SU31)</f>
        <v>0</v>
      </c>
      <c r="SW32" s="107">
        <f>SUM(SW8:SW31)</f>
        <v>0</v>
      </c>
      <c r="TD32" s="107">
        <f>SUM(TD8:TD31)</f>
        <v>0</v>
      </c>
      <c r="TF32" s="107">
        <f>SUM(TF8:TF31)</f>
        <v>0</v>
      </c>
      <c r="TM32" s="107">
        <f>SUM(TM8:TM31)</f>
        <v>0</v>
      </c>
      <c r="TO32" s="107">
        <f>SUM(TO8:TO31)</f>
        <v>0</v>
      </c>
      <c r="TV32" s="107">
        <f>SUM(TV8:TV31)</f>
        <v>0</v>
      </c>
      <c r="TX32" s="107">
        <f>SUM(TX8:TX31)</f>
        <v>0</v>
      </c>
      <c r="UE32" s="107">
        <f>SUM(UE8:UE31)</f>
        <v>0</v>
      </c>
      <c r="UG32" s="107">
        <f>SUM(UG8:UG31)</f>
        <v>0</v>
      </c>
      <c r="UN32" s="107">
        <f>SUM(UN8:UN31)</f>
        <v>0</v>
      </c>
      <c r="UP32" s="107">
        <f>SUM(UP8:UP31)</f>
        <v>0</v>
      </c>
      <c r="UW32" s="107">
        <f>SUM(UW8:UW31)</f>
        <v>0</v>
      </c>
      <c r="UY32" s="107">
        <f>SUM(UY8:UY31)</f>
        <v>0</v>
      </c>
      <c r="VF32" s="107">
        <f>SUM(VF8:VF31)</f>
        <v>0</v>
      </c>
      <c r="VH32" s="107">
        <f>SUM(VH8:VH31)</f>
        <v>22</v>
      </c>
      <c r="VO32" s="107">
        <f>SUM(VO8:VO31)</f>
        <v>0</v>
      </c>
      <c r="VQ32" s="107">
        <f>SUM(VQ8:VQ31)</f>
        <v>22</v>
      </c>
      <c r="VX32" s="107">
        <f>SUM(VX8:VX31)</f>
        <v>0</v>
      </c>
      <c r="VZ32" s="107">
        <f>SUM(VZ8:VZ31)</f>
        <v>22</v>
      </c>
      <c r="WG32" s="107">
        <f>SUM(WG8:WG31)</f>
        <v>0</v>
      </c>
      <c r="WI32" s="107">
        <f>SUM(WI8:WI31)</f>
        <v>22</v>
      </c>
      <c r="WP32" s="107">
        <f>SUM(WP8:WP31)</f>
        <v>0</v>
      </c>
      <c r="WR32" s="107">
        <f>SUM(WR8:WR31)</f>
        <v>22</v>
      </c>
      <c r="WY32" s="107">
        <f>SUM(WY8:WY31)</f>
        <v>0</v>
      </c>
      <c r="XA32" s="107">
        <f>SUM(XA8:XA31)</f>
        <v>22</v>
      </c>
      <c r="XH32" s="107">
        <f>SUM(XH8:XH31)</f>
        <v>0</v>
      </c>
      <c r="XJ32" s="107">
        <f>SUM(XJ8:XJ31)</f>
        <v>22</v>
      </c>
      <c r="XQ32" s="107">
        <f>SUM(XQ8:XQ31)</f>
        <v>0</v>
      </c>
      <c r="XS32" s="107">
        <f>SUM(XS8:XS31)</f>
        <v>22</v>
      </c>
      <c r="XZ32" s="107">
        <f>SUM(XZ8:XZ31)</f>
        <v>0</v>
      </c>
      <c r="YB32" s="107">
        <f>SUM(YB8:YB31)</f>
        <v>22</v>
      </c>
      <c r="YI32" s="107">
        <f>SUM(YI8:YI31)</f>
        <v>0</v>
      </c>
      <c r="YK32" s="107">
        <f>SUM(YK8:YK31)</f>
        <v>22</v>
      </c>
      <c r="YR32" s="107">
        <f>SUM(YR8:YR31)</f>
        <v>0</v>
      </c>
      <c r="YT32" s="107">
        <f>SUM(YT8:YT31)</f>
        <v>22</v>
      </c>
      <c r="ZA32" s="107">
        <f>SUM(ZA8:ZA31)</f>
        <v>0</v>
      </c>
      <c r="ZC32" s="107">
        <f>SUM(ZC8:ZC31)</f>
        <v>22</v>
      </c>
      <c r="ZJ32" s="107">
        <f>SUM(ZJ8:ZJ31)</f>
        <v>0</v>
      </c>
      <c r="ZL32" s="107">
        <f>SUM(ZL8:ZL31)</f>
        <v>22</v>
      </c>
      <c r="ZS32" s="107">
        <f>SUM(ZS8:ZS31)</f>
        <v>0</v>
      </c>
      <c r="ZU32" s="107">
        <f>SUM(ZU8:ZU31)</f>
        <v>22</v>
      </c>
      <c r="AAB32" s="107">
        <f>SUM(AAB8:AAB31)</f>
        <v>0</v>
      </c>
      <c r="AAD32" s="107">
        <f>SUM(AAD8:AAD31)</f>
        <v>22</v>
      </c>
      <c r="AAK32" s="107">
        <f>SUM(AAK8:AAK31)</f>
        <v>0</v>
      </c>
      <c r="AAM32" s="107">
        <f>SUM(AAM8:AAM31)</f>
        <v>22</v>
      </c>
      <c r="AAT32" s="107">
        <f>SUM(AAT8:AAT31)</f>
        <v>0</v>
      </c>
      <c r="AAV32" s="107">
        <f>SUM(AAV8:AAV31)</f>
        <v>22</v>
      </c>
      <c r="ABC32" s="107">
        <f>SUM(ABC8:ABC31)</f>
        <v>0</v>
      </c>
      <c r="ABE32" s="107">
        <f>SUM(ABE8:ABE31)</f>
        <v>22</v>
      </c>
      <c r="ABL32" s="107">
        <f>SUM(ABL8:ABL31)</f>
        <v>0</v>
      </c>
      <c r="ABN32" s="107">
        <f>SUM(ABN8:ABN31)</f>
        <v>22</v>
      </c>
      <c r="ABU32" s="107">
        <f>SUM(ABU8:ABU31)</f>
        <v>0</v>
      </c>
      <c r="ABW32" s="107">
        <f>SUM(ABW8:ABW31)</f>
        <v>22</v>
      </c>
      <c r="ACD32" s="107">
        <f>SUM(ACD8:ACD31)</f>
        <v>0</v>
      </c>
      <c r="ACF32" s="107">
        <f>SUM(ACF8:ACF31)</f>
        <v>22</v>
      </c>
      <c r="ACM32" s="107">
        <f>SUM(ACM8:ACM31)</f>
        <v>0</v>
      </c>
      <c r="ACO32" s="107">
        <f>SUM(ACO8:ACO31)</f>
        <v>22</v>
      </c>
      <c r="ACV32" s="107">
        <f>SUM(ACV8:ACV31)</f>
        <v>0</v>
      </c>
      <c r="ACX32" s="107">
        <f>SUM(ACX8:ACX31)</f>
        <v>22</v>
      </c>
      <c r="ADE32" s="107">
        <f>SUM(ADE8:ADE31)</f>
        <v>0</v>
      </c>
      <c r="ADG32" s="107">
        <f>SUM(ADG8:ADG31)</f>
        <v>22</v>
      </c>
      <c r="ADN32" s="107">
        <f>SUM(ADN8:ADN31)</f>
        <v>0</v>
      </c>
      <c r="ADP32" s="107">
        <f>SUM(ADP8:ADP31)</f>
        <v>22</v>
      </c>
      <c r="ADW32" s="107">
        <f>SUM(ADW8:ADW31)</f>
        <v>0</v>
      </c>
      <c r="ADY32" s="107">
        <f>SUM(ADY8:ADY31)</f>
        <v>22</v>
      </c>
      <c r="AEF32" s="107">
        <f>SUM(AEF8:AEF31)</f>
        <v>0</v>
      </c>
      <c r="AEH32" s="107">
        <f>SUM(AEH8:AEH31)</f>
        <v>22</v>
      </c>
      <c r="AEO32" s="107">
        <f>SUM(AEO8:AEO31)</f>
        <v>0</v>
      </c>
      <c r="AEQ32" s="107">
        <f>SUM(AEQ8:AEQ31)</f>
        <v>22</v>
      </c>
    </row>
    <row r="33" spans="1:823" ht="18.75" customHeight="1" thickBot="1" x14ac:dyDescent="0.3">
      <c r="A33" s="143">
        <v>30</v>
      </c>
      <c r="B33" s="76" t="str">
        <f t="shared" ref="B33:H33" si="72">KO5</f>
        <v>SEABOARD FOODS</v>
      </c>
      <c r="C33" s="76" t="str">
        <f t="shared" si="72"/>
        <v>Seaboard</v>
      </c>
      <c r="D33" s="104" t="str">
        <f t="shared" si="72"/>
        <v>PED. 75517509</v>
      </c>
      <c r="E33" s="141">
        <f t="shared" si="72"/>
        <v>44558</v>
      </c>
      <c r="F33" s="87">
        <f t="shared" si="72"/>
        <v>18868.09</v>
      </c>
      <c r="G33" s="74">
        <f t="shared" si="72"/>
        <v>21</v>
      </c>
      <c r="H33" s="48">
        <f t="shared" si="72"/>
        <v>18937.2</v>
      </c>
      <c r="I33" s="107">
        <f t="shared" si="70"/>
        <v>-69.110000000000582</v>
      </c>
      <c r="N33" s="962" t="s">
        <v>21</v>
      </c>
      <c r="O33" s="963"/>
      <c r="P33" s="147">
        <f>Q5-P32</f>
        <v>0</v>
      </c>
      <c r="S33" s="627"/>
      <c r="X33" s="508" t="s">
        <v>21</v>
      </c>
      <c r="Y33" s="509"/>
      <c r="Z33" s="147">
        <f>X32-Z32</f>
        <v>0</v>
      </c>
      <c r="AH33" s="368" t="s">
        <v>21</v>
      </c>
      <c r="AI33" s="369"/>
      <c r="AJ33" s="147">
        <f>AK5-AJ32</f>
        <v>0</v>
      </c>
      <c r="AR33" s="368" t="s">
        <v>21</v>
      </c>
      <c r="AS33" s="369"/>
      <c r="AT33" s="339">
        <f>AU5-AT32</f>
        <v>0</v>
      </c>
      <c r="AU33" s="340"/>
      <c r="AZ33" s="76"/>
      <c r="BB33" s="368" t="s">
        <v>21</v>
      </c>
      <c r="BC33" s="369"/>
      <c r="BD33" s="147">
        <f>BB32-BD32</f>
        <v>-2.0000000000436557E-2</v>
      </c>
      <c r="BL33" s="368" t="s">
        <v>21</v>
      </c>
      <c r="BM33" s="369"/>
      <c r="BN33" s="147">
        <f>BL32-BN32</f>
        <v>0</v>
      </c>
      <c r="BV33" s="368" t="s">
        <v>21</v>
      </c>
      <c r="BW33" s="369"/>
      <c r="BX33" s="147">
        <f>BV32-BX32</f>
        <v>0</v>
      </c>
      <c r="CE33" s="15"/>
      <c r="CF33" s="368" t="s">
        <v>21</v>
      </c>
      <c r="CG33" s="369"/>
      <c r="CH33" s="147">
        <f>CF32-CH32</f>
        <v>0</v>
      </c>
      <c r="CP33" s="368" t="s">
        <v>21</v>
      </c>
      <c r="CQ33" s="369"/>
      <c r="CR33" s="147">
        <f>CP32-CR32</f>
        <v>0</v>
      </c>
      <c r="CZ33" s="368" t="s">
        <v>21</v>
      </c>
      <c r="DA33" s="369"/>
      <c r="DB33" s="147">
        <f>CZ32-DB32</f>
        <v>0</v>
      </c>
      <c r="DJ33" s="368" t="s">
        <v>21</v>
      </c>
      <c r="DK33" s="369"/>
      <c r="DL33" s="147">
        <f>DJ32-DL32</f>
        <v>0</v>
      </c>
      <c r="DT33" s="368" t="s">
        <v>21</v>
      </c>
      <c r="DU33" s="369"/>
      <c r="DV33" s="147">
        <f>DT32-DV32</f>
        <v>0</v>
      </c>
      <c r="ED33" s="368" t="s">
        <v>21</v>
      </c>
      <c r="EE33" s="369"/>
      <c r="EF33" s="147">
        <f>ED32-EF32</f>
        <v>0</v>
      </c>
      <c r="EN33" s="368" t="s">
        <v>21</v>
      </c>
      <c r="EO33" s="369"/>
      <c r="EP33" s="147">
        <f>EN32-EP32</f>
        <v>0</v>
      </c>
      <c r="EX33" s="368" t="s">
        <v>21</v>
      </c>
      <c r="EY33" s="369"/>
      <c r="EZ33" s="319">
        <f>EX32-EZ32</f>
        <v>0</v>
      </c>
      <c r="FH33" s="368" t="s">
        <v>21</v>
      </c>
      <c r="FI33" s="369"/>
      <c r="FJ33" s="147">
        <f>FH32-FJ32</f>
        <v>0</v>
      </c>
      <c r="FR33" s="368" t="s">
        <v>21</v>
      </c>
      <c r="FS33" s="369"/>
      <c r="FT33" s="319">
        <f>FR32-FT32</f>
        <v>0</v>
      </c>
      <c r="GB33" s="368" t="s">
        <v>21</v>
      </c>
      <c r="GC33" s="369"/>
      <c r="GD33" s="147">
        <f>GE5-GD32</f>
        <v>0</v>
      </c>
      <c r="GL33" s="368" t="s">
        <v>21</v>
      </c>
      <c r="GM33" s="369"/>
      <c r="GN33" s="147">
        <f>GL32-GN32</f>
        <v>0</v>
      </c>
      <c r="GV33" s="368" t="s">
        <v>21</v>
      </c>
      <c r="GW33" s="369"/>
      <c r="GX33" s="147">
        <f>GV32-GX32</f>
        <v>0</v>
      </c>
      <c r="HF33" s="368" t="s">
        <v>21</v>
      </c>
      <c r="HG33" s="369"/>
      <c r="HH33" s="147">
        <f>HF32-HH32</f>
        <v>0</v>
      </c>
      <c r="HP33" s="368" t="s">
        <v>21</v>
      </c>
      <c r="HQ33" s="369"/>
      <c r="HR33" s="147">
        <f>HP32-HR32</f>
        <v>0</v>
      </c>
      <c r="HZ33" s="802" t="s">
        <v>21</v>
      </c>
      <c r="IA33" s="803"/>
      <c r="IB33" s="319">
        <f>IC5-IB32</f>
        <v>0</v>
      </c>
      <c r="IC33" s="255"/>
      <c r="IJ33" s="802" t="s">
        <v>21</v>
      </c>
      <c r="IK33" s="803"/>
      <c r="IL33" s="147">
        <f>IJ32-IL32</f>
        <v>0</v>
      </c>
      <c r="IT33" s="802" t="s">
        <v>21</v>
      </c>
      <c r="IU33" s="803"/>
      <c r="IV33" s="147">
        <f>IT32-IV32</f>
        <v>0</v>
      </c>
      <c r="JD33" s="802" t="s">
        <v>21</v>
      </c>
      <c r="JE33" s="803"/>
      <c r="JF33" s="147">
        <f>JD32-JF32</f>
        <v>0</v>
      </c>
      <c r="JN33" s="802" t="s">
        <v>21</v>
      </c>
      <c r="JO33" s="803"/>
      <c r="JP33" s="147">
        <f>JN32-JP32</f>
        <v>0</v>
      </c>
      <c r="JX33" s="802" t="s">
        <v>21</v>
      </c>
      <c r="JY33" s="803"/>
      <c r="JZ33" s="319">
        <f>KA5-JZ32</f>
        <v>0</v>
      </c>
      <c r="KA33" s="255"/>
      <c r="KH33" s="802" t="s">
        <v>21</v>
      </c>
      <c r="KI33" s="803"/>
      <c r="KJ33" s="319">
        <f>KK5-KJ32</f>
        <v>0</v>
      </c>
      <c r="KK33" s="255"/>
      <c r="KR33" s="802" t="s">
        <v>21</v>
      </c>
      <c r="KS33" s="803"/>
      <c r="KT33" s="319">
        <f>KU5-KT32</f>
        <v>0</v>
      </c>
      <c r="KU33" s="255"/>
      <c r="LB33" s="651" t="s">
        <v>21</v>
      </c>
      <c r="LC33" s="652"/>
      <c r="LD33" s="245">
        <f>LE5-LD32</f>
        <v>0</v>
      </c>
      <c r="LL33" s="651" t="s">
        <v>21</v>
      </c>
      <c r="LM33" s="652"/>
      <c r="LN33" s="147">
        <f>LO5-LN32</f>
        <v>0</v>
      </c>
      <c r="MA33" s="627"/>
      <c r="MB33" s="627"/>
      <c r="MF33" s="368" t="s">
        <v>21</v>
      </c>
      <c r="MG33" s="369"/>
      <c r="MH33" s="147">
        <f>MI5-MH32</f>
        <v>0</v>
      </c>
      <c r="MP33" s="368" t="s">
        <v>21</v>
      </c>
      <c r="MQ33" s="369"/>
      <c r="MR33" s="147">
        <f>MS5-MR32</f>
        <v>0</v>
      </c>
      <c r="MZ33" s="1046" t="s">
        <v>21</v>
      </c>
      <c r="NA33" s="1047"/>
      <c r="NB33" s="147">
        <f>NC5-NB32</f>
        <v>0</v>
      </c>
      <c r="NJ33" s="368" t="s">
        <v>21</v>
      </c>
      <c r="NK33" s="369"/>
      <c r="NL33" s="147">
        <f>NM5-NL32</f>
        <v>19073.7</v>
      </c>
      <c r="NT33" s="368" t="s">
        <v>21</v>
      </c>
      <c r="NU33" s="369"/>
      <c r="NV33" s="147">
        <f>NW5-NV32</f>
        <v>-10.000000000003638</v>
      </c>
      <c r="OD33" s="368" t="s">
        <v>21</v>
      </c>
      <c r="OE33" s="369"/>
      <c r="OF33" s="147">
        <f>OG5-OF32</f>
        <v>0</v>
      </c>
      <c r="ON33" s="368" t="s">
        <v>21</v>
      </c>
      <c r="OO33" s="369"/>
      <c r="OP33" s="147">
        <f>OQ5-OP32</f>
        <v>0</v>
      </c>
      <c r="OX33" s="368" t="s">
        <v>21</v>
      </c>
      <c r="OY33" s="369"/>
      <c r="OZ33" s="147">
        <f>PA5-OZ32</f>
        <v>0</v>
      </c>
      <c r="PH33" s="368" t="s">
        <v>21</v>
      </c>
      <c r="PI33" s="369"/>
      <c r="PJ33" s="147">
        <f>PJ32-PH32</f>
        <v>0</v>
      </c>
      <c r="PR33" s="368" t="s">
        <v>21</v>
      </c>
      <c r="PS33" s="369"/>
      <c r="PT33" s="147">
        <f>PU5-PT32</f>
        <v>0</v>
      </c>
      <c r="QA33" s="368" t="s">
        <v>21</v>
      </c>
      <c r="QB33" s="369"/>
      <c r="QC33" s="147">
        <f>QD5-QC32</f>
        <v>0</v>
      </c>
      <c r="QJ33" s="368" t="s">
        <v>21</v>
      </c>
      <c r="QK33" s="369"/>
      <c r="QL33" s="147">
        <f>QM5-QL32</f>
        <v>0</v>
      </c>
      <c r="QS33" s="368" t="s">
        <v>21</v>
      </c>
      <c r="QT33" s="369"/>
      <c r="QU33" s="147">
        <f>QV5-QU32</f>
        <v>0</v>
      </c>
      <c r="RB33" s="368" t="s">
        <v>21</v>
      </c>
      <c r="RC33" s="369"/>
      <c r="RD33" s="147">
        <f>RE5-RD32</f>
        <v>0</v>
      </c>
      <c r="RK33" s="368" t="s">
        <v>21</v>
      </c>
      <c r="RL33" s="369"/>
      <c r="RM33" s="147">
        <f>SUM(RN5-RM32)</f>
        <v>0</v>
      </c>
      <c r="RT33" s="1158" t="s">
        <v>21</v>
      </c>
      <c r="RU33" s="1159"/>
      <c r="RV33" s="147">
        <f>SUM(RW5-RV32)</f>
        <v>0</v>
      </c>
      <c r="SC33" s="1158" t="s">
        <v>21</v>
      </c>
      <c r="SD33" s="1159"/>
      <c r="SE33" s="147">
        <f>SUM(SF5-SE32)</f>
        <v>0</v>
      </c>
      <c r="SL33" s="1158" t="s">
        <v>21</v>
      </c>
      <c r="SM33" s="1159"/>
      <c r="SN33" s="245">
        <f>SUM(SO5-SN32)</f>
        <v>0</v>
      </c>
      <c r="SU33" s="1158" t="s">
        <v>21</v>
      </c>
      <c r="SV33" s="1159"/>
      <c r="SW33" s="147">
        <f>SUM(SX5-SW32)</f>
        <v>0</v>
      </c>
      <c r="TD33" s="1158" t="s">
        <v>21</v>
      </c>
      <c r="TE33" s="1159"/>
      <c r="TF33" s="147">
        <f>SUM(TG5-TF32)</f>
        <v>0</v>
      </c>
      <c r="TM33" s="1158" t="s">
        <v>21</v>
      </c>
      <c r="TN33" s="1159"/>
      <c r="TO33" s="147">
        <f>SUM(TP5-TO32)</f>
        <v>0</v>
      </c>
      <c r="TV33" s="1158" t="s">
        <v>21</v>
      </c>
      <c r="TW33" s="1159"/>
      <c r="TX33" s="147">
        <f>SUM(TY5-TX32)</f>
        <v>0</v>
      </c>
      <c r="UE33" s="1158" t="s">
        <v>21</v>
      </c>
      <c r="UF33" s="1159"/>
      <c r="UG33" s="147">
        <f>SUM(UH5-UG32)</f>
        <v>0</v>
      </c>
      <c r="UN33" s="1158" t="s">
        <v>21</v>
      </c>
      <c r="UO33" s="1159"/>
      <c r="UP33" s="147">
        <f>SUM(UQ5-UP32)</f>
        <v>0</v>
      </c>
      <c r="UW33" s="368" t="s">
        <v>21</v>
      </c>
      <c r="UX33" s="369"/>
      <c r="UY33" s="147">
        <f>SUM(UZ5-UY32)</f>
        <v>0</v>
      </c>
      <c r="VF33" s="368" t="s">
        <v>21</v>
      </c>
      <c r="VG33" s="369"/>
      <c r="VH33" s="147">
        <f>SUM(VI5-VH32)</f>
        <v>-22</v>
      </c>
      <c r="VO33" s="1158" t="s">
        <v>21</v>
      </c>
      <c r="VP33" s="1159"/>
      <c r="VQ33" s="147">
        <f>VR5-VQ32</f>
        <v>-22</v>
      </c>
      <c r="VX33" s="1158" t="s">
        <v>21</v>
      </c>
      <c r="VY33" s="1159"/>
      <c r="VZ33" s="147">
        <f>WA5-VZ32</f>
        <v>-22</v>
      </c>
      <c r="WG33" s="1158" t="s">
        <v>21</v>
      </c>
      <c r="WH33" s="1159"/>
      <c r="WI33" s="147">
        <f>WJ5-WI32</f>
        <v>-22</v>
      </c>
      <c r="WP33" s="1158" t="s">
        <v>21</v>
      </c>
      <c r="WQ33" s="1159"/>
      <c r="WR33" s="147">
        <f>WS5-WR32</f>
        <v>-22</v>
      </c>
      <c r="WY33" s="1158" t="s">
        <v>21</v>
      </c>
      <c r="WZ33" s="1159"/>
      <c r="XA33" s="147">
        <f>XB5-XA32</f>
        <v>-22</v>
      </c>
      <c r="XH33" s="1158" t="s">
        <v>21</v>
      </c>
      <c r="XI33" s="1159"/>
      <c r="XJ33" s="147">
        <f>XK5-XJ32</f>
        <v>-22</v>
      </c>
      <c r="XQ33" s="1158" t="s">
        <v>21</v>
      </c>
      <c r="XR33" s="1159"/>
      <c r="XS33" s="147">
        <f>XT5-XS32</f>
        <v>-22</v>
      </c>
      <c r="XZ33" s="1158" t="s">
        <v>21</v>
      </c>
      <c r="YA33" s="1159"/>
      <c r="YB33" s="147">
        <f>YC5-YB32</f>
        <v>-22</v>
      </c>
      <c r="YI33" s="1158" t="s">
        <v>21</v>
      </c>
      <c r="YJ33" s="1159"/>
      <c r="YK33" s="147">
        <f>YL5-YK32</f>
        <v>-22</v>
      </c>
      <c r="YR33" s="1158" t="s">
        <v>21</v>
      </c>
      <c r="YS33" s="1159"/>
      <c r="YT33" s="147">
        <f>YU5-YT32</f>
        <v>-22</v>
      </c>
      <c r="ZA33" s="1158" t="s">
        <v>21</v>
      </c>
      <c r="ZB33" s="1159"/>
      <c r="ZC33" s="147">
        <f>ZD5-ZC32</f>
        <v>-22</v>
      </c>
      <c r="ZJ33" s="1158" t="s">
        <v>21</v>
      </c>
      <c r="ZK33" s="1159"/>
      <c r="ZL33" s="147">
        <f>ZM5-ZL32</f>
        <v>-22</v>
      </c>
      <c r="ZS33" s="1158" t="s">
        <v>21</v>
      </c>
      <c r="ZT33" s="1159"/>
      <c r="ZU33" s="147">
        <f>ZV5-ZU32</f>
        <v>-22</v>
      </c>
      <c r="AAB33" s="1158" t="s">
        <v>21</v>
      </c>
      <c r="AAC33" s="1159"/>
      <c r="AAD33" s="147">
        <f>AAE5-AAD32</f>
        <v>-22</v>
      </c>
      <c r="AAK33" s="1158" t="s">
        <v>21</v>
      </c>
      <c r="AAL33" s="1159"/>
      <c r="AAM33" s="147">
        <f>AAN5-AAM32</f>
        <v>-22</v>
      </c>
      <c r="AAT33" s="1158" t="s">
        <v>21</v>
      </c>
      <c r="AAU33" s="1159"/>
      <c r="AAV33" s="147">
        <f>AAV32-AAT32</f>
        <v>22</v>
      </c>
      <c r="ABC33" s="1158" t="s">
        <v>21</v>
      </c>
      <c r="ABD33" s="1159"/>
      <c r="ABE33" s="147">
        <f>ABF5-ABE32</f>
        <v>-22</v>
      </c>
      <c r="ABL33" s="1158" t="s">
        <v>21</v>
      </c>
      <c r="ABM33" s="1159"/>
      <c r="ABN33" s="147">
        <f>ABO5-ABN32</f>
        <v>-22</v>
      </c>
      <c r="ABU33" s="1158" t="s">
        <v>21</v>
      </c>
      <c r="ABV33" s="1159"/>
      <c r="ABW33" s="147">
        <f>ABX5-ABW32</f>
        <v>-22</v>
      </c>
      <c r="ACD33" s="1158" t="s">
        <v>21</v>
      </c>
      <c r="ACE33" s="1159"/>
      <c r="ACF33" s="147">
        <f>ACG5-ACF32</f>
        <v>-22</v>
      </c>
      <c r="ACM33" s="1158" t="s">
        <v>21</v>
      </c>
      <c r="ACN33" s="1159"/>
      <c r="ACO33" s="147">
        <f>ACP5-ACO32</f>
        <v>-22</v>
      </c>
      <c r="ACV33" s="1158" t="s">
        <v>21</v>
      </c>
      <c r="ACW33" s="1159"/>
      <c r="ACX33" s="147">
        <f>ACY5-ACX32</f>
        <v>-22</v>
      </c>
      <c r="ADE33" s="1158" t="s">
        <v>21</v>
      </c>
      <c r="ADF33" s="1159"/>
      <c r="ADG33" s="147">
        <f>ADH5-ADG32</f>
        <v>-22</v>
      </c>
      <c r="ADN33" s="1158" t="s">
        <v>21</v>
      </c>
      <c r="ADO33" s="1159"/>
      <c r="ADP33" s="147">
        <f>ADQ5-ADP32</f>
        <v>-22</v>
      </c>
      <c r="ADW33" s="1158" t="s">
        <v>21</v>
      </c>
      <c r="ADX33" s="1159"/>
      <c r="ADY33" s="147">
        <f>ADZ5-ADY32</f>
        <v>-22</v>
      </c>
      <c r="AEF33" s="1158" t="s">
        <v>21</v>
      </c>
      <c r="AEG33" s="1159"/>
      <c r="AEH33" s="147">
        <f>AEI5-AEH32</f>
        <v>-22</v>
      </c>
      <c r="AEO33" s="1158" t="s">
        <v>21</v>
      </c>
      <c r="AEP33" s="1159"/>
      <c r="AEQ33" s="147">
        <f>AER5-AEQ32</f>
        <v>-22</v>
      </c>
    </row>
    <row r="34" spans="1:823" ht="16.5" thickBot="1" x14ac:dyDescent="0.3">
      <c r="A34" s="143">
        <v>31</v>
      </c>
      <c r="B34" s="76" t="str">
        <f t="shared" ref="B34:H34" si="73">KY5</f>
        <v>TYSON FRESH MEATS</v>
      </c>
      <c r="C34" s="76" t="str">
        <f t="shared" si="73"/>
        <v xml:space="preserve">I B P </v>
      </c>
      <c r="D34" s="104" t="str">
        <f t="shared" si="73"/>
        <v>PED. 75528932</v>
      </c>
      <c r="E34" s="141">
        <f t="shared" si="73"/>
        <v>44558</v>
      </c>
      <c r="F34" s="87">
        <f t="shared" si="73"/>
        <v>18387.689999999999</v>
      </c>
      <c r="G34" s="74">
        <f t="shared" si="73"/>
        <v>20</v>
      </c>
      <c r="H34" s="48">
        <f t="shared" si="73"/>
        <v>18445.669999999998</v>
      </c>
      <c r="I34" s="107">
        <f t="shared" si="70"/>
        <v>-57.979999999999563</v>
      </c>
      <c r="N34" s="964" t="s">
        <v>4</v>
      </c>
      <c r="O34" s="965"/>
      <c r="P34" s="49"/>
      <c r="S34" s="627"/>
      <c r="X34" s="510" t="s">
        <v>4</v>
      </c>
      <c r="Y34" s="511"/>
      <c r="Z34" s="49">
        <v>0</v>
      </c>
      <c r="AH34" s="370" t="s">
        <v>4</v>
      </c>
      <c r="AI34" s="371"/>
      <c r="AJ34" s="49"/>
      <c r="AR34" s="370" t="s">
        <v>4</v>
      </c>
      <c r="AS34" s="371"/>
      <c r="AT34" s="49"/>
      <c r="AZ34" s="76"/>
      <c r="BB34" s="370" t="s">
        <v>4</v>
      </c>
      <c r="BC34" s="371"/>
      <c r="BD34" s="49"/>
      <c r="BL34" s="370" t="s">
        <v>4</v>
      </c>
      <c r="BM34" s="371"/>
      <c r="BN34" s="49"/>
      <c r="BV34" s="370" t="s">
        <v>4</v>
      </c>
      <c r="BW34" s="371"/>
      <c r="BX34" s="49"/>
      <c r="CE34" s="15"/>
      <c r="CF34" s="370" t="s">
        <v>4</v>
      </c>
      <c r="CG34" s="371"/>
      <c r="CH34" s="49"/>
      <c r="CP34" s="370" t="s">
        <v>4</v>
      </c>
      <c r="CQ34" s="371"/>
      <c r="CR34" s="49"/>
      <c r="CZ34" s="370" t="s">
        <v>4</v>
      </c>
      <c r="DA34" s="371"/>
      <c r="DB34" s="49"/>
      <c r="DJ34" s="370" t="s">
        <v>4</v>
      </c>
      <c r="DK34" s="371"/>
      <c r="DL34" s="49"/>
      <c r="DT34" s="370" t="s">
        <v>4</v>
      </c>
      <c r="DU34" s="371"/>
      <c r="DV34" s="49"/>
      <c r="ED34" s="370" t="s">
        <v>4</v>
      </c>
      <c r="EE34" s="371"/>
      <c r="EF34" s="49"/>
      <c r="EN34" s="370" t="s">
        <v>4</v>
      </c>
      <c r="EO34" s="371"/>
      <c r="EP34" s="49"/>
      <c r="EX34" s="370" t="s">
        <v>4</v>
      </c>
      <c r="EY34" s="371"/>
      <c r="EZ34" s="49">
        <v>0</v>
      </c>
      <c r="FH34" s="370" t="s">
        <v>4</v>
      </c>
      <c r="FI34" s="371"/>
      <c r="FJ34" s="49"/>
      <c r="FR34" s="370" t="s">
        <v>4</v>
      </c>
      <c r="FS34" s="371"/>
      <c r="FT34" s="49"/>
      <c r="GB34" s="370" t="s">
        <v>4</v>
      </c>
      <c r="GC34" s="371"/>
      <c r="GD34" s="49"/>
      <c r="GL34" s="370" t="s">
        <v>4</v>
      </c>
      <c r="GM34" s="371"/>
      <c r="GN34" s="49"/>
      <c r="GV34" s="370" t="s">
        <v>4</v>
      </c>
      <c r="GW34" s="371"/>
      <c r="GX34" s="49"/>
      <c r="HF34" s="370" t="s">
        <v>4</v>
      </c>
      <c r="HG34" s="371"/>
      <c r="HH34" s="49"/>
      <c r="HP34" s="370" t="s">
        <v>4</v>
      </c>
      <c r="HQ34" s="371"/>
      <c r="HR34" s="49">
        <v>0</v>
      </c>
      <c r="HZ34" s="804" t="s">
        <v>4</v>
      </c>
      <c r="IA34" s="805"/>
      <c r="IB34" s="49"/>
      <c r="IJ34" s="804" t="s">
        <v>4</v>
      </c>
      <c r="IK34" s="805"/>
      <c r="IL34" s="49"/>
      <c r="IT34" s="804" t="s">
        <v>4</v>
      </c>
      <c r="IU34" s="805"/>
      <c r="IV34" s="49"/>
      <c r="JD34" s="804" t="s">
        <v>4</v>
      </c>
      <c r="JE34" s="805"/>
      <c r="JF34" s="49"/>
      <c r="JN34" s="804" t="s">
        <v>4</v>
      </c>
      <c r="JO34" s="805"/>
      <c r="JP34" s="49">
        <v>0</v>
      </c>
      <c r="JX34" s="804" t="s">
        <v>4</v>
      </c>
      <c r="JY34" s="805"/>
      <c r="JZ34" s="49"/>
      <c r="KH34" s="804" t="s">
        <v>4</v>
      </c>
      <c r="KI34" s="805"/>
      <c r="KJ34" s="49"/>
      <c r="KR34" s="804" t="s">
        <v>4</v>
      </c>
      <c r="KS34" s="805"/>
      <c r="KT34" s="49"/>
      <c r="LB34" s="653" t="s">
        <v>4</v>
      </c>
      <c r="LC34" s="654"/>
      <c r="LD34" s="49"/>
      <c r="LL34" s="653" t="s">
        <v>4</v>
      </c>
      <c r="LM34" s="654"/>
      <c r="LN34" s="49"/>
      <c r="LV34" s="651" t="s">
        <v>21</v>
      </c>
      <c r="LW34" s="652"/>
      <c r="LX34" s="147">
        <f>LY5-LX32</f>
        <v>0</v>
      </c>
      <c r="MA34" s="627"/>
      <c r="MB34" s="627"/>
      <c r="MF34" s="370" t="s">
        <v>4</v>
      </c>
      <c r="MG34" s="371"/>
      <c r="MH34" s="49"/>
      <c r="MP34" s="370" t="s">
        <v>4</v>
      </c>
      <c r="MQ34" s="371"/>
      <c r="MR34" s="49"/>
      <c r="MZ34" s="1048" t="s">
        <v>4</v>
      </c>
      <c r="NA34" s="1049"/>
      <c r="NB34" s="49"/>
      <c r="NJ34" s="370" t="s">
        <v>4</v>
      </c>
      <c r="NK34" s="371"/>
      <c r="NL34" s="49"/>
      <c r="NT34" s="370" t="s">
        <v>4</v>
      </c>
      <c r="NU34" s="371"/>
      <c r="NV34" s="49"/>
      <c r="OD34" s="370" t="s">
        <v>4</v>
      </c>
      <c r="OE34" s="371"/>
      <c r="OF34" s="49"/>
      <c r="ON34" s="370" t="s">
        <v>4</v>
      </c>
      <c r="OO34" s="371"/>
      <c r="OP34" s="49"/>
      <c r="OX34" s="370" t="s">
        <v>4</v>
      </c>
      <c r="OY34" s="371"/>
      <c r="OZ34" s="49"/>
      <c r="PH34" s="370" t="s">
        <v>4</v>
      </c>
      <c r="PI34" s="371"/>
      <c r="PJ34" s="49"/>
      <c r="PR34" s="370" t="s">
        <v>4</v>
      </c>
      <c r="PS34" s="371"/>
      <c r="PT34" s="49"/>
      <c r="QA34" s="370" t="s">
        <v>4</v>
      </c>
      <c r="QB34" s="371"/>
      <c r="QC34" s="49"/>
      <c r="QJ34" s="370" t="s">
        <v>4</v>
      </c>
      <c r="QK34" s="371"/>
      <c r="QL34" s="49"/>
      <c r="QS34" s="370" t="s">
        <v>4</v>
      </c>
      <c r="QT34" s="371"/>
      <c r="QU34" s="49"/>
      <c r="RB34" s="370" t="s">
        <v>4</v>
      </c>
      <c r="RC34" s="371"/>
      <c r="RD34" s="49"/>
      <c r="RK34" s="370" t="s">
        <v>4</v>
      </c>
      <c r="RL34" s="371"/>
      <c r="RM34" s="49"/>
      <c r="RT34" s="1160" t="s">
        <v>4</v>
      </c>
      <c r="RU34" s="1161"/>
      <c r="RV34" s="49"/>
      <c r="SC34" s="1160" t="s">
        <v>4</v>
      </c>
      <c r="SD34" s="1161"/>
      <c r="SE34" s="49"/>
      <c r="SL34" s="1160" t="s">
        <v>4</v>
      </c>
      <c r="SM34" s="1161"/>
      <c r="SN34" s="49"/>
      <c r="SU34" s="1160" t="s">
        <v>4</v>
      </c>
      <c r="SV34" s="1161"/>
      <c r="SW34" s="49"/>
      <c r="TD34" s="1160" t="s">
        <v>4</v>
      </c>
      <c r="TE34" s="1161"/>
      <c r="TF34" s="49"/>
      <c r="TM34" s="1160" t="s">
        <v>4</v>
      </c>
      <c r="TN34" s="1161"/>
      <c r="TO34" s="49"/>
      <c r="TV34" s="1160" t="s">
        <v>4</v>
      </c>
      <c r="TW34" s="1161"/>
      <c r="TX34" s="49"/>
      <c r="UE34" s="1160" t="s">
        <v>4</v>
      </c>
      <c r="UF34" s="1161"/>
      <c r="UG34" s="49"/>
      <c r="UN34" s="1160" t="s">
        <v>4</v>
      </c>
      <c r="UO34" s="1161"/>
      <c r="UP34" s="49"/>
      <c r="UW34" s="370" t="s">
        <v>4</v>
      </c>
      <c r="UX34" s="371"/>
      <c r="UY34" s="49"/>
      <c r="VF34" s="370" t="s">
        <v>4</v>
      </c>
      <c r="VG34" s="371"/>
      <c r="VH34" s="49"/>
      <c r="VO34" s="1160" t="s">
        <v>4</v>
      </c>
      <c r="VP34" s="1161"/>
      <c r="VQ34" s="49"/>
      <c r="VX34" s="1160" t="s">
        <v>4</v>
      </c>
      <c r="VY34" s="1161"/>
      <c r="VZ34" s="49"/>
      <c r="WG34" s="1160" t="s">
        <v>4</v>
      </c>
      <c r="WH34" s="1161"/>
      <c r="WI34" s="49"/>
      <c r="WP34" s="1160" t="s">
        <v>4</v>
      </c>
      <c r="WQ34" s="1161"/>
      <c r="WR34" s="49"/>
      <c r="WY34" s="1160" t="s">
        <v>4</v>
      </c>
      <c r="WZ34" s="1161"/>
      <c r="XA34" s="49"/>
      <c r="XH34" s="1160" t="s">
        <v>4</v>
      </c>
      <c r="XI34" s="1161"/>
      <c r="XJ34" s="49"/>
      <c r="XQ34" s="1160" t="s">
        <v>4</v>
      </c>
      <c r="XR34" s="1161"/>
      <c r="XS34" s="49"/>
      <c r="XZ34" s="1160" t="s">
        <v>4</v>
      </c>
      <c r="YA34" s="1161"/>
      <c r="YB34" s="49"/>
      <c r="YI34" s="1160" t="s">
        <v>4</v>
      </c>
      <c r="YJ34" s="1161"/>
      <c r="YK34" s="49"/>
      <c r="YR34" s="1160" t="s">
        <v>4</v>
      </c>
      <c r="YS34" s="1161"/>
      <c r="YT34" s="49"/>
      <c r="ZA34" s="1160" t="s">
        <v>4</v>
      </c>
      <c r="ZB34" s="1161"/>
      <c r="ZC34" s="49"/>
      <c r="ZJ34" s="1160" t="s">
        <v>4</v>
      </c>
      <c r="ZK34" s="1161"/>
      <c r="ZL34" s="49"/>
      <c r="ZS34" s="1160" t="s">
        <v>4</v>
      </c>
      <c r="ZT34" s="1161"/>
      <c r="ZU34" s="49"/>
      <c r="AAB34" s="1160" t="s">
        <v>4</v>
      </c>
      <c r="AAC34" s="1161"/>
      <c r="AAD34" s="49"/>
      <c r="AAK34" s="1160" t="s">
        <v>4</v>
      </c>
      <c r="AAL34" s="1161"/>
      <c r="AAM34" s="49"/>
      <c r="AAT34" s="1160" t="s">
        <v>4</v>
      </c>
      <c r="AAU34" s="1161"/>
      <c r="AAV34" s="49"/>
      <c r="ABC34" s="1160" t="s">
        <v>4</v>
      </c>
      <c r="ABD34" s="1161"/>
      <c r="ABE34" s="49"/>
      <c r="ABL34" s="1160" t="s">
        <v>4</v>
      </c>
      <c r="ABM34" s="1161"/>
      <c r="ABN34" s="49"/>
      <c r="ABU34" s="1160" t="s">
        <v>4</v>
      </c>
      <c r="ABV34" s="1161"/>
      <c r="ABW34" s="49"/>
      <c r="ACD34" s="1160" t="s">
        <v>4</v>
      </c>
      <c r="ACE34" s="1161"/>
      <c r="ACF34" s="49"/>
      <c r="ACM34" s="1160" t="s">
        <v>4</v>
      </c>
      <c r="ACN34" s="1161"/>
      <c r="ACO34" s="49"/>
      <c r="ACV34" s="1160" t="s">
        <v>4</v>
      </c>
      <c r="ACW34" s="1161"/>
      <c r="ACX34" s="49"/>
      <c r="ADE34" s="1160" t="s">
        <v>4</v>
      </c>
      <c r="ADF34" s="1161"/>
      <c r="ADG34" s="49"/>
      <c r="ADN34" s="1160" t="s">
        <v>4</v>
      </c>
      <c r="ADO34" s="1161"/>
      <c r="ADP34" s="49"/>
      <c r="ADW34" s="1160" t="s">
        <v>4</v>
      </c>
      <c r="ADX34" s="1161"/>
      <c r="ADY34" s="49"/>
      <c r="AEF34" s="1160" t="s">
        <v>4</v>
      </c>
      <c r="AEG34" s="1161"/>
      <c r="AEH34" s="49"/>
      <c r="AEO34" s="1160" t="s">
        <v>4</v>
      </c>
      <c r="AEP34" s="1161"/>
      <c r="AEQ34" s="49"/>
    </row>
    <row r="35" spans="1:823" ht="16.5" thickBot="1" x14ac:dyDescent="0.3">
      <c r="A35" s="143">
        <v>32</v>
      </c>
      <c r="B35" s="76" t="str">
        <f t="shared" ref="B35:H35" si="74">LI5</f>
        <v>TYSON FRESH MEATS</v>
      </c>
      <c r="C35" s="76" t="str">
        <f t="shared" si="74"/>
        <v xml:space="preserve">I B P </v>
      </c>
      <c r="D35" s="104" t="str">
        <f t="shared" si="74"/>
        <v>PED. 75543977</v>
      </c>
      <c r="E35" s="141">
        <f t="shared" si="74"/>
        <v>44559</v>
      </c>
      <c r="F35" s="87">
        <f t="shared" si="74"/>
        <v>18533.84</v>
      </c>
      <c r="G35" s="74">
        <f t="shared" si="74"/>
        <v>20</v>
      </c>
      <c r="H35" s="48">
        <f t="shared" si="74"/>
        <v>18548.650000000001</v>
      </c>
      <c r="I35" s="107">
        <f t="shared" si="70"/>
        <v>-14.81000000000131</v>
      </c>
      <c r="S35" s="627"/>
      <c r="AZ35" s="76"/>
      <c r="LV35" s="653" t="s">
        <v>4</v>
      </c>
      <c r="LW35" s="654"/>
      <c r="LX35" s="49"/>
      <c r="MA35" s="627"/>
      <c r="MB35" s="627"/>
    </row>
    <row r="36" spans="1:823" x14ac:dyDescent="0.25">
      <c r="A36" s="143">
        <v>33</v>
      </c>
      <c r="B36" s="76" t="str">
        <f t="shared" ref="B36:H36" si="75">LS5</f>
        <v>SEABOARD FOODS</v>
      </c>
      <c r="C36" s="76" t="str">
        <f t="shared" si="75"/>
        <v>Seaboard</v>
      </c>
      <c r="D36" s="104" t="str">
        <f t="shared" si="75"/>
        <v>PED. 75544391</v>
      </c>
      <c r="E36" s="141">
        <f t="shared" si="75"/>
        <v>44559</v>
      </c>
      <c r="F36" s="87">
        <f t="shared" si="75"/>
        <v>18934.95</v>
      </c>
      <c r="G36" s="74">
        <f t="shared" si="75"/>
        <v>21</v>
      </c>
      <c r="H36" s="48">
        <f t="shared" si="75"/>
        <v>19077.5</v>
      </c>
      <c r="I36" s="107">
        <f t="shared" si="70"/>
        <v>-142.54999999999927</v>
      </c>
      <c r="S36" s="627"/>
      <c r="AZ36" s="76"/>
      <c r="MA36" s="627"/>
      <c r="MB36" s="627"/>
    </row>
    <row r="37" spans="1:823" x14ac:dyDescent="0.25">
      <c r="A37" s="143">
        <v>34</v>
      </c>
      <c r="B37" s="76" t="str">
        <f t="shared" ref="B37:H37" si="76">MC5</f>
        <v>SEABOARD FOODS</v>
      </c>
      <c r="C37" s="76" t="str">
        <f t="shared" si="76"/>
        <v>Seaboard</v>
      </c>
      <c r="D37" s="104" t="str">
        <f t="shared" si="76"/>
        <v>PED. 75602717</v>
      </c>
      <c r="E37" s="141">
        <f t="shared" si="76"/>
        <v>44560</v>
      </c>
      <c r="F37" s="87">
        <f t="shared" si="76"/>
        <v>18933.580000000002</v>
      </c>
      <c r="G37" s="74">
        <f t="shared" si="76"/>
        <v>21</v>
      </c>
      <c r="H37" s="48">
        <f t="shared" si="76"/>
        <v>18995.599999999999</v>
      </c>
      <c r="I37" s="107">
        <f t="shared" si="70"/>
        <v>-62.019999999996799</v>
      </c>
      <c r="S37" s="627"/>
      <c r="AZ37" s="76"/>
      <c r="MA37" s="627"/>
      <c r="MB37" s="627"/>
    </row>
    <row r="38" spans="1:823" x14ac:dyDescent="0.25">
      <c r="A38" s="143">
        <v>35</v>
      </c>
      <c r="B38" s="76" t="str">
        <f t="shared" ref="B38:H38" si="77">MM5</f>
        <v>DISTRIBUIDORA ASGAR</v>
      </c>
      <c r="C38" s="76" t="str">
        <f t="shared" si="77"/>
        <v>CLEMENS FOOD</v>
      </c>
      <c r="D38" s="148" t="str">
        <f t="shared" si="77"/>
        <v>PED. 75530313</v>
      </c>
      <c r="E38" s="141">
        <f t="shared" si="77"/>
        <v>44560</v>
      </c>
      <c r="F38" s="136">
        <f t="shared" si="77"/>
        <v>18503.34</v>
      </c>
      <c r="G38" s="74">
        <f t="shared" si="77"/>
        <v>20</v>
      </c>
      <c r="H38" s="136">
        <f t="shared" si="77"/>
        <v>18531.39</v>
      </c>
      <c r="I38" s="107">
        <f t="shared" si="70"/>
        <v>-28.049999999999272</v>
      </c>
      <c r="AZ38" s="76"/>
      <c r="MA38" s="627"/>
      <c r="MB38" s="627"/>
    </row>
    <row r="39" spans="1:823" x14ac:dyDescent="0.25">
      <c r="A39" s="143">
        <v>36</v>
      </c>
      <c r="B39" s="76" t="str">
        <f t="shared" ref="B39:H39" si="78">MW5</f>
        <v>SEABOARD FOODS</v>
      </c>
      <c r="C39" s="76" t="str">
        <f t="shared" si="78"/>
        <v>Seaboard</v>
      </c>
      <c r="D39" s="149" t="str">
        <f t="shared" si="78"/>
        <v>PED. 75641030</v>
      </c>
      <c r="E39" s="141">
        <f t="shared" si="78"/>
        <v>44561</v>
      </c>
      <c r="F39" s="107">
        <f t="shared" si="78"/>
        <v>18788.04</v>
      </c>
      <c r="G39" s="74">
        <f t="shared" si="78"/>
        <v>21</v>
      </c>
      <c r="H39" s="136">
        <f t="shared" si="78"/>
        <v>18849.7</v>
      </c>
      <c r="I39" s="107">
        <f t="shared" si="70"/>
        <v>-61.659999999999854</v>
      </c>
      <c r="AZ39" s="76"/>
      <c r="MA39" s="627"/>
      <c r="MB39" s="627"/>
    </row>
    <row r="40" spans="1:823" x14ac:dyDescent="0.25">
      <c r="A40" s="143">
        <v>37</v>
      </c>
      <c r="B40" s="76" t="str">
        <f t="shared" ref="B40:H40" si="79">NG5</f>
        <v>SEABOARD FOODS</v>
      </c>
      <c r="C40" s="76" t="str">
        <f t="shared" si="79"/>
        <v>Seaboard</v>
      </c>
      <c r="D40" s="149" t="str">
        <f t="shared" si="79"/>
        <v>PED. 75659701</v>
      </c>
      <c r="E40" s="141">
        <f t="shared" si="79"/>
        <v>44563</v>
      </c>
      <c r="F40" s="107">
        <f t="shared" si="79"/>
        <v>18943.84</v>
      </c>
      <c r="G40" s="74">
        <f t="shared" si="79"/>
        <v>21</v>
      </c>
      <c r="H40" s="136">
        <f t="shared" si="79"/>
        <v>19073.7</v>
      </c>
      <c r="I40" s="107">
        <f t="shared" si="70"/>
        <v>-129.86000000000058</v>
      </c>
      <c r="AZ40" s="76"/>
      <c r="MA40" s="627"/>
      <c r="MB40" s="627"/>
    </row>
    <row r="41" spans="1:823" x14ac:dyDescent="0.25">
      <c r="A41" s="143">
        <v>38</v>
      </c>
      <c r="B41" s="76" t="str">
        <f t="shared" ref="B41:H41" si="80">NQ5</f>
        <v>SEABOARD FOODS</v>
      </c>
      <c r="C41" s="76" t="str">
        <f t="shared" si="80"/>
        <v>Seaboard</v>
      </c>
      <c r="D41" s="72" t="str">
        <f t="shared" si="80"/>
        <v>PED. 75659167</v>
      </c>
      <c r="E41" s="141">
        <f t="shared" si="80"/>
        <v>44563</v>
      </c>
      <c r="F41" s="107">
        <f t="shared" si="80"/>
        <v>18944.310000000001</v>
      </c>
      <c r="G41" s="74">
        <f t="shared" si="80"/>
        <v>21</v>
      </c>
      <c r="H41" s="136">
        <f t="shared" si="80"/>
        <v>19120</v>
      </c>
      <c r="I41" s="107">
        <f t="shared" si="70"/>
        <v>-175.68999999999869</v>
      </c>
      <c r="AZ41" s="76"/>
      <c r="KI41" s="76">
        <v>0</v>
      </c>
      <c r="MA41" s="627"/>
      <c r="MB41" s="627"/>
    </row>
    <row r="42" spans="1:823" x14ac:dyDescent="0.25">
      <c r="A42" s="143">
        <v>39</v>
      </c>
      <c r="B42" s="76">
        <f t="shared" ref="B42:H42" si="81">OA5</f>
        <v>0</v>
      </c>
      <c r="C42" s="76">
        <f t="shared" si="81"/>
        <v>0</v>
      </c>
      <c r="D42" s="72">
        <f t="shared" si="81"/>
        <v>0</v>
      </c>
      <c r="E42" s="141">
        <f t="shared" si="81"/>
        <v>0</v>
      </c>
      <c r="F42" s="107">
        <f t="shared" si="81"/>
        <v>0</v>
      </c>
      <c r="G42" s="74">
        <f t="shared" si="81"/>
        <v>0</v>
      </c>
      <c r="H42" s="136">
        <f t="shared" si="81"/>
        <v>0</v>
      </c>
      <c r="I42" s="107">
        <f t="shared" si="70"/>
        <v>0</v>
      </c>
      <c r="AZ42" s="76"/>
      <c r="MA42" s="627"/>
      <c r="MB42" s="627"/>
    </row>
    <row r="43" spans="1:823" x14ac:dyDescent="0.25">
      <c r="A43" s="143">
        <v>40</v>
      </c>
      <c r="B43" s="76">
        <f t="shared" ref="B43:H43" si="82">OK5</f>
        <v>0</v>
      </c>
      <c r="C43" s="76">
        <f t="shared" si="82"/>
        <v>0</v>
      </c>
      <c r="D43" s="72">
        <f t="shared" si="82"/>
        <v>0</v>
      </c>
      <c r="E43" s="141">
        <f t="shared" si="82"/>
        <v>0</v>
      </c>
      <c r="F43" s="107">
        <f t="shared" si="82"/>
        <v>0</v>
      </c>
      <c r="G43" s="74">
        <f t="shared" si="82"/>
        <v>0</v>
      </c>
      <c r="H43" s="136">
        <f t="shared" si="82"/>
        <v>0</v>
      </c>
      <c r="I43" s="107">
        <f t="shared" si="70"/>
        <v>0</v>
      </c>
      <c r="AZ43" s="76"/>
      <c r="MA43" s="627"/>
      <c r="MB43" s="627"/>
    </row>
    <row r="44" spans="1:823" x14ac:dyDescent="0.25">
      <c r="A44" s="143">
        <v>41</v>
      </c>
      <c r="B44" s="76">
        <f t="shared" ref="B44:H44" si="83">OU5</f>
        <v>0</v>
      </c>
      <c r="C44" s="76">
        <f t="shared" si="83"/>
        <v>0</v>
      </c>
      <c r="D44" s="72">
        <f t="shared" si="83"/>
        <v>0</v>
      </c>
      <c r="E44" s="141">
        <f t="shared" si="83"/>
        <v>0</v>
      </c>
      <c r="F44" s="107">
        <f t="shared" si="83"/>
        <v>0</v>
      </c>
      <c r="G44" s="74">
        <f t="shared" si="83"/>
        <v>0</v>
      </c>
      <c r="H44" s="136">
        <f t="shared" si="83"/>
        <v>0</v>
      </c>
      <c r="I44" s="107">
        <f t="shared" si="70"/>
        <v>0</v>
      </c>
      <c r="BJ44" s="96"/>
      <c r="MA44" s="627"/>
      <c r="MB44" s="627"/>
    </row>
    <row r="45" spans="1:823" x14ac:dyDescent="0.25">
      <c r="A45" s="143">
        <v>42</v>
      </c>
      <c r="B45" s="76">
        <f t="shared" ref="B45:H45" si="84">PE5</f>
        <v>0</v>
      </c>
      <c r="C45" s="76">
        <f t="shared" si="84"/>
        <v>0</v>
      </c>
      <c r="D45" s="72">
        <f t="shared" si="84"/>
        <v>0</v>
      </c>
      <c r="E45" s="141">
        <f t="shared" si="84"/>
        <v>0</v>
      </c>
      <c r="F45" s="107">
        <f t="shared" si="84"/>
        <v>0</v>
      </c>
      <c r="G45" s="74">
        <f t="shared" si="84"/>
        <v>0</v>
      </c>
      <c r="H45" s="136">
        <f t="shared" si="84"/>
        <v>0</v>
      </c>
      <c r="I45" s="107">
        <f t="shared" si="70"/>
        <v>0</v>
      </c>
      <c r="BJ45" s="96"/>
    </row>
    <row r="46" spans="1:823" x14ac:dyDescent="0.25">
      <c r="A46" s="143">
        <v>43</v>
      </c>
      <c r="B46" s="76">
        <f t="shared" ref="B46:H46" si="85">PO5</f>
        <v>0</v>
      </c>
      <c r="C46" s="76">
        <f t="shared" si="85"/>
        <v>0</v>
      </c>
      <c r="D46" s="72">
        <f t="shared" si="85"/>
        <v>0</v>
      </c>
      <c r="E46" s="141">
        <f t="shared" si="85"/>
        <v>0</v>
      </c>
      <c r="F46" s="107">
        <f t="shared" si="85"/>
        <v>0</v>
      </c>
      <c r="G46" s="74">
        <f t="shared" si="85"/>
        <v>0</v>
      </c>
      <c r="H46" s="136">
        <f t="shared" si="85"/>
        <v>0</v>
      </c>
      <c r="I46" s="107">
        <f t="shared" si="70"/>
        <v>0</v>
      </c>
      <c r="BJ46" s="96"/>
    </row>
    <row r="47" spans="1:823" x14ac:dyDescent="0.25">
      <c r="A47" s="143">
        <v>44</v>
      </c>
      <c r="B47" s="76">
        <f t="shared" ref="B47:H47" si="86">PX5</f>
        <v>0</v>
      </c>
      <c r="C47" s="76">
        <f t="shared" si="86"/>
        <v>0</v>
      </c>
      <c r="D47" s="72">
        <f t="shared" si="86"/>
        <v>0</v>
      </c>
      <c r="E47" s="141">
        <f t="shared" si="86"/>
        <v>0</v>
      </c>
      <c r="F47" s="107">
        <f t="shared" si="86"/>
        <v>0</v>
      </c>
      <c r="G47" s="74">
        <f t="shared" si="86"/>
        <v>0</v>
      </c>
      <c r="H47" s="136">
        <f t="shared" si="86"/>
        <v>0</v>
      </c>
      <c r="I47" s="107">
        <f t="shared" si="70"/>
        <v>0</v>
      </c>
      <c r="BJ47" s="96"/>
    </row>
    <row r="48" spans="1:823" x14ac:dyDescent="0.25">
      <c r="A48" s="143">
        <v>45</v>
      </c>
      <c r="B48" s="159">
        <f t="shared" ref="B48:H48" si="87">QG5</f>
        <v>0</v>
      </c>
      <c r="C48" s="159">
        <f t="shared" si="87"/>
        <v>0</v>
      </c>
      <c r="D48" s="72">
        <f t="shared" si="87"/>
        <v>0</v>
      </c>
      <c r="E48" s="141">
        <f t="shared" si="87"/>
        <v>0</v>
      </c>
      <c r="F48" s="107">
        <f t="shared" si="87"/>
        <v>0</v>
      </c>
      <c r="G48" s="74">
        <f t="shared" si="87"/>
        <v>0</v>
      </c>
      <c r="H48" s="136">
        <f t="shared" si="87"/>
        <v>0</v>
      </c>
      <c r="I48" s="107">
        <f t="shared" si="70"/>
        <v>0</v>
      </c>
      <c r="BJ48" s="96"/>
    </row>
    <row r="49" spans="1:265" x14ac:dyDescent="0.25">
      <c r="A49" s="143">
        <v>46</v>
      </c>
      <c r="B49" s="159">
        <f t="shared" ref="B49:H49" si="88">QP5</f>
        <v>0</v>
      </c>
      <c r="C49" s="159">
        <f t="shared" si="88"/>
        <v>0</v>
      </c>
      <c r="D49" s="72">
        <f t="shared" si="88"/>
        <v>0</v>
      </c>
      <c r="E49" s="141">
        <f t="shared" si="88"/>
        <v>0</v>
      </c>
      <c r="F49" s="107">
        <f t="shared" si="88"/>
        <v>0</v>
      </c>
      <c r="G49" s="74">
        <f t="shared" si="88"/>
        <v>0</v>
      </c>
      <c r="H49" s="136">
        <f t="shared" si="88"/>
        <v>0</v>
      </c>
      <c r="I49" s="107">
        <f t="shared" si="70"/>
        <v>0</v>
      </c>
      <c r="BJ49" s="96"/>
    </row>
    <row r="50" spans="1:265" x14ac:dyDescent="0.25">
      <c r="A50" s="143">
        <v>47</v>
      </c>
      <c r="B50" s="159">
        <f t="shared" ref="B50:H50" si="89">QY5</f>
        <v>0</v>
      </c>
      <c r="C50" s="159">
        <f t="shared" si="89"/>
        <v>0</v>
      </c>
      <c r="D50" s="72">
        <f t="shared" si="89"/>
        <v>0</v>
      </c>
      <c r="E50" s="141">
        <f t="shared" si="89"/>
        <v>0</v>
      </c>
      <c r="F50" s="107">
        <f t="shared" si="89"/>
        <v>0</v>
      </c>
      <c r="G50" s="74">
        <f t="shared" si="89"/>
        <v>0</v>
      </c>
      <c r="H50" s="136">
        <f t="shared" si="89"/>
        <v>0</v>
      </c>
      <c r="I50" s="107">
        <f t="shared" si="70"/>
        <v>0</v>
      </c>
    </row>
    <row r="51" spans="1:265" x14ac:dyDescent="0.25">
      <c r="A51" s="143">
        <v>48</v>
      </c>
      <c r="B51" s="159">
        <f t="shared" ref="B51:H51" si="90">RH5</f>
        <v>0</v>
      </c>
      <c r="C51" s="159">
        <f t="shared" si="90"/>
        <v>0</v>
      </c>
      <c r="D51" s="72">
        <f t="shared" si="90"/>
        <v>0</v>
      </c>
      <c r="E51" s="141">
        <f t="shared" si="90"/>
        <v>0</v>
      </c>
      <c r="F51" s="107">
        <f t="shared" si="90"/>
        <v>0</v>
      </c>
      <c r="G51" s="74">
        <f t="shared" si="90"/>
        <v>0</v>
      </c>
      <c r="H51" s="136">
        <f t="shared" si="90"/>
        <v>0</v>
      </c>
      <c r="I51" s="107">
        <f t="shared" si="70"/>
        <v>0</v>
      </c>
      <c r="JE51" s="76">
        <v>1</v>
      </c>
    </row>
    <row r="52" spans="1:265" x14ac:dyDescent="0.25">
      <c r="A52" s="143">
        <v>49</v>
      </c>
      <c r="B52" s="159">
        <f t="shared" ref="B52:H52" si="91">RQ5</f>
        <v>0</v>
      </c>
      <c r="C52" s="159">
        <f t="shared" si="91"/>
        <v>0</v>
      </c>
      <c r="D52" s="72">
        <f t="shared" si="91"/>
        <v>0</v>
      </c>
      <c r="E52" s="141">
        <f t="shared" si="91"/>
        <v>0</v>
      </c>
      <c r="F52" s="107">
        <f t="shared" si="91"/>
        <v>0</v>
      </c>
      <c r="G52" s="74">
        <f t="shared" si="91"/>
        <v>0</v>
      </c>
      <c r="H52" s="136">
        <f t="shared" si="91"/>
        <v>0</v>
      </c>
      <c r="I52" s="107">
        <f t="shared" si="70"/>
        <v>0</v>
      </c>
    </row>
    <row r="53" spans="1:265" x14ac:dyDescent="0.25">
      <c r="A53" s="143">
        <v>50</v>
      </c>
      <c r="B53" s="159">
        <f t="shared" ref="B53:H53" si="92">RZ5</f>
        <v>0</v>
      </c>
      <c r="C53" s="159">
        <f t="shared" si="92"/>
        <v>0</v>
      </c>
      <c r="D53" s="72">
        <f t="shared" si="92"/>
        <v>0</v>
      </c>
      <c r="E53" s="141">
        <f t="shared" si="92"/>
        <v>0</v>
      </c>
      <c r="F53" s="107">
        <f t="shared" si="92"/>
        <v>0</v>
      </c>
      <c r="G53" s="74">
        <f t="shared" si="92"/>
        <v>0</v>
      </c>
      <c r="H53" s="136">
        <f t="shared" si="92"/>
        <v>0</v>
      </c>
      <c r="I53" s="107">
        <f t="shared" si="70"/>
        <v>0</v>
      </c>
    </row>
    <row r="54" spans="1:265" x14ac:dyDescent="0.25">
      <c r="A54" s="143">
        <v>51</v>
      </c>
      <c r="B54" s="76">
        <f t="shared" ref="B54:H54" si="93">SI5</f>
        <v>0</v>
      </c>
      <c r="C54" s="76">
        <f t="shared" si="93"/>
        <v>0</v>
      </c>
      <c r="D54" s="72">
        <f t="shared" si="93"/>
        <v>0</v>
      </c>
      <c r="E54" s="141">
        <f t="shared" si="93"/>
        <v>0</v>
      </c>
      <c r="F54" s="107">
        <f t="shared" si="93"/>
        <v>0</v>
      </c>
      <c r="G54" s="74">
        <f t="shared" si="93"/>
        <v>0</v>
      </c>
      <c r="H54" s="136">
        <f t="shared" si="93"/>
        <v>0</v>
      </c>
      <c r="I54" s="107">
        <f t="shared" si="70"/>
        <v>0</v>
      </c>
    </row>
    <row r="55" spans="1:265" x14ac:dyDescent="0.25">
      <c r="A55" s="143">
        <v>52</v>
      </c>
      <c r="B55" s="76">
        <f t="shared" ref="B55:H55" si="94">SR5</f>
        <v>0</v>
      </c>
      <c r="C55" s="76">
        <f t="shared" si="94"/>
        <v>0</v>
      </c>
      <c r="D55" s="72">
        <f t="shared" si="94"/>
        <v>0</v>
      </c>
      <c r="E55" s="141">
        <f t="shared" si="94"/>
        <v>0</v>
      </c>
      <c r="F55" s="107">
        <f t="shared" si="94"/>
        <v>0</v>
      </c>
      <c r="G55" s="74">
        <f t="shared" si="94"/>
        <v>0</v>
      </c>
      <c r="H55" s="136">
        <f t="shared" si="94"/>
        <v>0</v>
      </c>
      <c r="I55" s="107">
        <f t="shared" si="70"/>
        <v>0</v>
      </c>
    </row>
    <row r="56" spans="1:265" x14ac:dyDescent="0.25">
      <c r="A56" s="143">
        <v>53</v>
      </c>
      <c r="B56" s="76">
        <f>TA5</f>
        <v>0</v>
      </c>
      <c r="C56" s="76">
        <f>TB5</f>
        <v>0</v>
      </c>
      <c r="D56" s="72">
        <f>TC5</f>
        <v>0</v>
      </c>
      <c r="E56" s="141">
        <f>SU5</f>
        <v>0</v>
      </c>
      <c r="F56" s="107">
        <f>TE5</f>
        <v>0</v>
      </c>
      <c r="G56" s="74">
        <f>TF5</f>
        <v>0</v>
      </c>
      <c r="H56" s="136">
        <f>TG5</f>
        <v>0</v>
      </c>
      <c r="I56" s="107">
        <f t="shared" si="70"/>
        <v>0</v>
      </c>
    </row>
    <row r="57" spans="1:265" x14ac:dyDescent="0.25">
      <c r="A57" s="143">
        <v>54</v>
      </c>
      <c r="B57" s="76">
        <f t="shared" ref="B57:H57" si="95">TJ5</f>
        <v>0</v>
      </c>
      <c r="C57" s="76">
        <f t="shared" si="95"/>
        <v>0</v>
      </c>
      <c r="D57" s="72">
        <f t="shared" si="95"/>
        <v>0</v>
      </c>
      <c r="E57" s="141">
        <f t="shared" si="95"/>
        <v>0</v>
      </c>
      <c r="F57" s="107">
        <f t="shared" si="95"/>
        <v>0</v>
      </c>
      <c r="G57" s="164">
        <f t="shared" si="95"/>
        <v>0</v>
      </c>
      <c r="H57" s="136">
        <f t="shared" si="95"/>
        <v>0</v>
      </c>
      <c r="I57" s="107">
        <f t="shared" si="70"/>
        <v>0</v>
      </c>
    </row>
    <row r="58" spans="1:265" x14ac:dyDescent="0.25">
      <c r="A58" s="143">
        <v>55</v>
      </c>
      <c r="B58" s="76">
        <f t="shared" ref="B58:H58" si="96">TS5</f>
        <v>0</v>
      </c>
      <c r="C58" s="76">
        <f t="shared" si="96"/>
        <v>0</v>
      </c>
      <c r="D58" s="72">
        <f t="shared" si="96"/>
        <v>0</v>
      </c>
      <c r="E58" s="141">
        <f t="shared" si="96"/>
        <v>0</v>
      </c>
      <c r="F58" s="107">
        <f t="shared" si="96"/>
        <v>0</v>
      </c>
      <c r="G58" s="74">
        <f t="shared" si="96"/>
        <v>0</v>
      </c>
      <c r="H58" s="136">
        <f t="shared" si="96"/>
        <v>0</v>
      </c>
      <c r="I58" s="107">
        <f t="shared" si="70"/>
        <v>0</v>
      </c>
    </row>
    <row r="59" spans="1:265" x14ac:dyDescent="0.25">
      <c r="A59" s="143">
        <v>56</v>
      </c>
      <c r="B59" s="76">
        <f t="shared" ref="B59:H59" si="97">UB5</f>
        <v>0</v>
      </c>
      <c r="C59" s="76">
        <f t="shared" si="97"/>
        <v>0</v>
      </c>
      <c r="D59" s="72">
        <f t="shared" si="97"/>
        <v>0</v>
      </c>
      <c r="E59" s="141">
        <f t="shared" si="97"/>
        <v>0</v>
      </c>
      <c r="F59" s="107">
        <f t="shared" si="97"/>
        <v>0</v>
      </c>
      <c r="G59" s="74">
        <f t="shared" si="97"/>
        <v>0</v>
      </c>
      <c r="H59" s="136">
        <f t="shared" si="97"/>
        <v>0</v>
      </c>
      <c r="I59" s="107">
        <f t="shared" si="70"/>
        <v>0</v>
      </c>
    </row>
    <row r="60" spans="1:265" x14ac:dyDescent="0.25">
      <c r="A60" s="143">
        <v>57</v>
      </c>
      <c r="B60" s="76">
        <f t="shared" ref="B60:H60" si="98">UK5</f>
        <v>0</v>
      </c>
      <c r="C60" s="76">
        <f t="shared" si="98"/>
        <v>0</v>
      </c>
      <c r="D60" s="72">
        <f t="shared" si="98"/>
        <v>0</v>
      </c>
      <c r="E60" s="141">
        <f t="shared" si="98"/>
        <v>0</v>
      </c>
      <c r="F60" s="107">
        <f t="shared" si="98"/>
        <v>0</v>
      </c>
      <c r="G60" s="74">
        <f t="shared" si="98"/>
        <v>0</v>
      </c>
      <c r="H60" s="136">
        <f t="shared" si="98"/>
        <v>0</v>
      </c>
      <c r="I60" s="107">
        <f t="shared" si="70"/>
        <v>0</v>
      </c>
    </row>
    <row r="61" spans="1:265" x14ac:dyDescent="0.25">
      <c r="A61" s="143">
        <v>58</v>
      </c>
      <c r="B61" s="76">
        <f>UT5</f>
        <v>0</v>
      </c>
      <c r="C61" s="76">
        <f t="shared" ref="C61:H61" si="99">UU5</f>
        <v>0</v>
      </c>
      <c r="D61" s="72">
        <f t="shared" si="99"/>
        <v>0</v>
      </c>
      <c r="E61" s="141">
        <f t="shared" si="99"/>
        <v>0</v>
      </c>
      <c r="F61" s="107">
        <f t="shared" si="99"/>
        <v>0</v>
      </c>
      <c r="G61" s="74">
        <f t="shared" si="99"/>
        <v>0</v>
      </c>
      <c r="H61" s="438">
        <f t="shared" si="99"/>
        <v>0</v>
      </c>
      <c r="I61" s="107">
        <f t="shared" si="70"/>
        <v>0</v>
      </c>
    </row>
    <row r="62" spans="1:265" x14ac:dyDescent="0.25">
      <c r="A62" s="143">
        <v>59</v>
      </c>
      <c r="B62" s="439">
        <f t="shared" ref="B62:H62" si="100">VC5</f>
        <v>0</v>
      </c>
      <c r="C62" s="439">
        <f t="shared" si="100"/>
        <v>0</v>
      </c>
      <c r="D62" s="440">
        <f t="shared" si="100"/>
        <v>0</v>
      </c>
      <c r="E62" s="441">
        <f t="shared" si="100"/>
        <v>0</v>
      </c>
      <c r="F62" s="442">
        <f t="shared" si="100"/>
        <v>0</v>
      </c>
      <c r="G62" s="443">
        <f t="shared" si="100"/>
        <v>0</v>
      </c>
      <c r="H62" s="438">
        <f t="shared" si="100"/>
        <v>0</v>
      </c>
      <c r="I62" s="107">
        <f t="shared" si="70"/>
        <v>0</v>
      </c>
    </row>
    <row r="63" spans="1:265" x14ac:dyDescent="0.25">
      <c r="A63" s="143">
        <v>60</v>
      </c>
      <c r="B63" s="439">
        <f>VL5</f>
        <v>0</v>
      </c>
      <c r="C63" s="439">
        <f>VM5</f>
        <v>0</v>
      </c>
      <c r="D63" s="440">
        <f>VN5</f>
        <v>0</v>
      </c>
      <c r="E63" s="441">
        <f>VO5</f>
        <v>0</v>
      </c>
      <c r="F63" s="442">
        <f>VP5</f>
        <v>0</v>
      </c>
      <c r="G63" s="444">
        <f>VZ5</f>
        <v>0</v>
      </c>
      <c r="H63" s="438">
        <f>VR5</f>
        <v>0</v>
      </c>
      <c r="I63" s="107">
        <f t="shared" si="70"/>
        <v>0</v>
      </c>
    </row>
    <row r="64" spans="1:265" x14ac:dyDescent="0.25">
      <c r="A64" s="143">
        <v>61</v>
      </c>
      <c r="B64" s="439">
        <f t="shared" ref="B64:H64" si="101">VU5</f>
        <v>0</v>
      </c>
      <c r="C64" s="440">
        <f t="shared" si="101"/>
        <v>0</v>
      </c>
      <c r="D64" s="440">
        <f t="shared" si="101"/>
        <v>0</v>
      </c>
      <c r="E64" s="441">
        <f t="shared" si="101"/>
        <v>0</v>
      </c>
      <c r="F64" s="442">
        <f t="shared" si="101"/>
        <v>0</v>
      </c>
      <c r="G64" s="444">
        <f t="shared" si="101"/>
        <v>0</v>
      </c>
      <c r="H64" s="438">
        <f t="shared" si="101"/>
        <v>0</v>
      </c>
      <c r="I64" s="107">
        <f t="shared" si="70"/>
        <v>0</v>
      </c>
    </row>
    <row r="65" spans="1:9" x14ac:dyDescent="0.25">
      <c r="A65" s="143">
        <v>62</v>
      </c>
      <c r="B65" s="439">
        <f t="shared" ref="B65:H65" si="102">WD5</f>
        <v>0</v>
      </c>
      <c r="C65" s="439">
        <f t="shared" si="102"/>
        <v>0</v>
      </c>
      <c r="D65" s="440">
        <f t="shared" si="102"/>
        <v>0</v>
      </c>
      <c r="E65" s="441">
        <f t="shared" si="102"/>
        <v>0</v>
      </c>
      <c r="F65" s="442">
        <f t="shared" si="102"/>
        <v>0</v>
      </c>
      <c r="G65" s="444">
        <f t="shared" si="102"/>
        <v>0</v>
      </c>
      <c r="H65" s="438">
        <f t="shared" si="102"/>
        <v>0</v>
      </c>
      <c r="I65" s="107">
        <f t="shared" si="70"/>
        <v>0</v>
      </c>
    </row>
    <row r="66" spans="1:9" x14ac:dyDescent="0.25">
      <c r="A66" s="143">
        <v>63</v>
      </c>
      <c r="B66" s="439">
        <f t="shared" ref="B66:H66" si="103">WM5</f>
        <v>0</v>
      </c>
      <c r="C66" s="439">
        <f t="shared" si="103"/>
        <v>0</v>
      </c>
      <c r="D66" s="440">
        <f t="shared" si="103"/>
        <v>0</v>
      </c>
      <c r="E66" s="441">
        <f t="shared" si="103"/>
        <v>0</v>
      </c>
      <c r="F66" s="442">
        <f t="shared" si="103"/>
        <v>0</v>
      </c>
      <c r="G66" s="444">
        <f t="shared" si="103"/>
        <v>0</v>
      </c>
      <c r="H66" s="438">
        <f t="shared" si="103"/>
        <v>0</v>
      </c>
      <c r="I66" s="107">
        <f t="shared" si="70"/>
        <v>0</v>
      </c>
    </row>
    <row r="67" spans="1:9" x14ac:dyDescent="0.25">
      <c r="A67" s="143">
        <v>64</v>
      </c>
      <c r="B67" s="439">
        <f t="shared" ref="B67:H67" si="104">WV5</f>
        <v>0</v>
      </c>
      <c r="C67" s="439">
        <f t="shared" si="104"/>
        <v>0</v>
      </c>
      <c r="D67" s="440">
        <f t="shared" si="104"/>
        <v>0</v>
      </c>
      <c r="E67" s="441">
        <f t="shared" si="104"/>
        <v>0</v>
      </c>
      <c r="F67" s="442">
        <f t="shared" si="104"/>
        <v>0</v>
      </c>
      <c r="G67" s="444">
        <f t="shared" si="104"/>
        <v>0</v>
      </c>
      <c r="H67" s="438">
        <f t="shared" si="104"/>
        <v>0</v>
      </c>
      <c r="I67" s="107">
        <f t="shared" si="70"/>
        <v>0</v>
      </c>
    </row>
    <row r="68" spans="1:9" x14ac:dyDescent="0.25">
      <c r="A68" s="143">
        <v>65</v>
      </c>
      <c r="B68" s="439">
        <f t="shared" ref="B68:H68" si="105">XE5</f>
        <v>0</v>
      </c>
      <c r="C68" s="439">
        <f t="shared" si="105"/>
        <v>0</v>
      </c>
      <c r="D68" s="440">
        <f t="shared" si="105"/>
        <v>0</v>
      </c>
      <c r="E68" s="441">
        <f t="shared" si="105"/>
        <v>0</v>
      </c>
      <c r="F68" s="442">
        <f t="shared" si="105"/>
        <v>0</v>
      </c>
      <c r="G68" s="444">
        <f t="shared" si="105"/>
        <v>0</v>
      </c>
      <c r="H68" s="438">
        <f t="shared" si="105"/>
        <v>0</v>
      </c>
      <c r="I68" s="107">
        <f t="shared" si="70"/>
        <v>0</v>
      </c>
    </row>
    <row r="69" spans="1:9" x14ac:dyDescent="0.25">
      <c r="A69" s="143">
        <v>66</v>
      </c>
      <c r="B69" s="439">
        <f t="shared" ref="B69:H69" si="106">XN5</f>
        <v>0</v>
      </c>
      <c r="C69" s="439">
        <f t="shared" si="106"/>
        <v>0</v>
      </c>
      <c r="D69" s="440">
        <f t="shared" si="106"/>
        <v>0</v>
      </c>
      <c r="E69" s="441">
        <f t="shared" si="106"/>
        <v>0</v>
      </c>
      <c r="F69" s="442">
        <f t="shared" si="106"/>
        <v>0</v>
      </c>
      <c r="G69" s="444">
        <f t="shared" si="106"/>
        <v>0</v>
      </c>
      <c r="H69" s="438">
        <f t="shared" si="106"/>
        <v>0</v>
      </c>
      <c r="I69" s="107">
        <f t="shared" si="70"/>
        <v>0</v>
      </c>
    </row>
    <row r="70" spans="1:9" x14ac:dyDescent="0.25">
      <c r="A70" s="143">
        <v>67</v>
      </c>
      <c r="B70" s="439">
        <f t="shared" ref="B70:H70" si="107">XW5</f>
        <v>0</v>
      </c>
      <c r="C70" s="439">
        <f t="shared" si="107"/>
        <v>0</v>
      </c>
      <c r="D70" s="440">
        <f t="shared" si="107"/>
        <v>0</v>
      </c>
      <c r="E70" s="441">
        <f t="shared" si="107"/>
        <v>0</v>
      </c>
      <c r="F70" s="442">
        <f t="shared" si="107"/>
        <v>0</v>
      </c>
      <c r="G70" s="444">
        <f t="shared" si="107"/>
        <v>0</v>
      </c>
      <c r="H70" s="438">
        <f t="shared" si="107"/>
        <v>0</v>
      </c>
      <c r="I70" s="107">
        <f t="shared" si="70"/>
        <v>0</v>
      </c>
    </row>
    <row r="71" spans="1:9" x14ac:dyDescent="0.25">
      <c r="A71" s="143">
        <v>68</v>
      </c>
      <c r="B71" s="445">
        <f t="shared" ref="B71:H71" si="108">YF5</f>
        <v>0</v>
      </c>
      <c r="C71" s="439">
        <f t="shared" si="108"/>
        <v>0</v>
      </c>
      <c r="D71" s="440">
        <f t="shared" si="108"/>
        <v>0</v>
      </c>
      <c r="E71" s="441">
        <f t="shared" si="108"/>
        <v>0</v>
      </c>
      <c r="F71" s="442">
        <f t="shared" si="108"/>
        <v>0</v>
      </c>
      <c r="G71" s="444">
        <f t="shared" si="108"/>
        <v>0</v>
      </c>
      <c r="H71" s="438">
        <f t="shared" si="108"/>
        <v>0</v>
      </c>
      <c r="I71" s="107">
        <f t="shared" si="70"/>
        <v>0</v>
      </c>
    </row>
    <row r="72" spans="1:9" x14ac:dyDescent="0.25">
      <c r="A72" s="143">
        <v>69</v>
      </c>
      <c r="B72" s="439">
        <f t="shared" ref="B72:H72" si="109">YO5</f>
        <v>0</v>
      </c>
      <c r="C72" s="439">
        <f t="shared" si="109"/>
        <v>0</v>
      </c>
      <c r="D72" s="440">
        <f t="shared" si="109"/>
        <v>0</v>
      </c>
      <c r="E72" s="441">
        <f t="shared" si="109"/>
        <v>0</v>
      </c>
      <c r="F72" s="442">
        <f t="shared" si="109"/>
        <v>0</v>
      </c>
      <c r="G72" s="444">
        <f t="shared" si="109"/>
        <v>0</v>
      </c>
      <c r="H72" s="438">
        <f t="shared" si="109"/>
        <v>0</v>
      </c>
      <c r="I72" s="107">
        <f t="shared" si="70"/>
        <v>0</v>
      </c>
    </row>
    <row r="73" spans="1:9" x14ac:dyDescent="0.25">
      <c r="A73" s="143">
        <v>70</v>
      </c>
      <c r="B73" s="439">
        <f t="shared" ref="B73:H73" si="110">YX5</f>
        <v>0</v>
      </c>
      <c r="C73" s="439">
        <f t="shared" si="110"/>
        <v>0</v>
      </c>
      <c r="D73" s="440">
        <f t="shared" si="110"/>
        <v>0</v>
      </c>
      <c r="E73" s="441">
        <f t="shared" si="110"/>
        <v>0</v>
      </c>
      <c r="F73" s="442">
        <f t="shared" si="110"/>
        <v>0</v>
      </c>
      <c r="G73" s="444">
        <f t="shared" si="110"/>
        <v>0</v>
      </c>
      <c r="H73" s="438">
        <f t="shared" si="110"/>
        <v>0</v>
      </c>
      <c r="I73" s="107">
        <f t="shared" si="70"/>
        <v>0</v>
      </c>
    </row>
    <row r="74" spans="1:9" x14ac:dyDescent="0.25">
      <c r="A74" s="143">
        <v>71</v>
      </c>
      <c r="B74" s="439">
        <f t="shared" ref="B74:H74" si="111">ZG5</f>
        <v>0</v>
      </c>
      <c r="C74" s="439">
        <f t="shared" si="111"/>
        <v>0</v>
      </c>
      <c r="D74" s="440">
        <f t="shared" si="111"/>
        <v>0</v>
      </c>
      <c r="E74" s="441">
        <f t="shared" si="111"/>
        <v>0</v>
      </c>
      <c r="F74" s="442">
        <f t="shared" si="111"/>
        <v>0</v>
      </c>
      <c r="G74" s="444">
        <f t="shared" si="111"/>
        <v>0</v>
      </c>
      <c r="H74" s="438">
        <f t="shared" si="111"/>
        <v>0</v>
      </c>
      <c r="I74" s="107">
        <f t="shared" si="70"/>
        <v>0</v>
      </c>
    </row>
    <row r="75" spans="1:9" x14ac:dyDescent="0.25">
      <c r="A75" s="143">
        <v>72</v>
      </c>
      <c r="B75" s="439">
        <f t="shared" ref="B75:H75" si="112">ZP5</f>
        <v>0</v>
      </c>
      <c r="C75" s="439">
        <f t="shared" si="112"/>
        <v>0</v>
      </c>
      <c r="D75" s="440">
        <f t="shared" si="112"/>
        <v>0</v>
      </c>
      <c r="E75" s="441">
        <f t="shared" si="112"/>
        <v>0</v>
      </c>
      <c r="F75" s="442">
        <f t="shared" si="112"/>
        <v>0</v>
      </c>
      <c r="G75" s="444">
        <f t="shared" si="112"/>
        <v>0</v>
      </c>
      <c r="H75" s="438">
        <f t="shared" si="112"/>
        <v>0</v>
      </c>
      <c r="I75" s="107">
        <f t="shared" si="70"/>
        <v>0</v>
      </c>
    </row>
    <row r="76" spans="1:9" x14ac:dyDescent="0.25">
      <c r="A76" s="143">
        <v>73</v>
      </c>
      <c r="B76" s="439">
        <f t="shared" ref="B76:G76" si="113">ZY5</f>
        <v>0</v>
      </c>
      <c r="C76" s="439">
        <f t="shared" si="113"/>
        <v>0</v>
      </c>
      <c r="D76" s="440">
        <f t="shared" si="113"/>
        <v>0</v>
      </c>
      <c r="E76" s="441">
        <f t="shared" si="113"/>
        <v>0</v>
      </c>
      <c r="F76" s="442">
        <f t="shared" si="113"/>
        <v>0</v>
      </c>
      <c r="G76" s="444">
        <f t="shared" si="113"/>
        <v>0</v>
      </c>
      <c r="H76" s="438">
        <f>AAN5</f>
        <v>0</v>
      </c>
      <c r="I76" s="107">
        <f t="shared" si="70"/>
        <v>0</v>
      </c>
    </row>
    <row r="77" spans="1:9" x14ac:dyDescent="0.25">
      <c r="A77" s="143">
        <v>74</v>
      </c>
      <c r="B77" s="439">
        <f t="shared" ref="B77:H77" si="114">AAH5</f>
        <v>0</v>
      </c>
      <c r="C77" s="439">
        <f t="shared" si="114"/>
        <v>0</v>
      </c>
      <c r="D77" s="440">
        <f t="shared" si="114"/>
        <v>0</v>
      </c>
      <c r="E77" s="441">
        <f t="shared" si="114"/>
        <v>0</v>
      </c>
      <c r="F77" s="442">
        <f t="shared" si="114"/>
        <v>0</v>
      </c>
      <c r="G77" s="444">
        <f t="shared" si="114"/>
        <v>0</v>
      </c>
      <c r="H77" s="438">
        <f t="shared" si="114"/>
        <v>0</v>
      </c>
      <c r="I77" s="107">
        <f t="shared" si="70"/>
        <v>0</v>
      </c>
    </row>
    <row r="78" spans="1:9" x14ac:dyDescent="0.25">
      <c r="A78" s="143">
        <v>75</v>
      </c>
      <c r="B78" s="439">
        <f t="shared" ref="B78:H78" si="115">AAQ5</f>
        <v>0</v>
      </c>
      <c r="C78" s="439">
        <f t="shared" si="115"/>
        <v>0</v>
      </c>
      <c r="D78" s="440">
        <f t="shared" si="115"/>
        <v>0</v>
      </c>
      <c r="E78" s="441">
        <f t="shared" si="115"/>
        <v>0</v>
      </c>
      <c r="F78" s="442">
        <f t="shared" si="115"/>
        <v>0</v>
      </c>
      <c r="G78" s="444">
        <f t="shared" si="115"/>
        <v>0</v>
      </c>
      <c r="H78" s="438">
        <f t="shared" si="115"/>
        <v>0</v>
      </c>
      <c r="I78" s="107">
        <f t="shared" si="70"/>
        <v>0</v>
      </c>
    </row>
    <row r="79" spans="1:9" x14ac:dyDescent="0.25">
      <c r="A79" s="143">
        <v>76</v>
      </c>
      <c r="B79" s="439">
        <f>AAZ5</f>
        <v>0</v>
      </c>
      <c r="C79" s="439">
        <f>ABA5</f>
        <v>0</v>
      </c>
      <c r="D79" s="440">
        <f>ABB5</f>
        <v>0</v>
      </c>
      <c r="E79" s="441">
        <f>ABC5</f>
        <v>0</v>
      </c>
      <c r="F79" s="442">
        <f>ABD5</f>
        <v>0</v>
      </c>
      <c r="G79" s="444">
        <f>ABN5</f>
        <v>0</v>
      </c>
      <c r="H79" s="438">
        <f>ABF5</f>
        <v>0</v>
      </c>
      <c r="I79" s="107">
        <f t="shared" si="70"/>
        <v>0</v>
      </c>
    </row>
    <row r="80" spans="1:9" x14ac:dyDescent="0.25">
      <c r="A80" s="143">
        <v>77</v>
      </c>
      <c r="B80" s="76">
        <f t="shared" ref="B80:H80" si="116">ABI5</f>
        <v>0</v>
      </c>
      <c r="C80" s="76">
        <f t="shared" si="116"/>
        <v>0</v>
      </c>
      <c r="D80" s="72">
        <f t="shared" si="116"/>
        <v>0</v>
      </c>
      <c r="E80" s="141">
        <f t="shared" si="116"/>
        <v>0</v>
      </c>
      <c r="F80" s="107">
        <f t="shared" si="116"/>
        <v>0</v>
      </c>
      <c r="G80" s="74">
        <f t="shared" si="116"/>
        <v>0</v>
      </c>
      <c r="H80" s="136">
        <f t="shared" si="116"/>
        <v>0</v>
      </c>
      <c r="I80" s="107">
        <f t="shared" si="70"/>
        <v>0</v>
      </c>
    </row>
    <row r="81" spans="1:9" x14ac:dyDescent="0.25">
      <c r="A81" s="143">
        <v>78</v>
      </c>
      <c r="B81" s="439">
        <f t="shared" ref="B81:H81" si="117">ABR5</f>
        <v>0</v>
      </c>
      <c r="C81" s="439">
        <f t="shared" si="117"/>
        <v>0</v>
      </c>
      <c r="D81" s="440">
        <f t="shared" si="117"/>
        <v>0</v>
      </c>
      <c r="E81" s="441">
        <f t="shared" si="117"/>
        <v>0</v>
      </c>
      <c r="F81" s="442">
        <f t="shared" si="117"/>
        <v>0</v>
      </c>
      <c r="G81" s="444">
        <f t="shared" si="117"/>
        <v>0</v>
      </c>
      <c r="H81" s="438">
        <f t="shared" si="117"/>
        <v>0</v>
      </c>
      <c r="I81" s="107">
        <f t="shared" si="70"/>
        <v>0</v>
      </c>
    </row>
    <row r="82" spans="1:9" x14ac:dyDescent="0.25">
      <c r="A82" s="143">
        <v>79</v>
      </c>
      <c r="B82" s="439">
        <f>ACA5</f>
        <v>0</v>
      </c>
      <c r="C82" s="439">
        <f>ACB5</f>
        <v>0</v>
      </c>
      <c r="D82" s="440">
        <f>ACC5</f>
        <v>0</v>
      </c>
      <c r="E82" s="441">
        <f>ABU5</f>
        <v>0</v>
      </c>
      <c r="F82" s="442">
        <f>ACE5</f>
        <v>0</v>
      </c>
      <c r="G82" s="446">
        <f>ACF5</f>
        <v>0</v>
      </c>
      <c r="H82" s="438">
        <f>ACG5</f>
        <v>0</v>
      </c>
      <c r="I82" s="107">
        <f t="shared" si="70"/>
        <v>0</v>
      </c>
    </row>
    <row r="83" spans="1:9" x14ac:dyDescent="0.25">
      <c r="A83" s="143">
        <v>80</v>
      </c>
      <c r="B83" s="439">
        <f t="shared" ref="B83:H83" si="118">ACJ5</f>
        <v>0</v>
      </c>
      <c r="C83" s="439">
        <f t="shared" si="118"/>
        <v>0</v>
      </c>
      <c r="D83" s="440">
        <f t="shared" si="118"/>
        <v>0</v>
      </c>
      <c r="E83" s="441">
        <f t="shared" si="118"/>
        <v>0</v>
      </c>
      <c r="F83" s="442">
        <f t="shared" si="118"/>
        <v>0</v>
      </c>
      <c r="G83" s="444">
        <f t="shared" si="118"/>
        <v>0</v>
      </c>
      <c r="H83" s="438">
        <f t="shared" si="118"/>
        <v>0</v>
      </c>
      <c r="I83" s="107">
        <f t="shared" si="70"/>
        <v>0</v>
      </c>
    </row>
    <row r="84" spans="1:9" x14ac:dyDescent="0.25">
      <c r="A84" s="143">
        <v>81</v>
      </c>
      <c r="B84" s="439">
        <f>ACS5</f>
        <v>0</v>
      </c>
      <c r="C84" s="439">
        <f>ACT5</f>
        <v>0</v>
      </c>
      <c r="D84" s="440">
        <f>ACU5</f>
        <v>0</v>
      </c>
      <c r="E84" s="441">
        <f>ACV5</f>
        <v>0</v>
      </c>
      <c r="F84" s="442">
        <f>ACW5</f>
        <v>0</v>
      </c>
      <c r="G84" s="446">
        <f>ADP5</f>
        <v>0</v>
      </c>
      <c r="H84" s="438">
        <f>ACY5</f>
        <v>0</v>
      </c>
      <c r="I84" s="107">
        <f t="shared" si="70"/>
        <v>0</v>
      </c>
    </row>
    <row r="85" spans="1:9" x14ac:dyDescent="0.25">
      <c r="A85" s="143">
        <v>82</v>
      </c>
      <c r="B85" s="439">
        <f>ADB5</f>
        <v>0</v>
      </c>
      <c r="C85" s="439">
        <f>ADC5</f>
        <v>0</v>
      </c>
      <c r="D85" s="440">
        <f>ADD5</f>
        <v>0</v>
      </c>
      <c r="E85" s="441">
        <f>ADE5</f>
        <v>0</v>
      </c>
      <c r="F85" s="442">
        <f>ADX5</f>
        <v>0</v>
      </c>
      <c r="G85" s="446">
        <f>ADG5</f>
        <v>0</v>
      </c>
      <c r="H85" s="438">
        <f>ADH5</f>
        <v>0</v>
      </c>
      <c r="I85" s="107">
        <f t="shared" si="70"/>
        <v>0</v>
      </c>
    </row>
    <row r="86" spans="1:9" x14ac:dyDescent="0.25">
      <c r="A86" s="143">
        <v>83</v>
      </c>
      <c r="B86" s="439">
        <f t="shared" ref="B86:H86" si="119">ADK5</f>
        <v>0</v>
      </c>
      <c r="C86" s="439">
        <f t="shared" si="119"/>
        <v>0</v>
      </c>
      <c r="D86" s="440">
        <f t="shared" si="119"/>
        <v>0</v>
      </c>
      <c r="E86" s="441">
        <f t="shared" si="119"/>
        <v>0</v>
      </c>
      <c r="F86" s="442">
        <f t="shared" si="119"/>
        <v>0</v>
      </c>
      <c r="G86" s="444">
        <f t="shared" si="119"/>
        <v>0</v>
      </c>
      <c r="H86" s="438">
        <f t="shared" si="119"/>
        <v>0</v>
      </c>
      <c r="I86" s="107">
        <f t="shared" si="70"/>
        <v>0</v>
      </c>
    </row>
    <row r="87" spans="1:9" x14ac:dyDescent="0.25">
      <c r="A87" s="143">
        <v>84</v>
      </c>
      <c r="B87" s="439">
        <f t="shared" ref="B87:H87" si="120">ADT5</f>
        <v>0</v>
      </c>
      <c r="C87" s="439">
        <f t="shared" si="120"/>
        <v>0</v>
      </c>
      <c r="D87" s="440">
        <f t="shared" si="120"/>
        <v>0</v>
      </c>
      <c r="E87" s="441">
        <f t="shared" si="120"/>
        <v>0</v>
      </c>
      <c r="F87" s="442">
        <f t="shared" si="120"/>
        <v>0</v>
      </c>
      <c r="G87" s="444">
        <f t="shared" si="120"/>
        <v>0</v>
      </c>
      <c r="H87" s="438">
        <f t="shared" si="120"/>
        <v>0</v>
      </c>
      <c r="I87" s="442">
        <f t="shared" si="70"/>
        <v>0</v>
      </c>
    </row>
    <row r="88" spans="1:9" x14ac:dyDescent="0.25">
      <c r="A88" s="143">
        <v>85</v>
      </c>
      <c r="B88" s="76">
        <f t="shared" ref="B88:H88" si="121">AEC5</f>
        <v>0</v>
      </c>
      <c r="C88" s="76">
        <f t="shared" si="121"/>
        <v>0</v>
      </c>
      <c r="D88" s="72">
        <f t="shared" si="121"/>
        <v>0</v>
      </c>
      <c r="E88" s="141">
        <f t="shared" si="121"/>
        <v>0</v>
      </c>
      <c r="F88" s="107">
        <f t="shared" si="121"/>
        <v>0</v>
      </c>
      <c r="G88" s="74">
        <f t="shared" si="121"/>
        <v>0</v>
      </c>
      <c r="H88" s="136">
        <f t="shared" si="121"/>
        <v>0</v>
      </c>
      <c r="I88" s="107">
        <f t="shared" si="70"/>
        <v>0</v>
      </c>
    </row>
    <row r="89" spans="1:9" x14ac:dyDescent="0.25">
      <c r="I89" s="107">
        <f t="shared" si="70"/>
        <v>0</v>
      </c>
    </row>
    <row r="90" spans="1:9" x14ac:dyDescent="0.25">
      <c r="I90" s="107">
        <f t="shared" si="70"/>
        <v>0</v>
      </c>
    </row>
    <row r="91" spans="1:9" x14ac:dyDescent="0.25">
      <c r="I91" s="107">
        <f t="shared" si="70"/>
        <v>0</v>
      </c>
    </row>
    <row r="92" spans="1:9" x14ac:dyDescent="0.25">
      <c r="I92" s="107">
        <f t="shared" si="70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22" sqref="B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2" t="s">
        <v>246</v>
      </c>
      <c r="B1" s="1162"/>
      <c r="C1" s="1162"/>
      <c r="D1" s="1162"/>
      <c r="E1" s="1162"/>
      <c r="F1" s="1162"/>
      <c r="G1" s="116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5"/>
      <c r="B4" s="1196"/>
      <c r="C4" s="494"/>
      <c r="D4" s="275"/>
      <c r="E4" s="358"/>
      <c r="F4" s="328"/>
      <c r="G4" s="253"/>
    </row>
    <row r="5" spans="1:10" ht="15" customHeight="1" x14ac:dyDescent="0.25">
      <c r="A5" s="1190"/>
      <c r="B5" s="1197"/>
      <c r="C5" s="568"/>
      <c r="D5" s="326"/>
      <c r="E5" s="327"/>
      <c r="F5" s="328"/>
      <c r="G5" s="317">
        <f>F52</f>
        <v>0</v>
      </c>
      <c r="H5" s="59">
        <f>E4+E5+E6-G5</f>
        <v>0</v>
      </c>
    </row>
    <row r="6" spans="1:10" ht="16.5" thickBot="1" x14ac:dyDescent="0.3">
      <c r="A6" s="1191"/>
      <c r="B6" s="1198"/>
      <c r="C6" s="569"/>
      <c r="D6" s="476"/>
      <c r="E6" s="359"/>
      <c r="F6" s="330"/>
      <c r="G6" s="253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0" ht="15.75" thickTop="1" x14ac:dyDescent="0.25">
      <c r="A8" s="81" t="s">
        <v>32</v>
      </c>
      <c r="B8" s="84"/>
      <c r="C8" s="15"/>
      <c r="D8" s="314">
        <v>0</v>
      </c>
      <c r="E8" s="661"/>
      <c r="F8" s="70">
        <f t="shared" ref="F8:F51" si="0">D8</f>
        <v>0</v>
      </c>
      <c r="G8" s="278"/>
      <c r="H8" s="279"/>
      <c r="I8" s="312">
        <f>E5+E4-F8+E6</f>
        <v>0</v>
      </c>
      <c r="J8" s="313">
        <f>F4+F5+F6-C8</f>
        <v>0</v>
      </c>
    </row>
    <row r="9" spans="1:10" x14ac:dyDescent="0.25">
      <c r="A9" s="217"/>
      <c r="B9" s="84"/>
      <c r="C9" s="15"/>
      <c r="D9" s="314">
        <v>0</v>
      </c>
      <c r="E9" s="661"/>
      <c r="F9" s="70">
        <f t="shared" si="0"/>
        <v>0</v>
      </c>
      <c r="G9" s="278"/>
      <c r="H9" s="279"/>
      <c r="I9" s="312">
        <f>I8-F9</f>
        <v>0</v>
      </c>
      <c r="J9" s="313">
        <f>J8-C9</f>
        <v>0</v>
      </c>
    </row>
    <row r="10" spans="1:10" x14ac:dyDescent="0.25">
      <c r="A10" s="205"/>
      <c r="B10" s="84"/>
      <c r="C10" s="15"/>
      <c r="D10" s="314">
        <v>0</v>
      </c>
      <c r="E10" s="141"/>
      <c r="F10" s="70">
        <f t="shared" si="0"/>
        <v>0</v>
      </c>
      <c r="G10" s="278"/>
      <c r="H10" s="279"/>
      <c r="I10" s="312">
        <f t="shared" ref="I10:I19" si="1">I9-F10</f>
        <v>0</v>
      </c>
      <c r="J10" s="313">
        <f t="shared" ref="J10:J50" si="2">J9-C10</f>
        <v>0</v>
      </c>
    </row>
    <row r="11" spans="1:10" x14ac:dyDescent="0.25">
      <c r="A11" s="83" t="s">
        <v>33</v>
      </c>
      <c r="B11" s="84"/>
      <c r="C11" s="15"/>
      <c r="D11" s="314">
        <v>0</v>
      </c>
      <c r="E11" s="141"/>
      <c r="F11" s="277">
        <f t="shared" si="0"/>
        <v>0</v>
      </c>
      <c r="G11" s="278"/>
      <c r="H11" s="279"/>
      <c r="I11" s="312">
        <f t="shared" si="1"/>
        <v>0</v>
      </c>
      <c r="J11" s="313">
        <f t="shared" si="2"/>
        <v>0</v>
      </c>
    </row>
    <row r="12" spans="1:10" x14ac:dyDescent="0.25">
      <c r="A12" s="74"/>
      <c r="B12" s="84"/>
      <c r="C12" s="15"/>
      <c r="D12" s="314">
        <v>0</v>
      </c>
      <c r="E12" s="141"/>
      <c r="F12" s="277">
        <f t="shared" si="0"/>
        <v>0</v>
      </c>
      <c r="G12" s="278"/>
      <c r="H12" s="279"/>
      <c r="I12" s="312">
        <f t="shared" si="1"/>
        <v>0</v>
      </c>
      <c r="J12" s="313">
        <f t="shared" si="2"/>
        <v>0</v>
      </c>
    </row>
    <row r="13" spans="1:10" x14ac:dyDescent="0.25">
      <c r="A13" s="74"/>
      <c r="B13" s="84"/>
      <c r="C13" s="15"/>
      <c r="D13" s="314">
        <v>0</v>
      </c>
      <c r="E13" s="141"/>
      <c r="F13" s="277">
        <f t="shared" si="0"/>
        <v>0</v>
      </c>
      <c r="G13" s="278"/>
      <c r="H13" s="279"/>
      <c r="I13" s="312">
        <f t="shared" si="1"/>
        <v>0</v>
      </c>
      <c r="J13" s="313">
        <f t="shared" si="2"/>
        <v>0</v>
      </c>
    </row>
    <row r="14" spans="1:10" x14ac:dyDescent="0.25">
      <c r="B14" s="84"/>
      <c r="C14" s="276"/>
      <c r="D14" s="314">
        <v>0</v>
      </c>
      <c r="E14" s="258"/>
      <c r="F14" s="277">
        <f t="shared" si="0"/>
        <v>0</v>
      </c>
      <c r="G14" s="278"/>
      <c r="H14" s="279"/>
      <c r="I14" s="312">
        <f t="shared" si="1"/>
        <v>0</v>
      </c>
      <c r="J14" s="313">
        <f t="shared" si="2"/>
        <v>0</v>
      </c>
    </row>
    <row r="15" spans="1:10" x14ac:dyDescent="0.25">
      <c r="B15" s="84"/>
      <c r="C15" s="15"/>
      <c r="D15" s="314">
        <v>0</v>
      </c>
      <c r="E15" s="563"/>
      <c r="F15" s="277">
        <f t="shared" si="0"/>
        <v>0</v>
      </c>
      <c r="G15" s="278"/>
      <c r="H15" s="279"/>
      <c r="I15" s="312">
        <f t="shared" si="1"/>
        <v>0</v>
      </c>
      <c r="J15" s="313">
        <f t="shared" si="2"/>
        <v>0</v>
      </c>
    </row>
    <row r="16" spans="1:10" x14ac:dyDescent="0.25">
      <c r="A16" s="82"/>
      <c r="B16" s="84"/>
      <c r="C16" s="15"/>
      <c r="D16" s="314">
        <f t="shared" ref="D16:D53" si="3">C16*B16</f>
        <v>0</v>
      </c>
      <c r="E16" s="563"/>
      <c r="F16" s="277">
        <f t="shared" si="0"/>
        <v>0</v>
      </c>
      <c r="G16" s="278"/>
      <c r="H16" s="279"/>
      <c r="I16" s="312">
        <f t="shared" si="1"/>
        <v>0</v>
      </c>
      <c r="J16" s="313">
        <f t="shared" si="2"/>
        <v>0</v>
      </c>
    </row>
    <row r="17" spans="1:10" x14ac:dyDescent="0.25">
      <c r="A17" s="84"/>
      <c r="B17" s="84"/>
      <c r="C17" s="15"/>
      <c r="D17" s="314">
        <f t="shared" si="3"/>
        <v>0</v>
      </c>
      <c r="E17" s="563"/>
      <c r="F17" s="277">
        <f t="shared" si="0"/>
        <v>0</v>
      </c>
      <c r="G17" s="278"/>
      <c r="H17" s="279"/>
      <c r="I17" s="312">
        <f t="shared" si="1"/>
        <v>0</v>
      </c>
      <c r="J17" s="313">
        <f t="shared" si="2"/>
        <v>0</v>
      </c>
    </row>
    <row r="18" spans="1:10" x14ac:dyDescent="0.25">
      <c r="A18" s="2"/>
      <c r="B18" s="84"/>
      <c r="C18" s="15"/>
      <c r="D18" s="314">
        <f t="shared" si="3"/>
        <v>0</v>
      </c>
      <c r="E18" s="1036"/>
      <c r="F18" s="277">
        <f t="shared" si="0"/>
        <v>0</v>
      </c>
      <c r="G18" s="278"/>
      <c r="H18" s="279"/>
      <c r="I18" s="312">
        <f t="shared" si="1"/>
        <v>0</v>
      </c>
      <c r="J18" s="313">
        <f t="shared" si="2"/>
        <v>0</v>
      </c>
    </row>
    <row r="19" spans="1:10" x14ac:dyDescent="0.25">
      <c r="A19" s="2"/>
      <c r="B19" s="84"/>
      <c r="C19" s="15"/>
      <c r="D19" s="314">
        <f t="shared" si="3"/>
        <v>0</v>
      </c>
      <c r="E19" s="1036"/>
      <c r="F19" s="277">
        <f t="shared" si="0"/>
        <v>0</v>
      </c>
      <c r="G19" s="278"/>
      <c r="H19" s="279"/>
      <c r="I19" s="312">
        <f t="shared" si="1"/>
        <v>0</v>
      </c>
      <c r="J19" s="313">
        <f t="shared" si="2"/>
        <v>0</v>
      </c>
    </row>
    <row r="20" spans="1:10" x14ac:dyDescent="0.25">
      <c r="A20" s="2"/>
      <c r="B20" s="84"/>
      <c r="C20" s="15"/>
      <c r="D20" s="314">
        <f t="shared" si="3"/>
        <v>0</v>
      </c>
      <c r="E20" s="258"/>
      <c r="F20" s="277">
        <f t="shared" si="0"/>
        <v>0</v>
      </c>
      <c r="G20" s="278"/>
      <c r="H20" s="279"/>
      <c r="I20" s="312">
        <f>I19-F20</f>
        <v>0</v>
      </c>
      <c r="J20" s="313">
        <f t="shared" si="2"/>
        <v>0</v>
      </c>
    </row>
    <row r="21" spans="1:10" x14ac:dyDescent="0.25">
      <c r="A21" s="2"/>
      <c r="B21" s="84"/>
      <c r="C21" s="15"/>
      <c r="D21" s="314">
        <f t="shared" si="3"/>
        <v>0</v>
      </c>
      <c r="E21" s="258"/>
      <c r="F21" s="277">
        <f t="shared" si="0"/>
        <v>0</v>
      </c>
      <c r="G21" s="278"/>
      <c r="H21" s="279"/>
      <c r="I21" s="312">
        <f t="shared" ref="I21:I50" si="4">I20-F21</f>
        <v>0</v>
      </c>
      <c r="J21" s="313">
        <f t="shared" si="2"/>
        <v>0</v>
      </c>
    </row>
    <row r="22" spans="1:10" x14ac:dyDescent="0.25">
      <c r="A22" s="2"/>
      <c r="B22" s="84"/>
      <c r="C22" s="15"/>
      <c r="D22" s="314">
        <f t="shared" si="3"/>
        <v>0</v>
      </c>
      <c r="E22" s="258"/>
      <c r="F22" s="277">
        <f t="shared" si="0"/>
        <v>0</v>
      </c>
      <c r="G22" s="278"/>
      <c r="H22" s="279"/>
      <c r="I22" s="312">
        <f t="shared" si="4"/>
        <v>0</v>
      </c>
      <c r="J22" s="313">
        <f t="shared" si="2"/>
        <v>0</v>
      </c>
    </row>
    <row r="23" spans="1:10" x14ac:dyDescent="0.25">
      <c r="A23" s="2"/>
      <c r="B23" s="84"/>
      <c r="C23" s="15"/>
      <c r="D23" s="314">
        <f t="shared" si="3"/>
        <v>0</v>
      </c>
      <c r="E23" s="258"/>
      <c r="F23" s="277">
        <f t="shared" si="0"/>
        <v>0</v>
      </c>
      <c r="G23" s="278"/>
      <c r="H23" s="279"/>
      <c r="I23" s="312">
        <f t="shared" si="4"/>
        <v>0</v>
      </c>
      <c r="J23" s="313">
        <f t="shared" si="2"/>
        <v>0</v>
      </c>
    </row>
    <row r="24" spans="1:10" x14ac:dyDescent="0.25">
      <c r="A24" s="2"/>
      <c r="B24" s="84"/>
      <c r="C24" s="15"/>
      <c r="D24" s="314">
        <f t="shared" si="3"/>
        <v>0</v>
      </c>
      <c r="E24" s="1037"/>
      <c r="F24" s="277">
        <f t="shared" si="0"/>
        <v>0</v>
      </c>
      <c r="G24" s="278"/>
      <c r="H24" s="279"/>
      <c r="I24" s="312">
        <f t="shared" si="4"/>
        <v>0</v>
      </c>
      <c r="J24" s="313">
        <f t="shared" si="2"/>
        <v>0</v>
      </c>
    </row>
    <row r="25" spans="1:10" x14ac:dyDescent="0.25">
      <c r="A25" s="2"/>
      <c r="B25" s="84"/>
      <c r="C25" s="15"/>
      <c r="D25" s="314">
        <f t="shared" si="3"/>
        <v>0</v>
      </c>
      <c r="E25" s="661"/>
      <c r="F25" s="70">
        <f t="shared" si="0"/>
        <v>0</v>
      </c>
      <c r="G25" s="278"/>
      <c r="H25" s="279"/>
      <c r="I25" s="312">
        <f t="shared" si="4"/>
        <v>0</v>
      </c>
      <c r="J25" s="313">
        <f t="shared" si="2"/>
        <v>0</v>
      </c>
    </row>
    <row r="26" spans="1:10" x14ac:dyDescent="0.25">
      <c r="A26" s="2"/>
      <c r="B26" s="84"/>
      <c r="C26" s="15"/>
      <c r="D26" s="314">
        <f t="shared" si="3"/>
        <v>0</v>
      </c>
      <c r="E26" s="661"/>
      <c r="F26" s="70">
        <f t="shared" si="0"/>
        <v>0</v>
      </c>
      <c r="G26" s="278"/>
      <c r="H26" s="279"/>
      <c r="I26" s="312">
        <f t="shared" si="4"/>
        <v>0</v>
      </c>
      <c r="J26" s="313">
        <f t="shared" si="2"/>
        <v>0</v>
      </c>
    </row>
    <row r="27" spans="1:10" x14ac:dyDescent="0.25">
      <c r="A27" s="197"/>
      <c r="B27" s="84"/>
      <c r="C27" s="15"/>
      <c r="D27" s="314">
        <f t="shared" si="3"/>
        <v>0</v>
      </c>
      <c r="E27" s="661"/>
      <c r="F27" s="70">
        <f t="shared" si="0"/>
        <v>0</v>
      </c>
      <c r="G27" s="278"/>
      <c r="H27" s="279"/>
      <c r="I27" s="312">
        <f t="shared" si="4"/>
        <v>0</v>
      </c>
      <c r="J27" s="313">
        <f t="shared" si="2"/>
        <v>0</v>
      </c>
    </row>
    <row r="28" spans="1:10" x14ac:dyDescent="0.25">
      <c r="A28" s="197"/>
      <c r="B28" s="84"/>
      <c r="C28" s="15"/>
      <c r="D28" s="314">
        <f t="shared" si="3"/>
        <v>0</v>
      </c>
      <c r="E28" s="141"/>
      <c r="F28" s="70">
        <f t="shared" si="0"/>
        <v>0</v>
      </c>
      <c r="G28" s="278"/>
      <c r="H28" s="279"/>
      <c r="I28" s="312">
        <f t="shared" si="4"/>
        <v>0</v>
      </c>
      <c r="J28" s="313">
        <f t="shared" si="2"/>
        <v>0</v>
      </c>
    </row>
    <row r="29" spans="1:10" x14ac:dyDescent="0.25">
      <c r="A29" s="197"/>
      <c r="B29" s="84"/>
      <c r="C29" s="15"/>
      <c r="D29" s="314">
        <f t="shared" si="3"/>
        <v>0</v>
      </c>
      <c r="E29" s="141"/>
      <c r="F29" s="70">
        <f t="shared" si="0"/>
        <v>0</v>
      </c>
      <c r="G29" s="278"/>
      <c r="H29" s="279"/>
      <c r="I29" s="312">
        <f t="shared" si="4"/>
        <v>0</v>
      </c>
      <c r="J29" s="313">
        <f t="shared" si="2"/>
        <v>0</v>
      </c>
    </row>
    <row r="30" spans="1:10" x14ac:dyDescent="0.25">
      <c r="A30" s="197"/>
      <c r="B30" s="84"/>
      <c r="C30" s="15"/>
      <c r="D30" s="314">
        <f t="shared" si="3"/>
        <v>0</v>
      </c>
      <c r="E30" s="141"/>
      <c r="F30" s="70">
        <f t="shared" si="0"/>
        <v>0</v>
      </c>
      <c r="G30" s="278"/>
      <c r="H30" s="279"/>
      <c r="I30" s="312">
        <f t="shared" si="4"/>
        <v>0</v>
      </c>
      <c r="J30" s="313">
        <f t="shared" si="2"/>
        <v>0</v>
      </c>
    </row>
    <row r="31" spans="1:10" x14ac:dyDescent="0.25">
      <c r="A31" s="197"/>
      <c r="B31" s="84"/>
      <c r="C31" s="15"/>
      <c r="D31" s="314">
        <f t="shared" si="3"/>
        <v>0</v>
      </c>
      <c r="E31" s="141"/>
      <c r="F31" s="70">
        <f t="shared" si="0"/>
        <v>0</v>
      </c>
      <c r="G31" s="278"/>
      <c r="H31" s="279"/>
      <c r="I31" s="312">
        <f t="shared" si="4"/>
        <v>0</v>
      </c>
      <c r="J31" s="313">
        <f t="shared" si="2"/>
        <v>0</v>
      </c>
    </row>
    <row r="32" spans="1:10" x14ac:dyDescent="0.25">
      <c r="A32" s="2"/>
      <c r="B32" s="84"/>
      <c r="C32" s="276"/>
      <c r="D32" s="314">
        <f t="shared" si="3"/>
        <v>0</v>
      </c>
      <c r="E32" s="258"/>
      <c r="F32" s="277">
        <f t="shared" si="0"/>
        <v>0</v>
      </c>
      <c r="G32" s="278"/>
      <c r="H32" s="279"/>
      <c r="I32" s="312">
        <f t="shared" si="4"/>
        <v>0</v>
      </c>
      <c r="J32" s="313">
        <f t="shared" si="2"/>
        <v>0</v>
      </c>
    </row>
    <row r="33" spans="1:10" x14ac:dyDescent="0.25">
      <c r="A33" s="2"/>
      <c r="B33" s="84"/>
      <c r="C33" s="15"/>
      <c r="D33" s="314">
        <f t="shared" si="3"/>
        <v>0</v>
      </c>
      <c r="E33" s="563"/>
      <c r="F33" s="70">
        <f t="shared" si="0"/>
        <v>0</v>
      </c>
      <c r="G33" s="278"/>
      <c r="H33" s="279"/>
      <c r="I33" s="248">
        <f t="shared" si="4"/>
        <v>0</v>
      </c>
      <c r="J33" s="249">
        <f t="shared" si="2"/>
        <v>0</v>
      </c>
    </row>
    <row r="34" spans="1:10" x14ac:dyDescent="0.25">
      <c r="A34" s="2"/>
      <c r="B34" s="84"/>
      <c r="C34" s="15"/>
      <c r="D34" s="314">
        <f t="shared" si="3"/>
        <v>0</v>
      </c>
      <c r="E34" s="563"/>
      <c r="F34" s="70">
        <f t="shared" si="0"/>
        <v>0</v>
      </c>
      <c r="G34" s="278"/>
      <c r="H34" s="279"/>
      <c r="I34" s="248">
        <f t="shared" si="4"/>
        <v>0</v>
      </c>
      <c r="J34" s="249">
        <f t="shared" si="2"/>
        <v>0</v>
      </c>
    </row>
    <row r="35" spans="1:10" x14ac:dyDescent="0.25">
      <c r="A35" s="2"/>
      <c r="B35" s="84"/>
      <c r="C35" s="15"/>
      <c r="D35" s="314">
        <f t="shared" si="3"/>
        <v>0</v>
      </c>
      <c r="E35" s="563"/>
      <c r="F35" s="70">
        <f t="shared" si="0"/>
        <v>0</v>
      </c>
      <c r="G35" s="278"/>
      <c r="H35" s="279"/>
      <c r="I35" s="312">
        <f t="shared" si="4"/>
        <v>0</v>
      </c>
      <c r="J35" s="313">
        <f t="shared" si="2"/>
        <v>0</v>
      </c>
    </row>
    <row r="36" spans="1:10" x14ac:dyDescent="0.25">
      <c r="A36" s="2"/>
      <c r="B36" s="84"/>
      <c r="C36" s="15"/>
      <c r="D36" s="314">
        <f t="shared" si="3"/>
        <v>0</v>
      </c>
      <c r="E36" s="563"/>
      <c r="F36" s="70">
        <f t="shared" si="0"/>
        <v>0</v>
      </c>
      <c r="G36" s="278"/>
      <c r="H36" s="279"/>
      <c r="I36" s="312">
        <f t="shared" si="4"/>
        <v>0</v>
      </c>
      <c r="J36" s="313">
        <f t="shared" si="2"/>
        <v>0</v>
      </c>
    </row>
    <row r="37" spans="1:10" x14ac:dyDescent="0.25">
      <c r="A37" s="2"/>
      <c r="B37" s="84"/>
      <c r="C37" s="15"/>
      <c r="D37" s="314">
        <f t="shared" si="3"/>
        <v>0</v>
      </c>
      <c r="E37" s="563" t="s">
        <v>41</v>
      </c>
      <c r="F37" s="70">
        <f t="shared" si="0"/>
        <v>0</v>
      </c>
      <c r="G37" s="278"/>
      <c r="H37" s="279"/>
      <c r="I37" s="312">
        <f t="shared" si="4"/>
        <v>0</v>
      </c>
      <c r="J37" s="313">
        <f t="shared" si="2"/>
        <v>0</v>
      </c>
    </row>
    <row r="38" spans="1:10" x14ac:dyDescent="0.25">
      <c r="A38" s="2"/>
      <c r="B38" s="84"/>
      <c r="C38" s="15"/>
      <c r="D38" s="314">
        <f t="shared" si="3"/>
        <v>0</v>
      </c>
      <c r="E38" s="141"/>
      <c r="F38" s="70">
        <f t="shared" si="0"/>
        <v>0</v>
      </c>
      <c r="G38" s="278"/>
      <c r="H38" s="279"/>
      <c r="I38" s="312">
        <f t="shared" si="4"/>
        <v>0</v>
      </c>
      <c r="J38" s="313">
        <f t="shared" si="2"/>
        <v>0</v>
      </c>
    </row>
    <row r="39" spans="1:10" x14ac:dyDescent="0.25">
      <c r="A39" s="2"/>
      <c r="B39" s="84"/>
      <c r="C39" s="15"/>
      <c r="D39" s="314">
        <f t="shared" si="3"/>
        <v>0</v>
      </c>
      <c r="E39" s="563"/>
      <c r="F39" s="70">
        <f t="shared" si="0"/>
        <v>0</v>
      </c>
      <c r="G39" s="278"/>
      <c r="H39" s="279"/>
      <c r="I39" s="312">
        <f t="shared" si="4"/>
        <v>0</v>
      </c>
      <c r="J39" s="313">
        <f t="shared" si="2"/>
        <v>0</v>
      </c>
    </row>
    <row r="40" spans="1:10" x14ac:dyDescent="0.25">
      <c r="A40" s="2"/>
      <c r="B40" s="84"/>
      <c r="C40" s="15"/>
      <c r="D40" s="314">
        <f t="shared" si="3"/>
        <v>0</v>
      </c>
      <c r="E40" s="563"/>
      <c r="F40" s="70">
        <f t="shared" si="0"/>
        <v>0</v>
      </c>
      <c r="G40" s="278"/>
      <c r="H40" s="279"/>
      <c r="I40" s="312">
        <f t="shared" si="4"/>
        <v>0</v>
      </c>
      <c r="J40" s="313">
        <f t="shared" si="2"/>
        <v>0</v>
      </c>
    </row>
    <row r="41" spans="1:10" x14ac:dyDescent="0.25">
      <c r="A41" s="2"/>
      <c r="B41" s="84"/>
      <c r="C41" s="15"/>
      <c r="D41" s="314">
        <f t="shared" si="3"/>
        <v>0</v>
      </c>
      <c r="E41" s="563"/>
      <c r="F41" s="70">
        <f t="shared" si="0"/>
        <v>0</v>
      </c>
      <c r="G41" s="278"/>
      <c r="H41" s="279"/>
      <c r="I41" s="248">
        <f t="shared" si="4"/>
        <v>0</v>
      </c>
      <c r="J41" s="249">
        <f t="shared" si="2"/>
        <v>0</v>
      </c>
    </row>
    <row r="42" spans="1:10" x14ac:dyDescent="0.25">
      <c r="A42" s="2"/>
      <c r="B42" s="84"/>
      <c r="C42" s="15"/>
      <c r="D42" s="314">
        <f t="shared" si="3"/>
        <v>0</v>
      </c>
      <c r="E42" s="563"/>
      <c r="F42" s="70">
        <f t="shared" si="0"/>
        <v>0</v>
      </c>
      <c r="G42" s="71"/>
      <c r="H42" s="72"/>
      <c r="I42" s="248">
        <f t="shared" si="4"/>
        <v>0</v>
      </c>
      <c r="J42" s="249">
        <f t="shared" si="2"/>
        <v>0</v>
      </c>
    </row>
    <row r="43" spans="1:10" x14ac:dyDescent="0.25">
      <c r="A43" s="2"/>
      <c r="B43" s="84"/>
      <c r="C43" s="15"/>
      <c r="D43" s="314">
        <f t="shared" si="3"/>
        <v>0</v>
      </c>
      <c r="E43" s="563"/>
      <c r="F43" s="70">
        <f t="shared" si="0"/>
        <v>0</v>
      </c>
      <c r="G43" s="71"/>
      <c r="H43" s="72"/>
      <c r="I43" s="248">
        <f t="shared" si="4"/>
        <v>0</v>
      </c>
      <c r="J43" s="249">
        <f t="shared" si="2"/>
        <v>0</v>
      </c>
    </row>
    <row r="44" spans="1:10" x14ac:dyDescent="0.25">
      <c r="A44" s="2"/>
      <c r="B44" s="84"/>
      <c r="C44" s="15"/>
      <c r="D44" s="314">
        <f t="shared" si="3"/>
        <v>0</v>
      </c>
      <c r="E44" s="563"/>
      <c r="F44" s="70">
        <f t="shared" si="0"/>
        <v>0</v>
      </c>
      <c r="G44" s="71"/>
      <c r="H44" s="72"/>
      <c r="I44" s="248">
        <f t="shared" si="4"/>
        <v>0</v>
      </c>
      <c r="J44" s="249">
        <f t="shared" si="2"/>
        <v>0</v>
      </c>
    </row>
    <row r="45" spans="1:10" x14ac:dyDescent="0.25">
      <c r="A45" s="2"/>
      <c r="B45" s="84"/>
      <c r="C45" s="15"/>
      <c r="D45" s="314">
        <f t="shared" si="3"/>
        <v>0</v>
      </c>
      <c r="E45" s="563"/>
      <c r="F45" s="70">
        <f t="shared" si="0"/>
        <v>0</v>
      </c>
      <c r="G45" s="71"/>
      <c r="H45" s="72"/>
      <c r="I45" s="248">
        <f t="shared" si="4"/>
        <v>0</v>
      </c>
      <c r="J45" s="249">
        <f t="shared" si="2"/>
        <v>0</v>
      </c>
    </row>
    <row r="46" spans="1:10" x14ac:dyDescent="0.25">
      <c r="A46" s="2"/>
      <c r="B46" s="84"/>
      <c r="C46" s="15"/>
      <c r="D46" s="314">
        <f t="shared" si="3"/>
        <v>0</v>
      </c>
      <c r="E46" s="563"/>
      <c r="F46" s="70">
        <f t="shared" si="0"/>
        <v>0</v>
      </c>
      <c r="G46" s="71"/>
      <c r="H46" s="72"/>
      <c r="I46" s="248">
        <f t="shared" si="4"/>
        <v>0</v>
      </c>
      <c r="J46" s="249">
        <f t="shared" si="2"/>
        <v>0</v>
      </c>
    </row>
    <row r="47" spans="1:10" x14ac:dyDescent="0.25">
      <c r="A47" s="2"/>
      <c r="B47" s="84"/>
      <c r="C47" s="15"/>
      <c r="D47" s="314">
        <f t="shared" si="3"/>
        <v>0</v>
      </c>
      <c r="E47" s="563"/>
      <c r="F47" s="70">
        <f t="shared" si="0"/>
        <v>0</v>
      </c>
      <c r="G47" s="71"/>
      <c r="H47" s="72"/>
      <c r="I47" s="248">
        <f t="shared" si="4"/>
        <v>0</v>
      </c>
      <c r="J47" s="249">
        <f t="shared" si="2"/>
        <v>0</v>
      </c>
    </row>
    <row r="48" spans="1:10" x14ac:dyDescent="0.25">
      <c r="A48" s="2"/>
      <c r="B48" s="84"/>
      <c r="C48" s="15"/>
      <c r="D48" s="314">
        <f t="shared" si="3"/>
        <v>0</v>
      </c>
      <c r="E48" s="563"/>
      <c r="F48" s="70">
        <f t="shared" si="0"/>
        <v>0</v>
      </c>
      <c r="G48" s="71"/>
      <c r="H48" s="72"/>
      <c r="I48" s="248">
        <f t="shared" si="4"/>
        <v>0</v>
      </c>
      <c r="J48" s="249">
        <f t="shared" si="2"/>
        <v>0</v>
      </c>
    </row>
    <row r="49" spans="1:10" x14ac:dyDescent="0.25">
      <c r="A49" s="2"/>
      <c r="B49" s="84"/>
      <c r="C49" s="15"/>
      <c r="D49" s="314">
        <f t="shared" si="3"/>
        <v>0</v>
      </c>
      <c r="E49" s="563"/>
      <c r="F49" s="70">
        <f t="shared" si="0"/>
        <v>0</v>
      </c>
      <c r="G49" s="71"/>
      <c r="H49" s="72"/>
      <c r="I49" s="248">
        <f t="shared" si="4"/>
        <v>0</v>
      </c>
      <c r="J49" s="249">
        <f t="shared" si="2"/>
        <v>0</v>
      </c>
    </row>
    <row r="50" spans="1:10" x14ac:dyDescent="0.25">
      <c r="A50" s="2"/>
      <c r="B50" s="84"/>
      <c r="C50" s="15"/>
      <c r="D50" s="314">
        <f t="shared" si="3"/>
        <v>0</v>
      </c>
      <c r="E50" s="563"/>
      <c r="F50" s="70">
        <f t="shared" si="0"/>
        <v>0</v>
      </c>
      <c r="G50" s="71"/>
      <c r="H50" s="72"/>
      <c r="I50" s="248">
        <f t="shared" si="4"/>
        <v>0</v>
      </c>
      <c r="J50" s="249">
        <f t="shared" si="2"/>
        <v>0</v>
      </c>
    </row>
    <row r="51" spans="1:10" ht="15.75" thickBot="1" x14ac:dyDescent="0.3">
      <c r="A51" s="4"/>
      <c r="B51" s="75"/>
      <c r="C51" s="37"/>
      <c r="D51" s="666">
        <f t="shared" si="3"/>
        <v>0</v>
      </c>
      <c r="E51" s="351"/>
      <c r="F51" s="225">
        <f t="shared" si="0"/>
        <v>0</v>
      </c>
      <c r="G51" s="226"/>
      <c r="H51" s="216"/>
    </row>
    <row r="52" spans="1:10" ht="16.5" thickTop="1" thickBot="1" x14ac:dyDescent="0.3">
      <c r="C52" s="91">
        <f>SUM(C8:C51)</f>
        <v>0</v>
      </c>
      <c r="D52" s="31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4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94" t="s">
        <v>11</v>
      </c>
      <c r="D55" s="1195"/>
      <c r="E55" s="15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N1" zoomScaleNormal="100" workbookViewId="0">
      <pane ySplit="8" topLeftCell="A24" activePane="bottomLeft" state="frozen"/>
      <selection activeCell="Y1" sqref="Y1"/>
      <selection pane="bottomLeft" activeCell="R38" sqref="R3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72" t="s">
        <v>257</v>
      </c>
      <c r="B1" s="1172"/>
      <c r="C1" s="1172"/>
      <c r="D1" s="1172"/>
      <c r="E1" s="1172"/>
      <c r="F1" s="1172"/>
      <c r="G1" s="1172"/>
      <c r="H1" s="11">
        <v>1</v>
      </c>
      <c r="I1" s="136"/>
      <c r="J1" s="74"/>
      <c r="M1" s="1172" t="str">
        <f>A1</f>
        <v>INVENTARIO DE NOVIEMBRE  2021</v>
      </c>
      <c r="N1" s="1172"/>
      <c r="O1" s="1172"/>
      <c r="P1" s="1172"/>
      <c r="Q1" s="1172"/>
      <c r="R1" s="1172"/>
      <c r="S1" s="1172"/>
      <c r="T1" s="11">
        <v>2</v>
      </c>
      <c r="U1" s="136"/>
      <c r="V1" s="74"/>
      <c r="Y1" s="1176" t="s">
        <v>265</v>
      </c>
      <c r="Z1" s="1176"/>
      <c r="AA1" s="1176"/>
      <c r="AB1" s="1176"/>
      <c r="AC1" s="1176"/>
      <c r="AD1" s="1176"/>
      <c r="AE1" s="1176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2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2"/>
      <c r="AH3" s="74"/>
    </row>
    <row r="4" spans="1:35" ht="15.75" thickTop="1" x14ac:dyDescent="0.25">
      <c r="B4" s="12"/>
      <c r="C4" s="132"/>
      <c r="D4" s="160"/>
      <c r="E4" s="107"/>
      <c r="F4" s="74"/>
      <c r="G4" s="74"/>
      <c r="I4" s="213"/>
      <c r="J4" s="74"/>
      <c r="N4" s="12"/>
      <c r="O4" s="132"/>
      <c r="P4" s="160"/>
      <c r="Q4" s="107"/>
      <c r="R4" s="74"/>
      <c r="S4" s="74"/>
      <c r="U4" s="213"/>
      <c r="V4" s="74"/>
      <c r="Z4" s="12"/>
      <c r="AA4" s="132"/>
      <c r="AB4" s="160"/>
      <c r="AC4" s="107"/>
      <c r="AD4" s="74"/>
      <c r="AE4" s="74"/>
      <c r="AG4" s="213"/>
      <c r="AH4" s="74"/>
    </row>
    <row r="5" spans="1:35" x14ac:dyDescent="0.25">
      <c r="A5" s="74" t="s">
        <v>71</v>
      </c>
      <c r="B5" s="1199" t="s">
        <v>45</v>
      </c>
      <c r="C5" s="222"/>
      <c r="D5" s="160"/>
      <c r="E5" s="107"/>
      <c r="F5" s="74"/>
      <c r="G5" s="5">
        <f>F70</f>
        <v>2074.7799999999997</v>
      </c>
      <c r="H5" s="7">
        <f>E4+E5-G5+E6+E7</f>
        <v>7.0000000003602736E-3</v>
      </c>
      <c r="I5" s="213"/>
      <c r="J5" s="74"/>
      <c r="M5" s="74" t="s">
        <v>71</v>
      </c>
      <c r="N5" s="1199" t="s">
        <v>45</v>
      </c>
      <c r="O5" s="222">
        <v>55</v>
      </c>
      <c r="P5" s="160">
        <v>44526</v>
      </c>
      <c r="Q5" s="107">
        <v>2043</v>
      </c>
      <c r="R5" s="74">
        <v>450</v>
      </c>
      <c r="S5" s="5">
        <f>R70</f>
        <v>1793.2999999999997</v>
      </c>
      <c r="T5" s="7">
        <f>Q4+Q5-S5+Q6+Q7</f>
        <v>272.41000000000025</v>
      </c>
      <c r="U5" s="213"/>
      <c r="V5" s="74"/>
      <c r="Y5" s="74" t="s">
        <v>71</v>
      </c>
      <c r="Z5" s="1199" t="s">
        <v>45</v>
      </c>
      <c r="AA5" s="222">
        <v>55</v>
      </c>
      <c r="AB5" s="160">
        <v>44543</v>
      </c>
      <c r="AC5" s="107">
        <v>2002.14</v>
      </c>
      <c r="AD5" s="74">
        <v>441</v>
      </c>
      <c r="AE5" s="5">
        <f>AD70</f>
        <v>0</v>
      </c>
      <c r="AF5" s="7">
        <f>AC4+AC5-AE5+AC6+AC7</f>
        <v>2002.14</v>
      </c>
      <c r="AG5" s="213"/>
      <c r="AH5" s="74"/>
    </row>
    <row r="6" spans="1:35" x14ac:dyDescent="0.25">
      <c r="B6" s="1199"/>
      <c r="C6" s="222">
        <v>54</v>
      </c>
      <c r="D6" s="160">
        <v>44503</v>
      </c>
      <c r="E6" s="107">
        <v>2002.14</v>
      </c>
      <c r="F6" s="74">
        <v>441</v>
      </c>
      <c r="I6" s="214"/>
      <c r="J6" s="74"/>
      <c r="N6" s="1199"/>
      <c r="O6" s="222"/>
      <c r="P6" s="160"/>
      <c r="Q6" s="107">
        <v>22.71</v>
      </c>
      <c r="R6" s="74">
        <v>5</v>
      </c>
      <c r="U6" s="214"/>
      <c r="V6" s="74"/>
      <c r="Z6" s="1199"/>
      <c r="AA6" s="222"/>
      <c r="AB6" s="160"/>
      <c r="AC6" s="107"/>
      <c r="AD6" s="74"/>
      <c r="AG6" s="214"/>
      <c r="AH6" s="74"/>
    </row>
    <row r="7" spans="1:35" ht="15.75" thickBot="1" x14ac:dyDescent="0.3">
      <c r="B7" s="12"/>
      <c r="C7" s="222"/>
      <c r="D7" s="160"/>
      <c r="E7" s="107">
        <v>72.647000000000006</v>
      </c>
      <c r="F7" s="74">
        <v>16</v>
      </c>
      <c r="I7" s="214"/>
      <c r="J7" s="74"/>
      <c r="N7" s="12"/>
      <c r="O7" s="222"/>
      <c r="P7" s="160"/>
      <c r="Q7" s="107"/>
      <c r="R7" s="74"/>
      <c r="U7" s="214"/>
      <c r="V7" s="74"/>
      <c r="Z7" s="12"/>
      <c r="AA7" s="222"/>
      <c r="AB7" s="160"/>
      <c r="AC7" s="107"/>
      <c r="AD7" s="74"/>
      <c r="AG7" s="214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5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5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5" t="s">
        <v>11</v>
      </c>
      <c r="AH8" s="74"/>
    </row>
    <row r="9" spans="1:35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18">
        <v>44511</v>
      </c>
      <c r="F9" s="70">
        <f t="shared" ref="F9:F31" si="1">D9</f>
        <v>181.6</v>
      </c>
      <c r="G9" s="71" t="s">
        <v>174</v>
      </c>
      <c r="H9" s="72">
        <v>57</v>
      </c>
      <c r="I9" s="213">
        <f>E5+E4+E6+E7-F9</f>
        <v>1893.1870000000004</v>
      </c>
      <c r="J9" s="74">
        <f>F5-C9+F6+F4+F7</f>
        <v>417</v>
      </c>
      <c r="K9" s="61">
        <f>H9*F9</f>
        <v>10351.199999999999</v>
      </c>
      <c r="M9" s="74"/>
      <c r="N9" s="139">
        <v>4.54</v>
      </c>
      <c r="O9" s="15">
        <v>20</v>
      </c>
      <c r="P9" s="70">
        <f t="shared" ref="P9:P69" si="2">O9*N9</f>
        <v>90.8</v>
      </c>
      <c r="Q9" s="218">
        <v>44537</v>
      </c>
      <c r="R9" s="70">
        <f t="shared" ref="R9:R31" si="3">P9</f>
        <v>90.8</v>
      </c>
      <c r="S9" s="71" t="s">
        <v>456</v>
      </c>
      <c r="T9" s="72">
        <v>57</v>
      </c>
      <c r="U9" s="213">
        <f>Q5+Q4+Q6+Q7-R9</f>
        <v>1974.91</v>
      </c>
      <c r="V9" s="74">
        <f>R5-O9+R6+R4+R7</f>
        <v>435</v>
      </c>
      <c r="W9" s="61">
        <f>T9*R9</f>
        <v>5175.5999999999995</v>
      </c>
      <c r="Y9" s="74"/>
      <c r="Z9" s="139">
        <v>4.54</v>
      </c>
      <c r="AA9" s="15"/>
      <c r="AB9" s="70">
        <f t="shared" ref="AB9:AB69" si="4">AA9*Z9</f>
        <v>0</v>
      </c>
      <c r="AC9" s="218"/>
      <c r="AD9" s="70">
        <f t="shared" ref="AD9:AD31" si="5">AB9</f>
        <v>0</v>
      </c>
      <c r="AE9" s="71"/>
      <c r="AF9" s="72"/>
      <c r="AG9" s="213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18">
        <v>44512</v>
      </c>
      <c r="F10" s="70">
        <f t="shared" si="1"/>
        <v>22.7</v>
      </c>
      <c r="G10" s="71" t="s">
        <v>181</v>
      </c>
      <c r="H10" s="72">
        <v>57</v>
      </c>
      <c r="I10" s="213">
        <f>I9-F10</f>
        <v>1870.4870000000003</v>
      </c>
      <c r="J10" s="74">
        <f>J9-C10</f>
        <v>412</v>
      </c>
      <c r="K10" s="61">
        <f t="shared" ref="K10:K68" si="6">H10*F10</f>
        <v>1293.8999999999999</v>
      </c>
      <c r="N10" s="139">
        <v>4.54</v>
      </c>
      <c r="O10" s="15">
        <v>40</v>
      </c>
      <c r="P10" s="70">
        <f t="shared" si="2"/>
        <v>181.6</v>
      </c>
      <c r="Q10" s="218">
        <v>44539</v>
      </c>
      <c r="R10" s="70">
        <f t="shared" si="3"/>
        <v>181.6</v>
      </c>
      <c r="S10" s="71" t="s">
        <v>491</v>
      </c>
      <c r="T10" s="72">
        <v>57</v>
      </c>
      <c r="U10" s="213">
        <f>U9-R10</f>
        <v>1793.3100000000002</v>
      </c>
      <c r="V10" s="74">
        <f>V9-O10</f>
        <v>395</v>
      </c>
      <c r="W10" s="61">
        <f t="shared" ref="W10:W68" si="7">T10*R10</f>
        <v>10351.199999999999</v>
      </c>
      <c r="Z10" s="139">
        <v>4.54</v>
      </c>
      <c r="AA10" s="15"/>
      <c r="AB10" s="70">
        <f t="shared" si="4"/>
        <v>0</v>
      </c>
      <c r="AC10" s="218"/>
      <c r="AD10" s="70">
        <f t="shared" si="5"/>
        <v>0</v>
      </c>
      <c r="AE10" s="71"/>
      <c r="AF10" s="72"/>
      <c r="AG10" s="213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5</v>
      </c>
      <c r="D11" s="70">
        <f t="shared" si="0"/>
        <v>22.7</v>
      </c>
      <c r="E11" s="218">
        <v>44513</v>
      </c>
      <c r="F11" s="70">
        <f t="shared" si="1"/>
        <v>22.7</v>
      </c>
      <c r="G11" s="278" t="s">
        <v>176</v>
      </c>
      <c r="H11" s="279">
        <v>57</v>
      </c>
      <c r="I11" s="293">
        <f t="shared" ref="I11:I68" si="9">I10-F11</f>
        <v>1847.7870000000003</v>
      </c>
      <c r="J11" s="256">
        <f t="shared" ref="J11:J68" si="10">J10-C11</f>
        <v>407</v>
      </c>
      <c r="K11" s="61">
        <f t="shared" si="6"/>
        <v>1293.8999999999999</v>
      </c>
      <c r="M11" s="56" t="s">
        <v>32</v>
      </c>
      <c r="N11" s="139">
        <v>4.54</v>
      </c>
      <c r="O11" s="15">
        <v>8</v>
      </c>
      <c r="P11" s="70">
        <f t="shared" si="2"/>
        <v>36.32</v>
      </c>
      <c r="Q11" s="218">
        <v>44540</v>
      </c>
      <c r="R11" s="70">
        <f t="shared" si="3"/>
        <v>36.32</v>
      </c>
      <c r="S11" s="278" t="s">
        <v>473</v>
      </c>
      <c r="T11" s="279">
        <v>57</v>
      </c>
      <c r="U11" s="293">
        <f t="shared" ref="U11:U68" si="11">U10-R11</f>
        <v>1756.9900000000002</v>
      </c>
      <c r="V11" s="256">
        <f t="shared" ref="V11:V68" si="12">V10-O11</f>
        <v>387</v>
      </c>
      <c r="W11" s="61">
        <f t="shared" si="7"/>
        <v>2070.2400000000002</v>
      </c>
      <c r="Y11" s="56" t="s">
        <v>32</v>
      </c>
      <c r="Z11" s="139">
        <v>4.54</v>
      </c>
      <c r="AA11" s="15"/>
      <c r="AB11" s="70">
        <f t="shared" si="4"/>
        <v>0</v>
      </c>
      <c r="AC11" s="218"/>
      <c r="AD11" s="70">
        <f t="shared" si="5"/>
        <v>0</v>
      </c>
      <c r="AE11" s="278"/>
      <c r="AF11" s="279"/>
      <c r="AG11" s="293">
        <f t="shared" ref="AG11:AG68" si="13">AG10-AD11</f>
        <v>2002.14</v>
      </c>
      <c r="AH11" s="256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18">
        <v>44513</v>
      </c>
      <c r="F12" s="70">
        <f t="shared" si="1"/>
        <v>136.19999999999999</v>
      </c>
      <c r="G12" s="278" t="s">
        <v>170</v>
      </c>
      <c r="H12" s="279">
        <v>57</v>
      </c>
      <c r="I12" s="293">
        <f t="shared" si="9"/>
        <v>1711.5870000000002</v>
      </c>
      <c r="J12" s="256">
        <f t="shared" si="10"/>
        <v>377</v>
      </c>
      <c r="K12" s="61">
        <f t="shared" si="6"/>
        <v>7763.4</v>
      </c>
      <c r="M12" s="86"/>
      <c r="N12" s="139">
        <v>4.54</v>
      </c>
      <c r="O12" s="15">
        <v>15</v>
      </c>
      <c r="P12" s="70">
        <f t="shared" si="2"/>
        <v>68.099999999999994</v>
      </c>
      <c r="Q12" s="218">
        <v>44540</v>
      </c>
      <c r="R12" s="70">
        <f t="shared" si="3"/>
        <v>68.099999999999994</v>
      </c>
      <c r="S12" s="278" t="s">
        <v>498</v>
      </c>
      <c r="T12" s="279">
        <v>57</v>
      </c>
      <c r="U12" s="293">
        <f t="shared" si="11"/>
        <v>1688.8900000000003</v>
      </c>
      <c r="V12" s="256">
        <f t="shared" si="12"/>
        <v>372</v>
      </c>
      <c r="W12" s="61">
        <f t="shared" si="7"/>
        <v>3881.7</v>
      </c>
      <c r="Y12" s="86"/>
      <c r="Z12" s="139">
        <v>4.54</v>
      </c>
      <c r="AA12" s="15"/>
      <c r="AB12" s="70">
        <f t="shared" si="4"/>
        <v>0</v>
      </c>
      <c r="AC12" s="218"/>
      <c r="AD12" s="70">
        <f t="shared" si="5"/>
        <v>0</v>
      </c>
      <c r="AE12" s="278"/>
      <c r="AF12" s="279"/>
      <c r="AG12" s="293">
        <f t="shared" si="13"/>
        <v>2002.14</v>
      </c>
      <c r="AH12" s="256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18">
        <v>44515</v>
      </c>
      <c r="F13" s="70">
        <f t="shared" si="1"/>
        <v>45.4</v>
      </c>
      <c r="G13" s="278" t="s">
        <v>172</v>
      </c>
      <c r="H13" s="279">
        <v>57</v>
      </c>
      <c r="I13" s="293">
        <f t="shared" si="9"/>
        <v>1666.1870000000001</v>
      </c>
      <c r="J13" s="256">
        <f t="shared" si="10"/>
        <v>367</v>
      </c>
      <c r="K13" s="61">
        <f t="shared" si="6"/>
        <v>2587.7999999999997</v>
      </c>
      <c r="N13" s="139">
        <v>4.54</v>
      </c>
      <c r="O13" s="15">
        <v>30</v>
      </c>
      <c r="P13" s="70">
        <f t="shared" si="2"/>
        <v>136.19999999999999</v>
      </c>
      <c r="Q13" s="218">
        <v>44541</v>
      </c>
      <c r="R13" s="70">
        <f t="shared" si="3"/>
        <v>136.19999999999999</v>
      </c>
      <c r="S13" s="278" t="s">
        <v>506</v>
      </c>
      <c r="T13" s="279">
        <v>57</v>
      </c>
      <c r="U13" s="293">
        <f t="shared" si="11"/>
        <v>1552.6900000000003</v>
      </c>
      <c r="V13" s="256">
        <f t="shared" si="12"/>
        <v>342</v>
      </c>
      <c r="W13" s="61">
        <f t="shared" si="7"/>
        <v>7763.4</v>
      </c>
      <c r="Z13" s="139">
        <v>4.54</v>
      </c>
      <c r="AA13" s="15"/>
      <c r="AB13" s="70">
        <f t="shared" si="4"/>
        <v>0</v>
      </c>
      <c r="AC13" s="218"/>
      <c r="AD13" s="70">
        <f t="shared" si="5"/>
        <v>0</v>
      </c>
      <c r="AE13" s="278"/>
      <c r="AF13" s="279"/>
      <c r="AG13" s="293">
        <f t="shared" si="13"/>
        <v>2002.14</v>
      </c>
      <c r="AH13" s="256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5</v>
      </c>
      <c r="D14" s="70">
        <f t="shared" si="0"/>
        <v>22.7</v>
      </c>
      <c r="E14" s="218">
        <v>44516</v>
      </c>
      <c r="F14" s="70">
        <f t="shared" si="1"/>
        <v>22.7</v>
      </c>
      <c r="G14" s="278" t="s">
        <v>187</v>
      </c>
      <c r="H14" s="279">
        <v>57</v>
      </c>
      <c r="I14" s="293">
        <f t="shared" si="9"/>
        <v>1643.4870000000001</v>
      </c>
      <c r="J14" s="256">
        <f t="shared" si="10"/>
        <v>362</v>
      </c>
      <c r="K14" s="61">
        <f t="shared" si="6"/>
        <v>1293.8999999999999</v>
      </c>
      <c r="M14" s="56" t="s">
        <v>33</v>
      </c>
      <c r="N14" s="139">
        <v>4.54</v>
      </c>
      <c r="O14" s="15">
        <v>1</v>
      </c>
      <c r="P14" s="70">
        <f t="shared" si="2"/>
        <v>4.54</v>
      </c>
      <c r="Q14" s="218">
        <v>44543</v>
      </c>
      <c r="R14" s="70">
        <f t="shared" si="3"/>
        <v>4.54</v>
      </c>
      <c r="S14" s="278" t="s">
        <v>485</v>
      </c>
      <c r="T14" s="279">
        <v>57</v>
      </c>
      <c r="U14" s="293">
        <f t="shared" si="11"/>
        <v>1548.1500000000003</v>
      </c>
      <c r="V14" s="256">
        <f t="shared" si="12"/>
        <v>341</v>
      </c>
      <c r="W14" s="61">
        <f t="shared" si="7"/>
        <v>258.78000000000003</v>
      </c>
      <c r="Y14" s="56" t="s">
        <v>33</v>
      </c>
      <c r="Z14" s="139">
        <v>4.54</v>
      </c>
      <c r="AA14" s="15"/>
      <c r="AB14" s="70">
        <f t="shared" si="4"/>
        <v>0</v>
      </c>
      <c r="AC14" s="218"/>
      <c r="AD14" s="70">
        <f t="shared" si="5"/>
        <v>0</v>
      </c>
      <c r="AE14" s="278"/>
      <c r="AF14" s="279"/>
      <c r="AG14" s="293">
        <f t="shared" si="13"/>
        <v>2002.14</v>
      </c>
      <c r="AH14" s="256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1</v>
      </c>
      <c r="D15" s="70">
        <f t="shared" si="0"/>
        <v>4.54</v>
      </c>
      <c r="E15" s="140">
        <v>44517</v>
      </c>
      <c r="F15" s="70">
        <f t="shared" si="1"/>
        <v>4.54</v>
      </c>
      <c r="G15" s="278" t="s">
        <v>171</v>
      </c>
      <c r="H15" s="279">
        <v>57</v>
      </c>
      <c r="I15" s="293">
        <f t="shared" si="9"/>
        <v>1638.9470000000001</v>
      </c>
      <c r="J15" s="256">
        <f t="shared" si="10"/>
        <v>361</v>
      </c>
      <c r="K15" s="61">
        <f t="shared" si="6"/>
        <v>258.78000000000003</v>
      </c>
      <c r="N15" s="139">
        <v>4.54</v>
      </c>
      <c r="O15" s="15">
        <v>5</v>
      </c>
      <c r="P15" s="70">
        <f t="shared" si="2"/>
        <v>22.7</v>
      </c>
      <c r="Q15" s="140">
        <v>44544</v>
      </c>
      <c r="R15" s="70">
        <f t="shared" si="3"/>
        <v>22.7</v>
      </c>
      <c r="S15" s="278" t="s">
        <v>520</v>
      </c>
      <c r="T15" s="279">
        <v>57</v>
      </c>
      <c r="U15" s="293">
        <f t="shared" si="11"/>
        <v>1525.4500000000003</v>
      </c>
      <c r="V15" s="256">
        <f t="shared" si="12"/>
        <v>336</v>
      </c>
      <c r="W15" s="61">
        <f t="shared" si="7"/>
        <v>1293.8999999999999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78"/>
      <c r="AF15" s="279"/>
      <c r="AG15" s="293">
        <f t="shared" si="13"/>
        <v>2002.14</v>
      </c>
      <c r="AH15" s="256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18">
        <v>44517</v>
      </c>
      <c r="F16" s="70">
        <f t="shared" si="1"/>
        <v>136.19999999999999</v>
      </c>
      <c r="G16" s="278" t="s">
        <v>173</v>
      </c>
      <c r="H16" s="279">
        <v>57</v>
      </c>
      <c r="I16" s="293">
        <f t="shared" si="9"/>
        <v>1502.7470000000001</v>
      </c>
      <c r="J16" s="256">
        <f t="shared" si="10"/>
        <v>331</v>
      </c>
      <c r="K16" s="61">
        <f t="shared" si="6"/>
        <v>7763.4</v>
      </c>
      <c r="N16" s="139">
        <v>4.54</v>
      </c>
      <c r="O16" s="15">
        <v>40</v>
      </c>
      <c r="P16" s="70">
        <f t="shared" si="2"/>
        <v>181.6</v>
      </c>
      <c r="Q16" s="218">
        <v>44546</v>
      </c>
      <c r="R16" s="70">
        <f t="shared" si="3"/>
        <v>181.6</v>
      </c>
      <c r="S16" s="278" t="s">
        <v>495</v>
      </c>
      <c r="T16" s="279">
        <v>57</v>
      </c>
      <c r="U16" s="293">
        <f t="shared" si="11"/>
        <v>1343.8500000000004</v>
      </c>
      <c r="V16" s="256">
        <f t="shared" si="12"/>
        <v>296</v>
      </c>
      <c r="W16" s="61">
        <f t="shared" si="7"/>
        <v>10351.199999999999</v>
      </c>
      <c r="Z16" s="139">
        <v>4.54</v>
      </c>
      <c r="AA16" s="15"/>
      <c r="AB16" s="70">
        <f t="shared" si="4"/>
        <v>0</v>
      </c>
      <c r="AC16" s="218"/>
      <c r="AD16" s="70">
        <f t="shared" si="5"/>
        <v>0</v>
      </c>
      <c r="AE16" s="278"/>
      <c r="AF16" s="279"/>
      <c r="AG16" s="293">
        <f t="shared" si="13"/>
        <v>2002.14</v>
      </c>
      <c r="AH16" s="256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10</v>
      </c>
      <c r="D17" s="70">
        <f t="shared" si="0"/>
        <v>45.4</v>
      </c>
      <c r="E17" s="218">
        <v>44517</v>
      </c>
      <c r="F17" s="70">
        <f t="shared" si="1"/>
        <v>45.4</v>
      </c>
      <c r="G17" s="278" t="s">
        <v>190</v>
      </c>
      <c r="H17" s="279">
        <v>57</v>
      </c>
      <c r="I17" s="293">
        <f t="shared" si="9"/>
        <v>1457.347</v>
      </c>
      <c r="J17" s="256">
        <f t="shared" si="10"/>
        <v>321</v>
      </c>
      <c r="K17" s="61">
        <f t="shared" si="6"/>
        <v>2587.7999999999997</v>
      </c>
      <c r="N17" s="139">
        <v>4.54</v>
      </c>
      <c r="O17" s="15">
        <v>30</v>
      </c>
      <c r="P17" s="70">
        <f t="shared" si="2"/>
        <v>136.19999999999999</v>
      </c>
      <c r="Q17" s="218">
        <v>44547</v>
      </c>
      <c r="R17" s="70">
        <f t="shared" si="3"/>
        <v>136.19999999999999</v>
      </c>
      <c r="S17" s="278" t="s">
        <v>536</v>
      </c>
      <c r="T17" s="279">
        <v>57</v>
      </c>
      <c r="U17" s="293">
        <f t="shared" si="11"/>
        <v>1207.6500000000003</v>
      </c>
      <c r="V17" s="256">
        <f t="shared" si="12"/>
        <v>266</v>
      </c>
      <c r="W17" s="61">
        <f t="shared" si="7"/>
        <v>7763.4</v>
      </c>
      <c r="Z17" s="139">
        <v>4.54</v>
      </c>
      <c r="AA17" s="15"/>
      <c r="AB17" s="70">
        <f t="shared" si="4"/>
        <v>0</v>
      </c>
      <c r="AC17" s="218"/>
      <c r="AD17" s="70">
        <f t="shared" si="5"/>
        <v>0</v>
      </c>
      <c r="AE17" s="278"/>
      <c r="AF17" s="279"/>
      <c r="AG17" s="293">
        <f t="shared" si="13"/>
        <v>2002.14</v>
      </c>
      <c r="AH17" s="256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10</v>
      </c>
      <c r="D18" s="70">
        <f t="shared" si="0"/>
        <v>45.4</v>
      </c>
      <c r="E18" s="218">
        <v>44518</v>
      </c>
      <c r="F18" s="70">
        <f t="shared" si="1"/>
        <v>45.4</v>
      </c>
      <c r="G18" s="278" t="s">
        <v>192</v>
      </c>
      <c r="H18" s="279">
        <v>57</v>
      </c>
      <c r="I18" s="293">
        <f t="shared" si="9"/>
        <v>1411.9469999999999</v>
      </c>
      <c r="J18" s="256">
        <f t="shared" si="10"/>
        <v>311</v>
      </c>
      <c r="K18" s="61">
        <f t="shared" si="6"/>
        <v>2587.7999999999997</v>
      </c>
      <c r="N18" s="139">
        <v>4.54</v>
      </c>
      <c r="O18" s="15">
        <v>10</v>
      </c>
      <c r="P18" s="70">
        <f t="shared" si="2"/>
        <v>45.4</v>
      </c>
      <c r="Q18" s="218">
        <v>44548</v>
      </c>
      <c r="R18" s="70">
        <f t="shared" si="3"/>
        <v>45.4</v>
      </c>
      <c r="S18" s="278" t="s">
        <v>540</v>
      </c>
      <c r="T18" s="279">
        <v>57</v>
      </c>
      <c r="U18" s="293">
        <f t="shared" si="11"/>
        <v>1162.2500000000002</v>
      </c>
      <c r="V18" s="256">
        <f t="shared" si="12"/>
        <v>256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18"/>
      <c r="AD18" s="70">
        <f t="shared" si="5"/>
        <v>0</v>
      </c>
      <c r="AE18" s="278"/>
      <c r="AF18" s="279"/>
      <c r="AG18" s="293">
        <f t="shared" si="13"/>
        <v>2002.14</v>
      </c>
      <c r="AH18" s="256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40</v>
      </c>
      <c r="D19" s="70">
        <f t="shared" si="0"/>
        <v>181.6</v>
      </c>
      <c r="E19" s="218">
        <v>44520</v>
      </c>
      <c r="F19" s="70">
        <f t="shared" si="1"/>
        <v>181.6</v>
      </c>
      <c r="G19" s="278" t="s">
        <v>199</v>
      </c>
      <c r="H19" s="279">
        <v>57</v>
      </c>
      <c r="I19" s="293">
        <f t="shared" si="9"/>
        <v>1230.347</v>
      </c>
      <c r="J19" s="256">
        <f t="shared" si="10"/>
        <v>271</v>
      </c>
      <c r="K19" s="61">
        <f t="shared" si="6"/>
        <v>10351.199999999999</v>
      </c>
      <c r="N19" s="139">
        <v>4.54</v>
      </c>
      <c r="O19" s="15">
        <v>2</v>
      </c>
      <c r="P19" s="70">
        <f t="shared" si="2"/>
        <v>9.08</v>
      </c>
      <c r="Q19" s="218">
        <v>44550</v>
      </c>
      <c r="R19" s="70">
        <f t="shared" si="3"/>
        <v>9.08</v>
      </c>
      <c r="S19" s="278" t="s">
        <v>552</v>
      </c>
      <c r="T19" s="279">
        <v>57</v>
      </c>
      <c r="U19" s="293">
        <f t="shared" si="11"/>
        <v>1153.1700000000003</v>
      </c>
      <c r="V19" s="256">
        <f t="shared" si="12"/>
        <v>254</v>
      </c>
      <c r="W19" s="61">
        <f t="shared" si="7"/>
        <v>517.56000000000006</v>
      </c>
      <c r="Z19" s="139">
        <v>4.54</v>
      </c>
      <c r="AA19" s="15"/>
      <c r="AB19" s="70">
        <f t="shared" si="4"/>
        <v>0</v>
      </c>
      <c r="AC19" s="218"/>
      <c r="AD19" s="70">
        <f t="shared" si="5"/>
        <v>0</v>
      </c>
      <c r="AE19" s="278"/>
      <c r="AF19" s="279"/>
      <c r="AG19" s="293">
        <f t="shared" si="13"/>
        <v>2002.14</v>
      </c>
      <c r="AH19" s="256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5</v>
      </c>
      <c r="D20" s="70">
        <f t="shared" si="0"/>
        <v>22.7</v>
      </c>
      <c r="E20" s="218">
        <v>44520</v>
      </c>
      <c r="F20" s="70">
        <f t="shared" si="1"/>
        <v>22.7</v>
      </c>
      <c r="G20" s="71" t="s">
        <v>200</v>
      </c>
      <c r="H20" s="72">
        <v>57</v>
      </c>
      <c r="I20" s="213">
        <f t="shared" si="9"/>
        <v>1207.6469999999999</v>
      </c>
      <c r="J20" s="74">
        <f t="shared" si="10"/>
        <v>266</v>
      </c>
      <c r="K20" s="61">
        <f t="shared" si="6"/>
        <v>1293.8999999999999</v>
      </c>
      <c r="N20" s="139">
        <v>4.54</v>
      </c>
      <c r="O20" s="15">
        <v>8</v>
      </c>
      <c r="P20" s="70">
        <f t="shared" si="2"/>
        <v>36.32</v>
      </c>
      <c r="Q20" s="218">
        <v>44551</v>
      </c>
      <c r="R20" s="70">
        <f t="shared" si="3"/>
        <v>36.32</v>
      </c>
      <c r="S20" s="71" t="s">
        <v>563</v>
      </c>
      <c r="T20" s="72">
        <v>57</v>
      </c>
      <c r="U20" s="213">
        <f t="shared" si="11"/>
        <v>1116.8500000000004</v>
      </c>
      <c r="V20" s="74">
        <f t="shared" si="12"/>
        <v>246</v>
      </c>
      <c r="W20" s="61">
        <f t="shared" si="7"/>
        <v>2070.2400000000002</v>
      </c>
      <c r="Z20" s="139">
        <v>4.54</v>
      </c>
      <c r="AA20" s="15"/>
      <c r="AB20" s="70">
        <f t="shared" si="4"/>
        <v>0</v>
      </c>
      <c r="AC20" s="218"/>
      <c r="AD20" s="70">
        <f t="shared" si="5"/>
        <v>0</v>
      </c>
      <c r="AE20" s="71"/>
      <c r="AF20" s="72"/>
      <c r="AG20" s="213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</v>
      </c>
      <c r="D21" s="70">
        <f t="shared" si="0"/>
        <v>13.620000000000001</v>
      </c>
      <c r="E21" s="218">
        <v>44520</v>
      </c>
      <c r="F21" s="70">
        <f t="shared" si="1"/>
        <v>13.620000000000001</v>
      </c>
      <c r="G21" s="71" t="s">
        <v>202</v>
      </c>
      <c r="H21" s="72">
        <v>57</v>
      </c>
      <c r="I21" s="213">
        <f t="shared" si="9"/>
        <v>1194.027</v>
      </c>
      <c r="J21" s="74">
        <f t="shared" si="10"/>
        <v>263</v>
      </c>
      <c r="K21" s="61">
        <f t="shared" si="6"/>
        <v>776.34</v>
      </c>
      <c r="N21" s="139">
        <v>4.54</v>
      </c>
      <c r="O21" s="15">
        <v>30</v>
      </c>
      <c r="P21" s="70">
        <f t="shared" si="2"/>
        <v>136.19999999999999</v>
      </c>
      <c r="Q21" s="218">
        <v>44551</v>
      </c>
      <c r="R21" s="70">
        <f t="shared" si="3"/>
        <v>136.19999999999999</v>
      </c>
      <c r="S21" s="71" t="s">
        <v>570</v>
      </c>
      <c r="T21" s="72">
        <v>57</v>
      </c>
      <c r="U21" s="213">
        <f t="shared" si="11"/>
        <v>980.65000000000032</v>
      </c>
      <c r="V21" s="74">
        <f t="shared" si="12"/>
        <v>216</v>
      </c>
      <c r="W21" s="61">
        <f t="shared" si="7"/>
        <v>7763.4</v>
      </c>
      <c r="Z21" s="139">
        <v>4.54</v>
      </c>
      <c r="AA21" s="15"/>
      <c r="AB21" s="70">
        <f t="shared" si="4"/>
        <v>0</v>
      </c>
      <c r="AC21" s="218"/>
      <c r="AD21" s="70">
        <f t="shared" si="5"/>
        <v>0</v>
      </c>
      <c r="AE21" s="71"/>
      <c r="AF21" s="72"/>
      <c r="AG21" s="213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18">
        <v>44522</v>
      </c>
      <c r="F22" s="70">
        <f t="shared" si="1"/>
        <v>4.54</v>
      </c>
      <c r="G22" s="71" t="s">
        <v>205</v>
      </c>
      <c r="H22" s="72">
        <v>57</v>
      </c>
      <c r="I22" s="213">
        <f t="shared" si="9"/>
        <v>1189.4870000000001</v>
      </c>
      <c r="J22" s="74">
        <f t="shared" si="10"/>
        <v>262</v>
      </c>
      <c r="K22" s="61">
        <f t="shared" si="6"/>
        <v>258.78000000000003</v>
      </c>
      <c r="N22" s="139">
        <v>4.54</v>
      </c>
      <c r="O22" s="15">
        <v>5</v>
      </c>
      <c r="P22" s="70">
        <f t="shared" si="2"/>
        <v>22.7</v>
      </c>
      <c r="Q22" s="218">
        <v>44552</v>
      </c>
      <c r="R22" s="70">
        <f t="shared" si="3"/>
        <v>22.7</v>
      </c>
      <c r="S22" s="71" t="s">
        <v>574</v>
      </c>
      <c r="T22" s="72">
        <v>57</v>
      </c>
      <c r="U22" s="213">
        <f t="shared" si="11"/>
        <v>957.95000000000027</v>
      </c>
      <c r="V22" s="74">
        <f t="shared" si="12"/>
        <v>211</v>
      </c>
      <c r="W22" s="61">
        <f t="shared" si="7"/>
        <v>1293.8999999999999</v>
      </c>
      <c r="Z22" s="139">
        <v>4.54</v>
      </c>
      <c r="AA22" s="15"/>
      <c r="AB22" s="70">
        <f t="shared" si="4"/>
        <v>0</v>
      </c>
      <c r="AC22" s="218"/>
      <c r="AD22" s="70">
        <f t="shared" si="5"/>
        <v>0</v>
      </c>
      <c r="AE22" s="71"/>
      <c r="AF22" s="72"/>
      <c r="AG22" s="213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5</v>
      </c>
      <c r="D23" s="70">
        <f t="shared" si="0"/>
        <v>22.7</v>
      </c>
      <c r="E23" s="218">
        <v>44523</v>
      </c>
      <c r="F23" s="70">
        <f t="shared" si="1"/>
        <v>22.7</v>
      </c>
      <c r="G23" s="71" t="s">
        <v>209</v>
      </c>
      <c r="H23" s="72">
        <v>57</v>
      </c>
      <c r="I23" s="213">
        <f t="shared" si="9"/>
        <v>1166.787</v>
      </c>
      <c r="J23" s="74">
        <f t="shared" si="10"/>
        <v>257</v>
      </c>
      <c r="K23" s="61">
        <f t="shared" si="6"/>
        <v>1293.8999999999999</v>
      </c>
      <c r="N23" s="139">
        <v>4.54</v>
      </c>
      <c r="O23" s="15">
        <v>1</v>
      </c>
      <c r="P23" s="70">
        <f t="shared" si="2"/>
        <v>4.54</v>
      </c>
      <c r="Q23" s="218">
        <v>44552</v>
      </c>
      <c r="R23" s="70">
        <f t="shared" si="3"/>
        <v>4.54</v>
      </c>
      <c r="S23" s="71" t="s">
        <v>580</v>
      </c>
      <c r="T23" s="72">
        <v>57</v>
      </c>
      <c r="U23" s="213">
        <f t="shared" si="11"/>
        <v>953.41000000000031</v>
      </c>
      <c r="V23" s="74">
        <f t="shared" si="12"/>
        <v>210</v>
      </c>
      <c r="W23" s="61">
        <f t="shared" si="7"/>
        <v>258.78000000000003</v>
      </c>
      <c r="Z23" s="139">
        <v>4.54</v>
      </c>
      <c r="AA23" s="15"/>
      <c r="AB23" s="70">
        <f t="shared" si="4"/>
        <v>0</v>
      </c>
      <c r="AC23" s="218"/>
      <c r="AD23" s="70">
        <f t="shared" si="5"/>
        <v>0</v>
      </c>
      <c r="AE23" s="71"/>
      <c r="AF23" s="72"/>
      <c r="AG23" s="213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30</v>
      </c>
      <c r="D24" s="70">
        <f t="shared" si="0"/>
        <v>136.19999999999999</v>
      </c>
      <c r="E24" s="218">
        <v>44523</v>
      </c>
      <c r="F24" s="70">
        <f t="shared" si="1"/>
        <v>136.19999999999999</v>
      </c>
      <c r="G24" s="71" t="s">
        <v>210</v>
      </c>
      <c r="H24" s="72">
        <v>57</v>
      </c>
      <c r="I24" s="213">
        <f t="shared" si="9"/>
        <v>1030.587</v>
      </c>
      <c r="J24" s="74">
        <f t="shared" si="10"/>
        <v>227</v>
      </c>
      <c r="K24" s="61">
        <f t="shared" si="6"/>
        <v>7763.4</v>
      </c>
      <c r="N24" s="139">
        <v>4.54</v>
      </c>
      <c r="O24" s="15">
        <v>60</v>
      </c>
      <c r="P24" s="70">
        <f t="shared" si="2"/>
        <v>272.39999999999998</v>
      </c>
      <c r="Q24" s="218">
        <v>44554</v>
      </c>
      <c r="R24" s="70">
        <f t="shared" si="3"/>
        <v>272.39999999999998</v>
      </c>
      <c r="S24" s="71" t="s">
        <v>606</v>
      </c>
      <c r="T24" s="72">
        <v>57</v>
      </c>
      <c r="U24" s="213">
        <f t="shared" si="11"/>
        <v>681.01000000000033</v>
      </c>
      <c r="V24" s="74">
        <f t="shared" si="12"/>
        <v>150</v>
      </c>
      <c r="W24" s="61">
        <f t="shared" si="7"/>
        <v>15526.8</v>
      </c>
      <c r="Z24" s="139">
        <v>4.54</v>
      </c>
      <c r="AA24" s="15"/>
      <c r="AB24" s="70">
        <f t="shared" si="4"/>
        <v>0</v>
      </c>
      <c r="AC24" s="218"/>
      <c r="AD24" s="70">
        <f t="shared" si="5"/>
        <v>0</v>
      </c>
      <c r="AE24" s="71"/>
      <c r="AF24" s="72"/>
      <c r="AG24" s="213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40</v>
      </c>
      <c r="D25" s="70">
        <f t="shared" si="0"/>
        <v>181.6</v>
      </c>
      <c r="E25" s="218">
        <v>44525</v>
      </c>
      <c r="F25" s="70">
        <f t="shared" si="1"/>
        <v>181.6</v>
      </c>
      <c r="G25" s="71" t="s">
        <v>217</v>
      </c>
      <c r="H25" s="72">
        <v>57</v>
      </c>
      <c r="I25" s="213">
        <f t="shared" si="9"/>
        <v>848.98699999999997</v>
      </c>
      <c r="J25" s="74">
        <f t="shared" si="10"/>
        <v>187</v>
      </c>
      <c r="K25" s="61">
        <f t="shared" si="6"/>
        <v>10351.199999999999</v>
      </c>
      <c r="N25" s="139">
        <v>4.54</v>
      </c>
      <c r="O25" s="15">
        <v>5</v>
      </c>
      <c r="P25" s="70">
        <f t="shared" si="2"/>
        <v>22.7</v>
      </c>
      <c r="Q25" s="218">
        <v>44556</v>
      </c>
      <c r="R25" s="70">
        <f t="shared" si="3"/>
        <v>22.7</v>
      </c>
      <c r="S25" s="71" t="s">
        <v>614</v>
      </c>
      <c r="T25" s="72">
        <v>57</v>
      </c>
      <c r="U25" s="213">
        <f t="shared" si="11"/>
        <v>658.31000000000029</v>
      </c>
      <c r="V25" s="74">
        <f t="shared" si="12"/>
        <v>145</v>
      </c>
      <c r="W25" s="61">
        <f t="shared" si="7"/>
        <v>1293.8999999999999</v>
      </c>
      <c r="Z25" s="139">
        <v>4.54</v>
      </c>
      <c r="AA25" s="15"/>
      <c r="AB25" s="70">
        <f t="shared" si="4"/>
        <v>0</v>
      </c>
      <c r="AC25" s="218"/>
      <c r="AD25" s="70">
        <f t="shared" si="5"/>
        <v>0</v>
      </c>
      <c r="AE25" s="71"/>
      <c r="AF25" s="72"/>
      <c r="AG25" s="213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1</v>
      </c>
      <c r="D26" s="70">
        <f t="shared" si="0"/>
        <v>4.54</v>
      </c>
      <c r="E26" s="218">
        <v>44526</v>
      </c>
      <c r="F26" s="70">
        <f t="shared" si="1"/>
        <v>4.54</v>
      </c>
      <c r="G26" s="71" t="s">
        <v>221</v>
      </c>
      <c r="H26" s="72">
        <v>57</v>
      </c>
      <c r="I26" s="213">
        <f t="shared" si="9"/>
        <v>844.447</v>
      </c>
      <c r="J26" s="74">
        <f t="shared" si="10"/>
        <v>186</v>
      </c>
      <c r="K26" s="61">
        <f t="shared" si="6"/>
        <v>258.78000000000003</v>
      </c>
      <c r="N26" s="139">
        <v>4.54</v>
      </c>
      <c r="O26" s="15">
        <v>1</v>
      </c>
      <c r="P26" s="70">
        <f t="shared" si="2"/>
        <v>4.54</v>
      </c>
      <c r="Q26" s="218">
        <v>44558</v>
      </c>
      <c r="R26" s="70">
        <f t="shared" si="3"/>
        <v>4.54</v>
      </c>
      <c r="S26" s="71" t="s">
        <v>628</v>
      </c>
      <c r="T26" s="72">
        <v>57</v>
      </c>
      <c r="U26" s="213">
        <f t="shared" si="11"/>
        <v>653.77000000000032</v>
      </c>
      <c r="V26" s="74">
        <f t="shared" si="12"/>
        <v>144</v>
      </c>
      <c r="W26" s="61">
        <f t="shared" si="7"/>
        <v>258.78000000000003</v>
      </c>
      <c r="Z26" s="139">
        <v>4.54</v>
      </c>
      <c r="AA26" s="15"/>
      <c r="AB26" s="70">
        <f t="shared" si="4"/>
        <v>0</v>
      </c>
      <c r="AC26" s="218"/>
      <c r="AD26" s="70">
        <f t="shared" si="5"/>
        <v>0</v>
      </c>
      <c r="AE26" s="71"/>
      <c r="AF26" s="72"/>
      <c r="AG26" s="213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8</v>
      </c>
      <c r="D27" s="70">
        <f t="shared" si="0"/>
        <v>36.32</v>
      </c>
      <c r="E27" s="218">
        <v>44526</v>
      </c>
      <c r="F27" s="70">
        <f t="shared" si="1"/>
        <v>36.32</v>
      </c>
      <c r="G27" s="71" t="s">
        <v>222</v>
      </c>
      <c r="H27" s="72">
        <v>57</v>
      </c>
      <c r="I27" s="213">
        <f t="shared" si="9"/>
        <v>808.12699999999995</v>
      </c>
      <c r="J27" s="74">
        <f t="shared" si="10"/>
        <v>178</v>
      </c>
      <c r="K27" s="61">
        <f t="shared" si="6"/>
        <v>2070.2400000000002</v>
      </c>
      <c r="N27" s="139">
        <v>4.54</v>
      </c>
      <c r="O27" s="15">
        <v>9</v>
      </c>
      <c r="P27" s="70">
        <f t="shared" si="2"/>
        <v>40.86</v>
      </c>
      <c r="Q27" s="218">
        <v>44559</v>
      </c>
      <c r="R27" s="70">
        <f t="shared" si="3"/>
        <v>40.86</v>
      </c>
      <c r="S27" s="71" t="s">
        <v>646</v>
      </c>
      <c r="T27" s="72">
        <v>57</v>
      </c>
      <c r="U27" s="213">
        <f t="shared" si="11"/>
        <v>612.91000000000031</v>
      </c>
      <c r="V27" s="74">
        <f t="shared" si="12"/>
        <v>135</v>
      </c>
      <c r="W27" s="61">
        <f t="shared" si="7"/>
        <v>2329.02</v>
      </c>
      <c r="Z27" s="139">
        <v>4.54</v>
      </c>
      <c r="AA27" s="15"/>
      <c r="AB27" s="70">
        <f t="shared" si="4"/>
        <v>0</v>
      </c>
      <c r="AC27" s="218"/>
      <c r="AD27" s="70">
        <f t="shared" si="5"/>
        <v>0</v>
      </c>
      <c r="AE27" s="71"/>
      <c r="AF27" s="72"/>
      <c r="AG27" s="213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30</v>
      </c>
      <c r="D28" s="70">
        <f t="shared" si="0"/>
        <v>136.19999999999999</v>
      </c>
      <c r="E28" s="218">
        <v>44527</v>
      </c>
      <c r="F28" s="70">
        <f t="shared" si="1"/>
        <v>136.19999999999999</v>
      </c>
      <c r="G28" s="71" t="s">
        <v>226</v>
      </c>
      <c r="H28" s="72">
        <v>57</v>
      </c>
      <c r="I28" s="213">
        <f t="shared" si="9"/>
        <v>671.92699999999991</v>
      </c>
      <c r="J28" s="74">
        <f t="shared" si="10"/>
        <v>148</v>
      </c>
      <c r="K28" s="61">
        <f t="shared" si="6"/>
        <v>7763.4</v>
      </c>
      <c r="N28" s="139">
        <v>4.54</v>
      </c>
      <c r="O28" s="15">
        <v>30</v>
      </c>
      <c r="P28" s="70">
        <f t="shared" si="2"/>
        <v>136.19999999999999</v>
      </c>
      <c r="Q28" s="218">
        <v>44559</v>
      </c>
      <c r="R28" s="70">
        <f t="shared" si="3"/>
        <v>136.19999999999999</v>
      </c>
      <c r="S28" s="71" t="s">
        <v>656</v>
      </c>
      <c r="T28" s="72">
        <v>57</v>
      </c>
      <c r="U28" s="213">
        <f t="shared" si="11"/>
        <v>476.71000000000032</v>
      </c>
      <c r="V28" s="74">
        <f t="shared" si="12"/>
        <v>105</v>
      </c>
      <c r="W28" s="61">
        <f t="shared" si="7"/>
        <v>7763.4</v>
      </c>
      <c r="Z28" s="139">
        <v>4.54</v>
      </c>
      <c r="AA28" s="15"/>
      <c r="AB28" s="70">
        <f t="shared" si="4"/>
        <v>0</v>
      </c>
      <c r="AC28" s="218"/>
      <c r="AD28" s="70">
        <f t="shared" si="5"/>
        <v>0</v>
      </c>
      <c r="AE28" s="71"/>
      <c r="AF28" s="72"/>
      <c r="AG28" s="213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5</v>
      </c>
      <c r="D29" s="70">
        <f t="shared" si="0"/>
        <v>22.7</v>
      </c>
      <c r="E29" s="218">
        <v>44529</v>
      </c>
      <c r="F29" s="70">
        <f t="shared" si="1"/>
        <v>22.7</v>
      </c>
      <c r="G29" s="71" t="s">
        <v>229</v>
      </c>
      <c r="H29" s="72">
        <v>57</v>
      </c>
      <c r="I29" s="213">
        <f t="shared" si="9"/>
        <v>649.22699999999986</v>
      </c>
      <c r="J29" s="74">
        <f t="shared" si="10"/>
        <v>143</v>
      </c>
      <c r="K29" s="61">
        <f t="shared" si="6"/>
        <v>1293.8999999999999</v>
      </c>
      <c r="N29" s="139">
        <v>4.54</v>
      </c>
      <c r="O29" s="15">
        <v>5</v>
      </c>
      <c r="P29" s="70">
        <f t="shared" si="2"/>
        <v>22.7</v>
      </c>
      <c r="Q29" s="218">
        <v>44561</v>
      </c>
      <c r="R29" s="70">
        <f t="shared" si="3"/>
        <v>22.7</v>
      </c>
      <c r="S29" s="71" t="s">
        <v>670</v>
      </c>
      <c r="T29" s="72">
        <v>57</v>
      </c>
      <c r="U29" s="213">
        <f t="shared" si="11"/>
        <v>454.01000000000033</v>
      </c>
      <c r="V29" s="74">
        <f t="shared" si="12"/>
        <v>100</v>
      </c>
      <c r="W29" s="61">
        <f t="shared" si="7"/>
        <v>1293.8999999999999</v>
      </c>
      <c r="Z29" s="139">
        <v>4.54</v>
      </c>
      <c r="AA29" s="15"/>
      <c r="AB29" s="70">
        <f t="shared" si="4"/>
        <v>0</v>
      </c>
      <c r="AC29" s="218"/>
      <c r="AD29" s="70">
        <f t="shared" si="5"/>
        <v>0</v>
      </c>
      <c r="AE29" s="71"/>
      <c r="AF29" s="72"/>
      <c r="AG29" s="213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18">
        <v>44529</v>
      </c>
      <c r="F30" s="70">
        <f t="shared" si="1"/>
        <v>136.19999999999999</v>
      </c>
      <c r="G30" s="71" t="s">
        <v>230</v>
      </c>
      <c r="H30" s="72">
        <v>57</v>
      </c>
      <c r="I30" s="213">
        <f t="shared" si="9"/>
        <v>513.02699999999982</v>
      </c>
      <c r="J30" s="74">
        <f t="shared" si="10"/>
        <v>113</v>
      </c>
      <c r="K30" s="61">
        <f t="shared" si="6"/>
        <v>7763.4</v>
      </c>
      <c r="N30" s="139">
        <v>4.54</v>
      </c>
      <c r="O30" s="15">
        <v>40</v>
      </c>
      <c r="P30" s="70">
        <f t="shared" si="2"/>
        <v>181.6</v>
      </c>
      <c r="Q30" s="218">
        <v>44561</v>
      </c>
      <c r="R30" s="70">
        <f t="shared" si="3"/>
        <v>181.6</v>
      </c>
      <c r="S30" s="71" t="s">
        <v>675</v>
      </c>
      <c r="T30" s="72">
        <v>57</v>
      </c>
      <c r="U30" s="213">
        <f t="shared" si="11"/>
        <v>272.41000000000031</v>
      </c>
      <c r="V30" s="74">
        <f t="shared" si="12"/>
        <v>60</v>
      </c>
      <c r="W30" s="61">
        <f t="shared" si="7"/>
        <v>10351.199999999999</v>
      </c>
      <c r="Z30" s="139">
        <v>4.54</v>
      </c>
      <c r="AA30" s="15"/>
      <c r="AB30" s="70">
        <f t="shared" si="4"/>
        <v>0</v>
      </c>
      <c r="AC30" s="218"/>
      <c r="AD30" s="70">
        <f t="shared" si="5"/>
        <v>0</v>
      </c>
      <c r="AE30" s="71"/>
      <c r="AF30" s="72"/>
      <c r="AG30" s="213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10</v>
      </c>
      <c r="D31" s="70">
        <f t="shared" si="0"/>
        <v>45.4</v>
      </c>
      <c r="E31" s="218">
        <v>44530</v>
      </c>
      <c r="F31" s="70">
        <f t="shared" si="1"/>
        <v>45.4</v>
      </c>
      <c r="G31" s="71" t="s">
        <v>232</v>
      </c>
      <c r="H31" s="72">
        <v>57</v>
      </c>
      <c r="I31" s="213">
        <f t="shared" si="9"/>
        <v>467.62699999999984</v>
      </c>
      <c r="J31" s="74">
        <f t="shared" si="10"/>
        <v>103</v>
      </c>
      <c r="K31" s="61">
        <f t="shared" si="6"/>
        <v>2587.7999999999997</v>
      </c>
      <c r="N31" s="139">
        <v>4.54</v>
      </c>
      <c r="O31" s="15"/>
      <c r="P31" s="70">
        <f t="shared" si="2"/>
        <v>0</v>
      </c>
      <c r="Q31" s="218"/>
      <c r="R31" s="70">
        <f t="shared" si="3"/>
        <v>0</v>
      </c>
      <c r="S31" s="71"/>
      <c r="T31" s="72"/>
      <c r="U31" s="213">
        <f t="shared" si="11"/>
        <v>272.41000000000031</v>
      </c>
      <c r="V31" s="74">
        <f t="shared" si="12"/>
        <v>60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18"/>
      <c r="AD31" s="70">
        <f t="shared" si="5"/>
        <v>0</v>
      </c>
      <c r="AE31" s="71"/>
      <c r="AF31" s="72"/>
      <c r="AG31" s="213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2</v>
      </c>
      <c r="D32" s="70">
        <f t="shared" si="0"/>
        <v>9.08</v>
      </c>
      <c r="E32" s="218">
        <v>44530</v>
      </c>
      <c r="F32" s="70">
        <f>D32</f>
        <v>9.08</v>
      </c>
      <c r="G32" s="71" t="s">
        <v>233</v>
      </c>
      <c r="H32" s="72">
        <v>57</v>
      </c>
      <c r="I32" s="213">
        <f t="shared" si="9"/>
        <v>458.54699999999985</v>
      </c>
      <c r="J32" s="74">
        <f t="shared" si="10"/>
        <v>101</v>
      </c>
      <c r="K32" s="61">
        <f t="shared" si="6"/>
        <v>517.56000000000006</v>
      </c>
      <c r="N32" s="139">
        <v>4.54</v>
      </c>
      <c r="O32" s="15"/>
      <c r="P32" s="70">
        <f t="shared" si="2"/>
        <v>0</v>
      </c>
      <c r="Q32" s="218"/>
      <c r="R32" s="70">
        <f>P32</f>
        <v>0</v>
      </c>
      <c r="S32" s="71"/>
      <c r="T32" s="72"/>
      <c r="U32" s="213">
        <f t="shared" si="11"/>
        <v>272.41000000000031</v>
      </c>
      <c r="V32" s="74">
        <f t="shared" si="12"/>
        <v>60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18"/>
      <c r="AD32" s="70">
        <f>AB32</f>
        <v>0</v>
      </c>
      <c r="AE32" s="71"/>
      <c r="AF32" s="72"/>
      <c r="AG32" s="213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>
        <v>10</v>
      </c>
      <c r="D33" s="70">
        <f t="shared" si="0"/>
        <v>45.4</v>
      </c>
      <c r="E33" s="886">
        <v>44531</v>
      </c>
      <c r="F33" s="70">
        <f>D33</f>
        <v>45.4</v>
      </c>
      <c r="G33" s="71" t="s">
        <v>236</v>
      </c>
      <c r="H33" s="72">
        <v>57</v>
      </c>
      <c r="I33" s="213">
        <f t="shared" si="9"/>
        <v>413.14699999999988</v>
      </c>
      <c r="J33" s="74">
        <f t="shared" si="10"/>
        <v>91</v>
      </c>
      <c r="K33" s="61">
        <f t="shared" si="6"/>
        <v>2587.7999999999997</v>
      </c>
      <c r="N33" s="139">
        <v>4.54</v>
      </c>
      <c r="O33" s="15"/>
      <c r="P33" s="70">
        <f t="shared" si="2"/>
        <v>0</v>
      </c>
      <c r="Q33" s="886"/>
      <c r="R33" s="70">
        <f>P33</f>
        <v>0</v>
      </c>
      <c r="S33" s="71"/>
      <c r="T33" s="72"/>
      <c r="U33" s="213">
        <f t="shared" si="11"/>
        <v>272.41000000000031</v>
      </c>
      <c r="V33" s="74">
        <f t="shared" si="12"/>
        <v>60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886"/>
      <c r="AD33" s="70">
        <f>AB33</f>
        <v>0</v>
      </c>
      <c r="AE33" s="71"/>
      <c r="AF33" s="72"/>
      <c r="AG33" s="213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>
        <v>50</v>
      </c>
      <c r="D34" s="70">
        <f t="shared" si="0"/>
        <v>227</v>
      </c>
      <c r="E34" s="140">
        <v>44533</v>
      </c>
      <c r="F34" s="70">
        <f t="shared" ref="F34:F69" si="15">D34</f>
        <v>227</v>
      </c>
      <c r="G34" s="71" t="s">
        <v>238</v>
      </c>
      <c r="H34" s="72">
        <v>57</v>
      </c>
      <c r="I34" s="213">
        <f t="shared" si="9"/>
        <v>186.14699999999988</v>
      </c>
      <c r="J34" s="74">
        <f t="shared" si="10"/>
        <v>41</v>
      </c>
      <c r="K34" s="61">
        <f t="shared" si="6"/>
        <v>12939</v>
      </c>
      <c r="N34" s="139">
        <v>4.54</v>
      </c>
      <c r="O34" s="15"/>
      <c r="P34" s="70">
        <f t="shared" si="2"/>
        <v>0</v>
      </c>
      <c r="Q34" s="140"/>
      <c r="R34" s="70">
        <f t="shared" ref="R34:R69" si="16">P34</f>
        <v>0</v>
      </c>
      <c r="S34" s="71"/>
      <c r="T34" s="72"/>
      <c r="U34" s="213">
        <f t="shared" si="11"/>
        <v>272.41000000000031</v>
      </c>
      <c r="V34" s="74">
        <f t="shared" si="12"/>
        <v>60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7">AB34</f>
        <v>0</v>
      </c>
      <c r="AE34" s="71"/>
      <c r="AF34" s="72"/>
      <c r="AG34" s="213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>
        <v>3</v>
      </c>
      <c r="D35" s="70">
        <f t="shared" si="0"/>
        <v>13.620000000000001</v>
      </c>
      <c r="E35" s="140">
        <v>44534</v>
      </c>
      <c r="F35" s="70">
        <f t="shared" si="15"/>
        <v>13.620000000000001</v>
      </c>
      <c r="G35" s="71" t="s">
        <v>244</v>
      </c>
      <c r="H35" s="72">
        <v>57</v>
      </c>
      <c r="I35" s="213">
        <f t="shared" si="9"/>
        <v>172.52699999999987</v>
      </c>
      <c r="J35" s="74">
        <f t="shared" si="10"/>
        <v>38</v>
      </c>
      <c r="K35" s="61">
        <f t="shared" si="6"/>
        <v>776.34</v>
      </c>
      <c r="N35" s="139">
        <v>4.54</v>
      </c>
      <c r="O35" s="15"/>
      <c r="P35" s="70">
        <f t="shared" si="2"/>
        <v>0</v>
      </c>
      <c r="Q35" s="140"/>
      <c r="R35" s="70">
        <f t="shared" si="16"/>
        <v>0</v>
      </c>
      <c r="S35" s="71"/>
      <c r="T35" s="72"/>
      <c r="U35" s="213">
        <f t="shared" si="11"/>
        <v>272.41000000000031</v>
      </c>
      <c r="V35" s="74">
        <f t="shared" si="12"/>
        <v>60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7"/>
        <v>0</v>
      </c>
      <c r="AE35" s="71"/>
      <c r="AF35" s="72"/>
      <c r="AG35" s="213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3</v>
      </c>
      <c r="D36" s="705">
        <f t="shared" si="0"/>
        <v>13.620000000000001</v>
      </c>
      <c r="E36" s="995">
        <v>44535</v>
      </c>
      <c r="F36" s="705">
        <f t="shared" si="15"/>
        <v>13.620000000000001</v>
      </c>
      <c r="G36" s="706" t="s">
        <v>440</v>
      </c>
      <c r="H36" s="186">
        <v>57</v>
      </c>
      <c r="I36" s="213">
        <f t="shared" si="9"/>
        <v>158.90699999999987</v>
      </c>
      <c r="J36" s="74">
        <f t="shared" si="10"/>
        <v>35</v>
      </c>
      <c r="K36" s="61">
        <f t="shared" si="6"/>
        <v>776.34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6"/>
        <v>0</v>
      </c>
      <c r="S36" s="71"/>
      <c r="T36" s="72"/>
      <c r="U36" s="213">
        <f t="shared" si="11"/>
        <v>272.41000000000031</v>
      </c>
      <c r="V36" s="74">
        <f t="shared" si="12"/>
        <v>60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7"/>
        <v>0</v>
      </c>
      <c r="AE36" s="71"/>
      <c r="AF36" s="72"/>
      <c r="AG36" s="213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>
        <v>30</v>
      </c>
      <c r="D37" s="705">
        <f t="shared" si="0"/>
        <v>136.19999999999999</v>
      </c>
      <c r="E37" s="995">
        <v>44537</v>
      </c>
      <c r="F37" s="705">
        <f t="shared" si="15"/>
        <v>136.19999999999999</v>
      </c>
      <c r="G37" s="706" t="s">
        <v>453</v>
      </c>
      <c r="H37" s="186">
        <v>57</v>
      </c>
      <c r="I37" s="213">
        <f t="shared" si="9"/>
        <v>22.70699999999988</v>
      </c>
      <c r="J37" s="74">
        <f t="shared" si="10"/>
        <v>5</v>
      </c>
      <c r="K37" s="61">
        <f t="shared" si="6"/>
        <v>7763.4</v>
      </c>
      <c r="N37" s="139">
        <v>4.54</v>
      </c>
      <c r="O37" s="15"/>
      <c r="P37" s="70">
        <f t="shared" si="2"/>
        <v>0</v>
      </c>
      <c r="Q37" s="140"/>
      <c r="R37" s="70">
        <f t="shared" si="16"/>
        <v>0</v>
      </c>
      <c r="S37" s="71"/>
      <c r="T37" s="72"/>
      <c r="U37" s="213">
        <f t="shared" si="11"/>
        <v>272.41000000000031</v>
      </c>
      <c r="V37" s="74">
        <f t="shared" si="12"/>
        <v>60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7"/>
        <v>0</v>
      </c>
      <c r="AE37" s="71"/>
      <c r="AF37" s="72"/>
      <c r="AG37" s="213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705">
        <f t="shared" si="0"/>
        <v>0</v>
      </c>
      <c r="E38" s="996"/>
      <c r="F38" s="705">
        <f t="shared" si="15"/>
        <v>0</v>
      </c>
      <c r="G38" s="706"/>
      <c r="H38" s="186"/>
      <c r="I38" s="213">
        <f t="shared" si="9"/>
        <v>22.70699999999988</v>
      </c>
      <c r="J38" s="74">
        <f t="shared" si="10"/>
        <v>5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18"/>
      <c r="R38" s="70">
        <f t="shared" si="16"/>
        <v>0</v>
      </c>
      <c r="S38" s="71"/>
      <c r="T38" s="72"/>
      <c r="U38" s="213">
        <f t="shared" si="11"/>
        <v>272.41000000000031</v>
      </c>
      <c r="V38" s="74">
        <f t="shared" si="12"/>
        <v>60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18"/>
      <c r="AD38" s="70">
        <f t="shared" si="17"/>
        <v>0</v>
      </c>
      <c r="AE38" s="71"/>
      <c r="AF38" s="72"/>
      <c r="AG38" s="213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705">
        <f t="shared" si="0"/>
        <v>0</v>
      </c>
      <c r="E39" s="996"/>
      <c r="F39" s="705">
        <f t="shared" si="15"/>
        <v>0</v>
      </c>
      <c r="G39" s="706"/>
      <c r="H39" s="186"/>
      <c r="I39" s="213">
        <f t="shared" si="9"/>
        <v>22.70699999999988</v>
      </c>
      <c r="J39" s="74">
        <f t="shared" si="10"/>
        <v>5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18"/>
      <c r="R39" s="70">
        <f t="shared" si="16"/>
        <v>0</v>
      </c>
      <c r="S39" s="71"/>
      <c r="T39" s="72"/>
      <c r="U39" s="213">
        <f t="shared" si="11"/>
        <v>272.41000000000031</v>
      </c>
      <c r="V39" s="74">
        <f t="shared" si="12"/>
        <v>60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18"/>
      <c r="AD39" s="70">
        <f t="shared" si="17"/>
        <v>0</v>
      </c>
      <c r="AE39" s="71"/>
      <c r="AF39" s="72"/>
      <c r="AG39" s="213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>
        <v>5</v>
      </c>
      <c r="D40" s="705">
        <f t="shared" si="0"/>
        <v>22.7</v>
      </c>
      <c r="E40" s="996"/>
      <c r="F40" s="705">
        <f t="shared" si="15"/>
        <v>22.7</v>
      </c>
      <c r="G40" s="1069"/>
      <c r="H40" s="1070"/>
      <c r="I40" s="1071">
        <f t="shared" si="9"/>
        <v>6.9999999998806572E-3</v>
      </c>
      <c r="J40" s="1072">
        <f t="shared" si="10"/>
        <v>0</v>
      </c>
      <c r="K40" s="1078">
        <f t="shared" si="6"/>
        <v>0</v>
      </c>
      <c r="N40" s="139">
        <v>4.54</v>
      </c>
      <c r="O40" s="15"/>
      <c r="P40" s="70">
        <f t="shared" si="2"/>
        <v>0</v>
      </c>
      <c r="Q40" s="218"/>
      <c r="R40" s="70">
        <f t="shared" si="16"/>
        <v>0</v>
      </c>
      <c r="S40" s="71"/>
      <c r="T40" s="72"/>
      <c r="U40" s="213">
        <f t="shared" si="11"/>
        <v>272.41000000000031</v>
      </c>
      <c r="V40" s="74">
        <f t="shared" si="12"/>
        <v>60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18"/>
      <c r="AD40" s="70">
        <f t="shared" si="17"/>
        <v>0</v>
      </c>
      <c r="AE40" s="71"/>
      <c r="AF40" s="72"/>
      <c r="AG40" s="213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705">
        <f t="shared" si="0"/>
        <v>0</v>
      </c>
      <c r="E41" s="996"/>
      <c r="F41" s="705">
        <f t="shared" si="15"/>
        <v>0</v>
      </c>
      <c r="G41" s="1069"/>
      <c r="H41" s="1070"/>
      <c r="I41" s="1071">
        <f t="shared" si="9"/>
        <v>6.9999999998806572E-3</v>
      </c>
      <c r="J41" s="1072">
        <f t="shared" si="10"/>
        <v>0</v>
      </c>
      <c r="K41" s="1078">
        <f t="shared" si="6"/>
        <v>0</v>
      </c>
      <c r="N41" s="139">
        <v>4.54</v>
      </c>
      <c r="O41" s="15"/>
      <c r="P41" s="70">
        <f t="shared" si="2"/>
        <v>0</v>
      </c>
      <c r="Q41" s="218"/>
      <c r="R41" s="70">
        <f t="shared" si="16"/>
        <v>0</v>
      </c>
      <c r="S41" s="71"/>
      <c r="T41" s="72"/>
      <c r="U41" s="213">
        <f t="shared" si="11"/>
        <v>272.41000000000031</v>
      </c>
      <c r="V41" s="74">
        <f t="shared" si="12"/>
        <v>60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18"/>
      <c r="AD41" s="70">
        <f t="shared" si="17"/>
        <v>0</v>
      </c>
      <c r="AE41" s="71"/>
      <c r="AF41" s="72"/>
      <c r="AG41" s="213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705">
        <f t="shared" si="0"/>
        <v>0</v>
      </c>
      <c r="E42" s="996"/>
      <c r="F42" s="705">
        <f t="shared" si="15"/>
        <v>0</v>
      </c>
      <c r="G42" s="1069"/>
      <c r="H42" s="1070"/>
      <c r="I42" s="1071">
        <f t="shared" si="9"/>
        <v>6.9999999998806572E-3</v>
      </c>
      <c r="J42" s="1072">
        <f t="shared" si="10"/>
        <v>0</v>
      </c>
      <c r="K42" s="1078">
        <f t="shared" si="6"/>
        <v>0</v>
      </c>
      <c r="N42" s="139">
        <v>4.54</v>
      </c>
      <c r="O42" s="15"/>
      <c r="P42" s="70">
        <f t="shared" si="2"/>
        <v>0</v>
      </c>
      <c r="Q42" s="218"/>
      <c r="R42" s="70">
        <f t="shared" si="16"/>
        <v>0</v>
      </c>
      <c r="S42" s="71"/>
      <c r="T42" s="72"/>
      <c r="U42" s="213">
        <f t="shared" si="11"/>
        <v>272.41000000000031</v>
      </c>
      <c r="V42" s="74">
        <f t="shared" si="12"/>
        <v>60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18"/>
      <c r="AD42" s="70">
        <f t="shared" si="17"/>
        <v>0</v>
      </c>
      <c r="AE42" s="71"/>
      <c r="AF42" s="72"/>
      <c r="AG42" s="213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705">
        <f t="shared" si="0"/>
        <v>0</v>
      </c>
      <c r="E43" s="996"/>
      <c r="F43" s="705">
        <f t="shared" si="15"/>
        <v>0</v>
      </c>
      <c r="G43" s="1069"/>
      <c r="H43" s="1070"/>
      <c r="I43" s="1071">
        <f t="shared" si="9"/>
        <v>6.9999999998806572E-3</v>
      </c>
      <c r="J43" s="1072">
        <f t="shared" si="10"/>
        <v>0</v>
      </c>
      <c r="K43" s="1078">
        <f t="shared" si="6"/>
        <v>0</v>
      </c>
      <c r="N43" s="139">
        <v>4.54</v>
      </c>
      <c r="O43" s="15"/>
      <c r="P43" s="70">
        <f t="shared" si="2"/>
        <v>0</v>
      </c>
      <c r="Q43" s="218"/>
      <c r="R43" s="70">
        <f t="shared" si="16"/>
        <v>0</v>
      </c>
      <c r="S43" s="71"/>
      <c r="T43" s="72"/>
      <c r="U43" s="213">
        <f t="shared" si="11"/>
        <v>272.41000000000031</v>
      </c>
      <c r="V43" s="74">
        <f t="shared" si="12"/>
        <v>60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18"/>
      <c r="AD43" s="70">
        <f t="shared" si="17"/>
        <v>0</v>
      </c>
      <c r="AE43" s="71"/>
      <c r="AF43" s="72"/>
      <c r="AG43" s="213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705">
        <f t="shared" si="0"/>
        <v>0</v>
      </c>
      <c r="E44" s="996"/>
      <c r="F44" s="705">
        <f t="shared" si="15"/>
        <v>0</v>
      </c>
      <c r="G44" s="1069"/>
      <c r="H44" s="1070"/>
      <c r="I44" s="1071">
        <f t="shared" si="9"/>
        <v>6.9999999998806572E-3</v>
      </c>
      <c r="J44" s="1072">
        <f t="shared" si="10"/>
        <v>0</v>
      </c>
      <c r="K44" s="1078">
        <f t="shared" si="6"/>
        <v>0</v>
      </c>
      <c r="N44" s="139">
        <v>4.54</v>
      </c>
      <c r="O44" s="15"/>
      <c r="P44" s="70">
        <f t="shared" si="2"/>
        <v>0</v>
      </c>
      <c r="Q44" s="218"/>
      <c r="R44" s="70">
        <f t="shared" si="16"/>
        <v>0</v>
      </c>
      <c r="S44" s="71"/>
      <c r="T44" s="72"/>
      <c r="U44" s="213">
        <f t="shared" si="11"/>
        <v>272.41000000000031</v>
      </c>
      <c r="V44" s="74">
        <f t="shared" si="12"/>
        <v>60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18"/>
      <c r="AD44" s="70">
        <f t="shared" si="17"/>
        <v>0</v>
      </c>
      <c r="AE44" s="71"/>
      <c r="AF44" s="72"/>
      <c r="AG44" s="213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705">
        <f t="shared" si="0"/>
        <v>0</v>
      </c>
      <c r="E45" s="996"/>
      <c r="F45" s="705">
        <f t="shared" si="15"/>
        <v>0</v>
      </c>
      <c r="G45" s="1069"/>
      <c r="H45" s="1070"/>
      <c r="I45" s="1071">
        <f t="shared" si="9"/>
        <v>6.9999999998806572E-3</v>
      </c>
      <c r="J45" s="1072">
        <f t="shared" si="10"/>
        <v>0</v>
      </c>
      <c r="K45" s="1078">
        <f t="shared" si="6"/>
        <v>0</v>
      </c>
      <c r="N45" s="139">
        <v>4.54</v>
      </c>
      <c r="O45" s="15"/>
      <c r="P45" s="70">
        <f t="shared" si="2"/>
        <v>0</v>
      </c>
      <c r="Q45" s="218"/>
      <c r="R45" s="70">
        <f t="shared" si="16"/>
        <v>0</v>
      </c>
      <c r="S45" s="71"/>
      <c r="T45" s="72"/>
      <c r="U45" s="213">
        <f t="shared" si="11"/>
        <v>272.41000000000031</v>
      </c>
      <c r="V45" s="74">
        <f t="shared" si="12"/>
        <v>60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18"/>
      <c r="AD45" s="70">
        <f t="shared" si="17"/>
        <v>0</v>
      </c>
      <c r="AE45" s="71"/>
      <c r="AF45" s="72"/>
      <c r="AG45" s="213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705">
        <f t="shared" si="0"/>
        <v>0</v>
      </c>
      <c r="E46" s="996"/>
      <c r="F46" s="705">
        <f t="shared" si="15"/>
        <v>0</v>
      </c>
      <c r="G46" s="706"/>
      <c r="H46" s="186"/>
      <c r="I46" s="213">
        <f t="shared" si="9"/>
        <v>6.9999999998806572E-3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18"/>
      <c r="R46" s="70">
        <f t="shared" si="16"/>
        <v>0</v>
      </c>
      <c r="S46" s="71"/>
      <c r="T46" s="72"/>
      <c r="U46" s="213">
        <f t="shared" si="11"/>
        <v>272.41000000000031</v>
      </c>
      <c r="V46" s="74">
        <f t="shared" si="12"/>
        <v>60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18"/>
      <c r="AD46" s="70">
        <f t="shared" si="17"/>
        <v>0</v>
      </c>
      <c r="AE46" s="71"/>
      <c r="AF46" s="72"/>
      <c r="AG46" s="213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705">
        <f t="shared" si="0"/>
        <v>0</v>
      </c>
      <c r="E47" s="996"/>
      <c r="F47" s="705">
        <f t="shared" si="15"/>
        <v>0</v>
      </c>
      <c r="G47" s="706"/>
      <c r="H47" s="186"/>
      <c r="I47" s="213">
        <f t="shared" si="9"/>
        <v>6.9999999998806572E-3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18"/>
      <c r="R47" s="70">
        <f t="shared" si="16"/>
        <v>0</v>
      </c>
      <c r="S47" s="71"/>
      <c r="T47" s="72"/>
      <c r="U47" s="213">
        <f t="shared" si="11"/>
        <v>272.41000000000031</v>
      </c>
      <c r="V47" s="74">
        <f t="shared" si="12"/>
        <v>60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18"/>
      <c r="AD47" s="70">
        <f t="shared" si="17"/>
        <v>0</v>
      </c>
      <c r="AE47" s="71"/>
      <c r="AF47" s="72"/>
      <c r="AG47" s="213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705">
        <f t="shared" si="0"/>
        <v>0</v>
      </c>
      <c r="E48" s="996"/>
      <c r="F48" s="705">
        <f t="shared" si="15"/>
        <v>0</v>
      </c>
      <c r="G48" s="706"/>
      <c r="H48" s="186"/>
      <c r="I48" s="213">
        <f t="shared" si="9"/>
        <v>6.9999999998806572E-3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18"/>
      <c r="R48" s="70">
        <f t="shared" si="16"/>
        <v>0</v>
      </c>
      <c r="S48" s="71"/>
      <c r="T48" s="72"/>
      <c r="U48" s="213">
        <f t="shared" si="11"/>
        <v>272.41000000000031</v>
      </c>
      <c r="V48" s="74">
        <f t="shared" si="12"/>
        <v>60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18"/>
      <c r="AD48" s="70">
        <f t="shared" si="17"/>
        <v>0</v>
      </c>
      <c r="AE48" s="71"/>
      <c r="AF48" s="72"/>
      <c r="AG48" s="213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705">
        <f t="shared" si="0"/>
        <v>0</v>
      </c>
      <c r="E49" s="996"/>
      <c r="F49" s="705">
        <f t="shared" si="15"/>
        <v>0</v>
      </c>
      <c r="G49" s="706"/>
      <c r="H49" s="186"/>
      <c r="I49" s="213">
        <f t="shared" si="9"/>
        <v>6.9999999998806572E-3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18"/>
      <c r="R49" s="70">
        <f t="shared" si="16"/>
        <v>0</v>
      </c>
      <c r="S49" s="71"/>
      <c r="T49" s="72"/>
      <c r="U49" s="213">
        <f t="shared" si="11"/>
        <v>272.41000000000031</v>
      </c>
      <c r="V49" s="74">
        <f t="shared" si="12"/>
        <v>60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18"/>
      <c r="AD49" s="70">
        <f t="shared" si="17"/>
        <v>0</v>
      </c>
      <c r="AE49" s="71"/>
      <c r="AF49" s="72"/>
      <c r="AG49" s="213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705">
        <f t="shared" si="0"/>
        <v>0</v>
      </c>
      <c r="E50" s="996"/>
      <c r="F50" s="705">
        <f t="shared" si="15"/>
        <v>0</v>
      </c>
      <c r="G50" s="706"/>
      <c r="H50" s="186"/>
      <c r="I50" s="213">
        <f t="shared" si="9"/>
        <v>6.9999999998806572E-3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18"/>
      <c r="R50" s="70">
        <f t="shared" si="16"/>
        <v>0</v>
      </c>
      <c r="S50" s="71"/>
      <c r="T50" s="72"/>
      <c r="U50" s="213">
        <f t="shared" si="11"/>
        <v>272.41000000000031</v>
      </c>
      <c r="V50" s="74">
        <f t="shared" si="12"/>
        <v>60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18"/>
      <c r="AD50" s="70">
        <f t="shared" si="17"/>
        <v>0</v>
      </c>
      <c r="AE50" s="71"/>
      <c r="AF50" s="72"/>
      <c r="AG50" s="213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705">
        <f t="shared" si="0"/>
        <v>0</v>
      </c>
      <c r="E51" s="996"/>
      <c r="F51" s="705">
        <f t="shared" si="15"/>
        <v>0</v>
      </c>
      <c r="G51" s="706"/>
      <c r="H51" s="186"/>
      <c r="I51" s="213">
        <f t="shared" si="9"/>
        <v>6.9999999998806572E-3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18"/>
      <c r="R51" s="70">
        <f t="shared" si="16"/>
        <v>0</v>
      </c>
      <c r="S51" s="71"/>
      <c r="T51" s="72"/>
      <c r="U51" s="213">
        <f t="shared" si="11"/>
        <v>272.41000000000031</v>
      </c>
      <c r="V51" s="74">
        <f t="shared" si="12"/>
        <v>60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18"/>
      <c r="AD51" s="70">
        <f t="shared" si="17"/>
        <v>0</v>
      </c>
      <c r="AE51" s="71"/>
      <c r="AF51" s="72"/>
      <c r="AG51" s="213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0"/>
        <v>0</v>
      </c>
      <c r="E52" s="218"/>
      <c r="F52" s="70">
        <f t="shared" si="15"/>
        <v>0</v>
      </c>
      <c r="G52" s="71"/>
      <c r="H52" s="72"/>
      <c r="I52" s="213">
        <f t="shared" si="9"/>
        <v>6.9999999998806572E-3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18"/>
      <c r="R52" s="70">
        <f t="shared" si="16"/>
        <v>0</v>
      </c>
      <c r="S52" s="71"/>
      <c r="T52" s="72"/>
      <c r="U52" s="213">
        <f t="shared" si="11"/>
        <v>272.41000000000031</v>
      </c>
      <c r="V52" s="74">
        <f t="shared" si="12"/>
        <v>60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18"/>
      <c r="AD52" s="70">
        <f t="shared" si="17"/>
        <v>0</v>
      </c>
      <c r="AE52" s="71"/>
      <c r="AF52" s="72"/>
      <c r="AG52" s="213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0"/>
        <v>0</v>
      </c>
      <c r="E53" s="218"/>
      <c r="F53" s="70">
        <f t="shared" si="15"/>
        <v>0</v>
      </c>
      <c r="G53" s="71"/>
      <c r="H53" s="72"/>
      <c r="I53" s="213">
        <f t="shared" si="9"/>
        <v>6.9999999998806572E-3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18"/>
      <c r="R53" s="70">
        <f t="shared" si="16"/>
        <v>0</v>
      </c>
      <c r="S53" s="71"/>
      <c r="T53" s="72"/>
      <c r="U53" s="213">
        <f t="shared" si="11"/>
        <v>272.41000000000031</v>
      </c>
      <c r="V53" s="74">
        <f t="shared" si="12"/>
        <v>60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18"/>
      <c r="AD53" s="70">
        <f t="shared" si="17"/>
        <v>0</v>
      </c>
      <c r="AE53" s="71"/>
      <c r="AF53" s="72"/>
      <c r="AG53" s="213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0"/>
        <v>0</v>
      </c>
      <c r="E54" s="218"/>
      <c r="F54" s="70">
        <f t="shared" si="15"/>
        <v>0</v>
      </c>
      <c r="G54" s="71"/>
      <c r="H54" s="72"/>
      <c r="I54" s="213">
        <f t="shared" si="9"/>
        <v>6.9999999998806572E-3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18"/>
      <c r="R54" s="70">
        <f t="shared" si="16"/>
        <v>0</v>
      </c>
      <c r="S54" s="71"/>
      <c r="T54" s="72"/>
      <c r="U54" s="213">
        <f t="shared" si="11"/>
        <v>272.41000000000031</v>
      </c>
      <c r="V54" s="74">
        <f t="shared" si="12"/>
        <v>60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18"/>
      <c r="AD54" s="70">
        <f t="shared" si="17"/>
        <v>0</v>
      </c>
      <c r="AE54" s="71"/>
      <c r="AF54" s="72"/>
      <c r="AG54" s="213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0"/>
        <v>0</v>
      </c>
      <c r="E55" s="218"/>
      <c r="F55" s="70">
        <f t="shared" si="15"/>
        <v>0</v>
      </c>
      <c r="G55" s="71"/>
      <c r="H55" s="72"/>
      <c r="I55" s="213">
        <f t="shared" si="9"/>
        <v>6.9999999998806572E-3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18"/>
      <c r="R55" s="70">
        <f t="shared" si="16"/>
        <v>0</v>
      </c>
      <c r="S55" s="71"/>
      <c r="T55" s="72"/>
      <c r="U55" s="213">
        <f t="shared" si="11"/>
        <v>272.41000000000031</v>
      </c>
      <c r="V55" s="74">
        <f t="shared" si="12"/>
        <v>60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18"/>
      <c r="AD55" s="70">
        <f t="shared" si="17"/>
        <v>0</v>
      </c>
      <c r="AE55" s="71"/>
      <c r="AF55" s="72"/>
      <c r="AG55" s="213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0"/>
        <v>0</v>
      </c>
      <c r="E56" s="218"/>
      <c r="F56" s="70">
        <f t="shared" si="15"/>
        <v>0</v>
      </c>
      <c r="G56" s="71"/>
      <c r="H56" s="72"/>
      <c r="I56" s="213">
        <f t="shared" si="9"/>
        <v>6.9999999998806572E-3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18"/>
      <c r="R56" s="70">
        <f t="shared" si="16"/>
        <v>0</v>
      </c>
      <c r="S56" s="71"/>
      <c r="T56" s="72"/>
      <c r="U56" s="213">
        <f t="shared" si="11"/>
        <v>272.41000000000031</v>
      </c>
      <c r="V56" s="74">
        <f t="shared" si="12"/>
        <v>60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18"/>
      <c r="AD56" s="70">
        <f t="shared" si="17"/>
        <v>0</v>
      </c>
      <c r="AE56" s="71"/>
      <c r="AF56" s="72"/>
      <c r="AG56" s="213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0"/>
        <v>0</v>
      </c>
      <c r="E57" s="218"/>
      <c r="F57" s="70">
        <f t="shared" si="15"/>
        <v>0</v>
      </c>
      <c r="G57" s="71"/>
      <c r="H57" s="72"/>
      <c r="I57" s="213">
        <f t="shared" si="9"/>
        <v>6.9999999998806572E-3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18"/>
      <c r="R57" s="70">
        <f t="shared" si="16"/>
        <v>0</v>
      </c>
      <c r="S57" s="71"/>
      <c r="T57" s="72"/>
      <c r="U57" s="213">
        <f t="shared" si="11"/>
        <v>272.41000000000031</v>
      </c>
      <c r="V57" s="74">
        <f t="shared" si="12"/>
        <v>60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18"/>
      <c r="AD57" s="70">
        <f t="shared" si="17"/>
        <v>0</v>
      </c>
      <c r="AE57" s="71"/>
      <c r="AF57" s="72"/>
      <c r="AG57" s="213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0"/>
        <v>0</v>
      </c>
      <c r="E58" s="218"/>
      <c r="F58" s="70">
        <f t="shared" si="15"/>
        <v>0</v>
      </c>
      <c r="G58" s="71"/>
      <c r="H58" s="72"/>
      <c r="I58" s="213">
        <f t="shared" si="9"/>
        <v>6.9999999998806572E-3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18"/>
      <c r="R58" s="70">
        <f t="shared" si="16"/>
        <v>0</v>
      </c>
      <c r="S58" s="71"/>
      <c r="T58" s="72"/>
      <c r="U58" s="213">
        <f t="shared" si="11"/>
        <v>272.41000000000031</v>
      </c>
      <c r="V58" s="74">
        <f t="shared" si="12"/>
        <v>60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18"/>
      <c r="AD58" s="70">
        <f t="shared" si="17"/>
        <v>0</v>
      </c>
      <c r="AE58" s="71"/>
      <c r="AF58" s="72"/>
      <c r="AG58" s="213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0"/>
        <v>0</v>
      </c>
      <c r="E59" s="218"/>
      <c r="F59" s="70">
        <f t="shared" si="15"/>
        <v>0</v>
      </c>
      <c r="G59" s="71"/>
      <c r="H59" s="72"/>
      <c r="I59" s="213">
        <f t="shared" si="9"/>
        <v>6.9999999998806572E-3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18"/>
      <c r="R59" s="70">
        <f t="shared" si="16"/>
        <v>0</v>
      </c>
      <c r="S59" s="71"/>
      <c r="T59" s="72"/>
      <c r="U59" s="213">
        <f t="shared" si="11"/>
        <v>272.41000000000031</v>
      </c>
      <c r="V59" s="74">
        <f t="shared" si="12"/>
        <v>60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18"/>
      <c r="AD59" s="70">
        <f t="shared" si="17"/>
        <v>0</v>
      </c>
      <c r="AE59" s="71"/>
      <c r="AF59" s="72"/>
      <c r="AG59" s="213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0"/>
        <v>0</v>
      </c>
      <c r="E60" s="218"/>
      <c r="F60" s="70">
        <f t="shared" si="15"/>
        <v>0</v>
      </c>
      <c r="G60" s="71"/>
      <c r="H60" s="72"/>
      <c r="I60" s="213">
        <f t="shared" si="9"/>
        <v>6.9999999998806572E-3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18"/>
      <c r="R60" s="70">
        <f t="shared" si="16"/>
        <v>0</v>
      </c>
      <c r="S60" s="71"/>
      <c r="T60" s="72"/>
      <c r="U60" s="213">
        <f t="shared" si="11"/>
        <v>272.41000000000031</v>
      </c>
      <c r="V60" s="74">
        <f t="shared" si="12"/>
        <v>60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18"/>
      <c r="AD60" s="70">
        <f t="shared" si="17"/>
        <v>0</v>
      </c>
      <c r="AE60" s="71"/>
      <c r="AF60" s="72"/>
      <c r="AG60" s="213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0"/>
        <v>0</v>
      </c>
      <c r="E61" s="218"/>
      <c r="F61" s="70">
        <f t="shared" si="15"/>
        <v>0</v>
      </c>
      <c r="G61" s="71"/>
      <c r="H61" s="72"/>
      <c r="I61" s="213">
        <f t="shared" si="9"/>
        <v>6.9999999998806572E-3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18"/>
      <c r="R61" s="70">
        <f t="shared" si="16"/>
        <v>0</v>
      </c>
      <c r="S61" s="71"/>
      <c r="T61" s="72"/>
      <c r="U61" s="213">
        <f t="shared" si="11"/>
        <v>272.41000000000031</v>
      </c>
      <c r="V61" s="74">
        <f t="shared" si="12"/>
        <v>60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18"/>
      <c r="AD61" s="70">
        <f t="shared" si="17"/>
        <v>0</v>
      </c>
      <c r="AE61" s="71"/>
      <c r="AF61" s="72"/>
      <c r="AG61" s="213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0"/>
        <v>0</v>
      </c>
      <c r="E62" s="218"/>
      <c r="F62" s="70">
        <f t="shared" si="15"/>
        <v>0</v>
      </c>
      <c r="G62" s="71"/>
      <c r="H62" s="72"/>
      <c r="I62" s="213">
        <f t="shared" si="9"/>
        <v>6.9999999998806572E-3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18"/>
      <c r="R62" s="70">
        <f t="shared" si="16"/>
        <v>0</v>
      </c>
      <c r="S62" s="71"/>
      <c r="T62" s="72"/>
      <c r="U62" s="213">
        <f t="shared" si="11"/>
        <v>272.41000000000031</v>
      </c>
      <c r="V62" s="74">
        <f t="shared" si="12"/>
        <v>60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18"/>
      <c r="AD62" s="70">
        <f t="shared" si="17"/>
        <v>0</v>
      </c>
      <c r="AE62" s="71"/>
      <c r="AF62" s="72"/>
      <c r="AG62" s="213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0"/>
        <v>0</v>
      </c>
      <c r="E63" s="218"/>
      <c r="F63" s="70">
        <f t="shared" si="15"/>
        <v>0</v>
      </c>
      <c r="G63" s="71"/>
      <c r="H63" s="72"/>
      <c r="I63" s="213">
        <f t="shared" si="9"/>
        <v>6.9999999998806572E-3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18"/>
      <c r="R63" s="70">
        <f t="shared" si="16"/>
        <v>0</v>
      </c>
      <c r="S63" s="71"/>
      <c r="T63" s="72"/>
      <c r="U63" s="213">
        <f t="shared" si="11"/>
        <v>272.41000000000031</v>
      </c>
      <c r="V63" s="74">
        <f t="shared" si="12"/>
        <v>60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18"/>
      <c r="AD63" s="70">
        <f t="shared" si="17"/>
        <v>0</v>
      </c>
      <c r="AE63" s="71"/>
      <c r="AF63" s="72"/>
      <c r="AG63" s="213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0"/>
        <v>0</v>
      </c>
      <c r="E64" s="218"/>
      <c r="F64" s="70">
        <f t="shared" si="15"/>
        <v>0</v>
      </c>
      <c r="G64" s="71"/>
      <c r="H64" s="72"/>
      <c r="I64" s="213">
        <f t="shared" si="9"/>
        <v>6.9999999998806572E-3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18"/>
      <c r="R64" s="70">
        <f t="shared" si="16"/>
        <v>0</v>
      </c>
      <c r="S64" s="71"/>
      <c r="T64" s="72"/>
      <c r="U64" s="213">
        <f t="shared" si="11"/>
        <v>272.41000000000031</v>
      </c>
      <c r="V64" s="74">
        <f t="shared" si="12"/>
        <v>60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18"/>
      <c r="AD64" s="70">
        <f t="shared" si="17"/>
        <v>0</v>
      </c>
      <c r="AE64" s="71"/>
      <c r="AF64" s="72"/>
      <c r="AG64" s="213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0"/>
        <v>0</v>
      </c>
      <c r="E65" s="218"/>
      <c r="F65" s="70">
        <f t="shared" si="15"/>
        <v>0</v>
      </c>
      <c r="G65" s="71"/>
      <c r="H65" s="72"/>
      <c r="I65" s="213">
        <f t="shared" si="9"/>
        <v>6.9999999998806572E-3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18"/>
      <c r="R65" s="70">
        <f t="shared" si="16"/>
        <v>0</v>
      </c>
      <c r="S65" s="71"/>
      <c r="T65" s="72"/>
      <c r="U65" s="213">
        <f t="shared" si="11"/>
        <v>272.41000000000031</v>
      </c>
      <c r="V65" s="74">
        <f t="shared" si="12"/>
        <v>60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18"/>
      <c r="AD65" s="70">
        <f t="shared" si="17"/>
        <v>0</v>
      </c>
      <c r="AE65" s="71"/>
      <c r="AF65" s="72"/>
      <c r="AG65" s="213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0"/>
        <v>0</v>
      </c>
      <c r="E66" s="218"/>
      <c r="F66" s="70">
        <f t="shared" si="15"/>
        <v>0</v>
      </c>
      <c r="G66" s="71"/>
      <c r="H66" s="72"/>
      <c r="I66" s="213">
        <f t="shared" si="9"/>
        <v>6.9999999998806572E-3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18"/>
      <c r="R66" s="70">
        <f t="shared" si="16"/>
        <v>0</v>
      </c>
      <c r="S66" s="71"/>
      <c r="T66" s="72"/>
      <c r="U66" s="213">
        <f t="shared" si="11"/>
        <v>272.41000000000031</v>
      </c>
      <c r="V66" s="74">
        <f t="shared" si="12"/>
        <v>60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18"/>
      <c r="AD66" s="70">
        <f t="shared" si="17"/>
        <v>0</v>
      </c>
      <c r="AE66" s="71"/>
      <c r="AF66" s="72"/>
      <c r="AG66" s="213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0"/>
        <v>0</v>
      </c>
      <c r="E67" s="218"/>
      <c r="F67" s="70">
        <f t="shared" si="15"/>
        <v>0</v>
      </c>
      <c r="G67" s="71"/>
      <c r="H67" s="72"/>
      <c r="I67" s="213">
        <f t="shared" si="9"/>
        <v>6.9999999998806572E-3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18"/>
      <c r="R67" s="70">
        <f t="shared" si="16"/>
        <v>0</v>
      </c>
      <c r="S67" s="71"/>
      <c r="T67" s="72"/>
      <c r="U67" s="213">
        <f t="shared" si="11"/>
        <v>272.41000000000031</v>
      </c>
      <c r="V67" s="74">
        <f t="shared" si="12"/>
        <v>60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18"/>
      <c r="AD67" s="70">
        <f t="shared" si="17"/>
        <v>0</v>
      </c>
      <c r="AE67" s="71"/>
      <c r="AF67" s="72"/>
      <c r="AG67" s="213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0"/>
        <v>0</v>
      </c>
      <c r="E68" s="218"/>
      <c r="F68" s="70">
        <f t="shared" si="15"/>
        <v>0</v>
      </c>
      <c r="G68" s="71"/>
      <c r="H68" s="72"/>
      <c r="I68" s="213">
        <f t="shared" si="9"/>
        <v>6.9999999998806572E-3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18"/>
      <c r="R68" s="70">
        <f t="shared" si="16"/>
        <v>0</v>
      </c>
      <c r="S68" s="71"/>
      <c r="T68" s="72"/>
      <c r="U68" s="213">
        <f t="shared" si="11"/>
        <v>272.41000000000031</v>
      </c>
      <c r="V68" s="74">
        <f t="shared" si="12"/>
        <v>60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18"/>
      <c r="AD68" s="70">
        <f t="shared" si="17"/>
        <v>0</v>
      </c>
      <c r="AE68" s="71"/>
      <c r="AF68" s="72"/>
      <c r="AG68" s="213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0"/>
        <v>0</v>
      </c>
      <c r="E69" s="220"/>
      <c r="F69" s="161">
        <f t="shared" si="15"/>
        <v>0</v>
      </c>
      <c r="G69" s="145"/>
      <c r="H69" s="221"/>
      <c r="I69" s="136"/>
      <c r="J69" s="74"/>
      <c r="N69" s="139">
        <v>4.54</v>
      </c>
      <c r="O69" s="37"/>
      <c r="P69" s="70">
        <f t="shared" si="2"/>
        <v>0</v>
      </c>
      <c r="Q69" s="220"/>
      <c r="R69" s="161">
        <f t="shared" si="16"/>
        <v>0</v>
      </c>
      <c r="S69" s="145"/>
      <c r="T69" s="221"/>
      <c r="U69" s="136"/>
      <c r="V69" s="74"/>
      <c r="Z69" s="139">
        <v>4.54</v>
      </c>
      <c r="AA69" s="37"/>
      <c r="AB69" s="70">
        <f t="shared" si="4"/>
        <v>0</v>
      </c>
      <c r="AC69" s="220"/>
      <c r="AD69" s="161">
        <f t="shared" si="17"/>
        <v>0</v>
      </c>
      <c r="AE69" s="145"/>
      <c r="AF69" s="221"/>
      <c r="AG69" s="136"/>
      <c r="AH69" s="74"/>
    </row>
    <row r="70" spans="2:35" ht="15.75" thickTop="1" x14ac:dyDescent="0.25">
      <c r="C70" s="15">
        <f>SUM(C9:C69)</f>
        <v>457</v>
      </c>
      <c r="D70" s="6">
        <f>SUM(D9:D69)</f>
        <v>2074.7799999999997</v>
      </c>
      <c r="E70" s="13"/>
      <c r="F70" s="6">
        <f>SUM(F9:F69)</f>
        <v>2074.7799999999997</v>
      </c>
      <c r="G70" s="31"/>
      <c r="H70" s="17"/>
      <c r="I70" s="136"/>
      <c r="J70" s="74"/>
      <c r="O70" s="15">
        <f>SUM(O9:O69)</f>
        <v>395</v>
      </c>
      <c r="P70" s="6">
        <f>SUM(P9:P69)</f>
        <v>1793.2999999999997</v>
      </c>
      <c r="Q70" s="13"/>
      <c r="R70" s="6">
        <f>SUM(R9:R69)</f>
        <v>1793.2999999999997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4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4">
        <f>R4+R5-O70+R6+R7</f>
        <v>60</v>
      </c>
      <c r="Q72" s="40"/>
      <c r="R72" s="6"/>
      <c r="S72" s="31"/>
      <c r="T72" s="17"/>
      <c r="U72" s="136"/>
      <c r="V72" s="74"/>
      <c r="AA72" s="50" t="s">
        <v>4</v>
      </c>
      <c r="AB72" s="234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200" t="s">
        <v>19</v>
      </c>
      <c r="D73" s="1201"/>
      <c r="E73" s="39">
        <f>E4+E5-F70+E6+E7</f>
        <v>7.0000000003602736E-3</v>
      </c>
      <c r="F73" s="6"/>
      <c r="G73" s="6"/>
      <c r="H73" s="17"/>
      <c r="I73" s="136"/>
      <c r="J73" s="74"/>
      <c r="O73" s="1200" t="s">
        <v>19</v>
      </c>
      <c r="P73" s="1201"/>
      <c r="Q73" s="39">
        <f>Q4+Q5-R70+Q6+Q7</f>
        <v>272.41000000000025</v>
      </c>
      <c r="R73" s="6"/>
      <c r="S73" s="6"/>
      <c r="T73" s="17"/>
      <c r="U73" s="136"/>
      <c r="V73" s="74"/>
      <c r="AA73" s="1200" t="s">
        <v>19</v>
      </c>
      <c r="AB73" s="1201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</row>
    <row r="4" spans="1:10" ht="15.75" thickTop="1" x14ac:dyDescent="0.25">
      <c r="B4" s="12"/>
      <c r="C4" s="132"/>
      <c r="D4" s="160"/>
      <c r="E4" s="5"/>
      <c r="F4" s="74"/>
      <c r="G4" s="74"/>
      <c r="I4" s="213"/>
    </row>
    <row r="5" spans="1:10" x14ac:dyDescent="0.25">
      <c r="A5" s="74" t="s">
        <v>44</v>
      </c>
      <c r="B5" s="227" t="s">
        <v>46</v>
      </c>
      <c r="C5" s="222"/>
      <c r="D5" s="160"/>
      <c r="E5" s="107"/>
      <c r="F5" s="74"/>
      <c r="G5" s="273">
        <f>F61</f>
        <v>0</v>
      </c>
      <c r="H5" s="7">
        <f>E4+E5-G5+E6+E7</f>
        <v>0</v>
      </c>
      <c r="I5" s="213"/>
    </row>
    <row r="6" spans="1:10" ht="15.75" thickBot="1" x14ac:dyDescent="0.3">
      <c r="B6" s="12"/>
      <c r="C6" s="222"/>
      <c r="D6" s="160"/>
      <c r="E6" s="107"/>
      <c r="F6" s="74"/>
      <c r="I6" s="214"/>
    </row>
    <row r="7" spans="1:10" ht="15.75" thickBot="1" x14ac:dyDescent="0.3">
      <c r="B7" s="12"/>
      <c r="C7" s="222"/>
      <c r="D7" s="160"/>
      <c r="E7" s="107"/>
      <c r="F7" s="74"/>
      <c r="I7" s="1202" t="s">
        <v>19</v>
      </c>
      <c r="J7" s="1204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03"/>
      <c r="J8" s="1205"/>
    </row>
    <row r="9" spans="1:10" ht="15.75" thickTop="1" x14ac:dyDescent="0.25">
      <c r="A9" s="74"/>
      <c r="B9" s="139">
        <v>10</v>
      </c>
      <c r="C9" s="276"/>
      <c r="D9" s="93">
        <f t="shared" ref="D9:D13" si="0">C9*B9</f>
        <v>0</v>
      </c>
      <c r="E9" s="218"/>
      <c r="F9" s="70">
        <f t="shared" ref="F9:F13" si="1">D9</f>
        <v>0</v>
      </c>
      <c r="G9" s="71"/>
      <c r="H9" s="72"/>
      <c r="I9" s="213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18"/>
      <c r="F10" s="70">
        <f t="shared" si="1"/>
        <v>0</v>
      </c>
      <c r="G10" s="71"/>
      <c r="H10" s="279"/>
      <c r="I10" s="213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6"/>
      <c r="D11" s="93">
        <f t="shared" si="0"/>
        <v>0</v>
      </c>
      <c r="E11" s="218"/>
      <c r="F11" s="70">
        <f t="shared" si="1"/>
        <v>0</v>
      </c>
      <c r="G11" s="71"/>
      <c r="H11" s="72"/>
      <c r="I11" s="213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6"/>
      <c r="D12" s="93">
        <f t="shared" si="0"/>
        <v>0</v>
      </c>
      <c r="E12" s="218"/>
      <c r="F12" s="70">
        <f t="shared" si="1"/>
        <v>0</v>
      </c>
      <c r="G12" s="71"/>
      <c r="H12" s="72"/>
      <c r="I12" s="213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6"/>
      <c r="D13" s="93">
        <f t="shared" si="0"/>
        <v>0</v>
      </c>
      <c r="E13" s="218"/>
      <c r="F13" s="70">
        <f t="shared" si="1"/>
        <v>0</v>
      </c>
      <c r="G13" s="71"/>
      <c r="H13" s="72"/>
      <c r="I13" s="213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6"/>
      <c r="D14" s="292">
        <f>C14*B14</f>
        <v>0</v>
      </c>
      <c r="E14" s="519"/>
      <c r="F14" s="277">
        <f>D14</f>
        <v>0</v>
      </c>
      <c r="G14" s="278"/>
      <c r="H14" s="279"/>
      <c r="I14" s="293">
        <f t="shared" si="2"/>
        <v>0</v>
      </c>
      <c r="J14" s="281">
        <f t="shared" si="3"/>
        <v>0</v>
      </c>
    </row>
    <row r="15" spans="1:10" x14ac:dyDescent="0.25">
      <c r="B15" s="139">
        <f t="shared" si="4"/>
        <v>10</v>
      </c>
      <c r="C15" s="276"/>
      <c r="D15" s="93">
        <f>C15*B15</f>
        <v>0</v>
      </c>
      <c r="E15" s="218"/>
      <c r="F15" s="70">
        <f>D15</f>
        <v>0</v>
      </c>
      <c r="G15" s="71"/>
      <c r="H15" s="279"/>
      <c r="I15" s="293">
        <f t="shared" si="2"/>
        <v>0</v>
      </c>
      <c r="J15" s="281">
        <f t="shared" si="3"/>
        <v>0</v>
      </c>
    </row>
    <row r="16" spans="1:10" x14ac:dyDescent="0.25">
      <c r="B16" s="139">
        <f t="shared" si="4"/>
        <v>10</v>
      </c>
      <c r="C16" s="276"/>
      <c r="D16" s="93">
        <f t="shared" ref="D16:D60" si="5">C16*B16</f>
        <v>0</v>
      </c>
      <c r="E16" s="218"/>
      <c r="F16" s="70">
        <f t="shared" ref="F16:F60" si="6">D16</f>
        <v>0</v>
      </c>
      <c r="G16" s="71"/>
      <c r="H16" s="279"/>
      <c r="I16" s="293">
        <f t="shared" si="2"/>
        <v>0</v>
      </c>
      <c r="J16" s="281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18"/>
      <c r="F17" s="70">
        <f t="shared" si="6"/>
        <v>0</v>
      </c>
      <c r="G17" s="71"/>
      <c r="H17" s="279"/>
      <c r="I17" s="293">
        <f t="shared" si="2"/>
        <v>0</v>
      </c>
      <c r="J17" s="281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18"/>
      <c r="F18" s="70">
        <f t="shared" si="6"/>
        <v>0</v>
      </c>
      <c r="G18" s="71"/>
      <c r="H18" s="279"/>
      <c r="I18" s="293">
        <f t="shared" si="2"/>
        <v>0</v>
      </c>
      <c r="J18" s="281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18"/>
      <c r="F19" s="70">
        <f t="shared" si="6"/>
        <v>0</v>
      </c>
      <c r="G19" s="71"/>
      <c r="H19" s="279"/>
      <c r="I19" s="293">
        <f t="shared" si="2"/>
        <v>0</v>
      </c>
      <c r="J19" s="281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18"/>
      <c r="F20" s="70">
        <f t="shared" si="6"/>
        <v>0</v>
      </c>
      <c r="G20" s="71"/>
      <c r="H20" s="279"/>
      <c r="I20" s="293">
        <f t="shared" si="2"/>
        <v>0</v>
      </c>
      <c r="J20" s="281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18"/>
      <c r="F21" s="70">
        <f t="shared" si="6"/>
        <v>0</v>
      </c>
      <c r="G21" s="71"/>
      <c r="H21" s="279"/>
      <c r="I21" s="293">
        <f t="shared" si="2"/>
        <v>0</v>
      </c>
      <c r="J21" s="281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18"/>
      <c r="F22" s="70">
        <f t="shared" si="6"/>
        <v>0</v>
      </c>
      <c r="G22" s="71"/>
      <c r="H22" s="279"/>
      <c r="I22" s="213">
        <f t="shared" si="2"/>
        <v>0</v>
      </c>
      <c r="J22" s="281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18"/>
      <c r="F23" s="70">
        <f t="shared" si="6"/>
        <v>0</v>
      </c>
      <c r="G23" s="71"/>
      <c r="H23" s="72"/>
      <c r="I23" s="213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18"/>
      <c r="F24" s="70">
        <f t="shared" si="6"/>
        <v>0</v>
      </c>
      <c r="G24" s="71"/>
      <c r="H24" s="72"/>
      <c r="I24" s="213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18"/>
      <c r="F25" s="70">
        <f t="shared" si="6"/>
        <v>0</v>
      </c>
      <c r="G25" s="71"/>
      <c r="H25" s="72"/>
      <c r="I25" s="213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18"/>
      <c r="F26" s="70">
        <f t="shared" si="6"/>
        <v>0</v>
      </c>
      <c r="G26" s="71"/>
      <c r="H26" s="72"/>
      <c r="I26" s="213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18"/>
      <c r="F27" s="70">
        <f t="shared" si="6"/>
        <v>0</v>
      </c>
      <c r="G27" s="71"/>
      <c r="H27" s="72"/>
      <c r="I27" s="213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18"/>
      <c r="F28" s="70">
        <f t="shared" si="6"/>
        <v>0</v>
      </c>
      <c r="G28" s="71"/>
      <c r="H28" s="72"/>
      <c r="I28" s="213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18"/>
      <c r="F29" s="70">
        <f t="shared" si="6"/>
        <v>0</v>
      </c>
      <c r="G29" s="71"/>
      <c r="H29" s="72"/>
      <c r="I29" s="213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18"/>
      <c r="F30" s="70">
        <f t="shared" si="6"/>
        <v>0</v>
      </c>
      <c r="G30" s="71"/>
      <c r="H30" s="72"/>
      <c r="I30" s="213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18"/>
      <c r="F31" s="70">
        <f t="shared" si="6"/>
        <v>0</v>
      </c>
      <c r="G31" s="71"/>
      <c r="H31" s="72"/>
      <c r="I31" s="213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18"/>
      <c r="F32" s="70">
        <f t="shared" si="6"/>
        <v>0</v>
      </c>
      <c r="G32" s="71"/>
      <c r="H32" s="72"/>
      <c r="I32" s="213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3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3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3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3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3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18"/>
      <c r="F38" s="70">
        <f t="shared" si="6"/>
        <v>0</v>
      </c>
      <c r="G38" s="71"/>
      <c r="H38" s="72"/>
      <c r="I38" s="213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18"/>
      <c r="F39" s="70">
        <f t="shared" si="6"/>
        <v>0</v>
      </c>
      <c r="G39" s="71"/>
      <c r="H39" s="72"/>
      <c r="I39" s="213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18"/>
      <c r="F40" s="70">
        <f t="shared" si="6"/>
        <v>0</v>
      </c>
      <c r="G40" s="71"/>
      <c r="H40" s="72"/>
      <c r="I40" s="213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18"/>
      <c r="F41" s="70">
        <f t="shared" si="6"/>
        <v>0</v>
      </c>
      <c r="G41" s="71"/>
      <c r="H41" s="72"/>
      <c r="I41" s="213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18"/>
      <c r="F42" s="70">
        <f t="shared" si="6"/>
        <v>0</v>
      </c>
      <c r="G42" s="71"/>
      <c r="H42" s="72"/>
      <c r="I42" s="213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18"/>
      <c r="F43" s="70">
        <f t="shared" si="6"/>
        <v>0</v>
      </c>
      <c r="G43" s="71"/>
      <c r="H43" s="72"/>
      <c r="I43" s="213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18"/>
      <c r="F44" s="70">
        <f t="shared" si="6"/>
        <v>0</v>
      </c>
      <c r="G44" s="71"/>
      <c r="H44" s="72"/>
      <c r="I44" s="213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18"/>
      <c r="F45" s="70">
        <f t="shared" si="6"/>
        <v>0</v>
      </c>
      <c r="G45" s="71"/>
      <c r="H45" s="72"/>
      <c r="I45" s="213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18"/>
      <c r="F46" s="70">
        <f t="shared" si="6"/>
        <v>0</v>
      </c>
      <c r="G46" s="71"/>
      <c r="H46" s="72"/>
      <c r="I46" s="213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18"/>
      <c r="F47" s="70">
        <f t="shared" si="6"/>
        <v>0</v>
      </c>
      <c r="G47" s="71"/>
      <c r="H47" s="72"/>
      <c r="I47" s="213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18"/>
      <c r="F48" s="70">
        <f t="shared" si="6"/>
        <v>0</v>
      </c>
      <c r="G48" s="71"/>
      <c r="H48" s="72"/>
      <c r="I48" s="213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18"/>
      <c r="F49" s="70">
        <f t="shared" si="6"/>
        <v>0</v>
      </c>
      <c r="G49" s="71"/>
      <c r="H49" s="72"/>
      <c r="I49" s="213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18"/>
      <c r="F50" s="70">
        <f t="shared" si="6"/>
        <v>0</v>
      </c>
      <c r="G50" s="71"/>
      <c r="H50" s="72"/>
      <c r="I50" s="213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18"/>
      <c r="F51" s="70">
        <f t="shared" si="6"/>
        <v>0</v>
      </c>
      <c r="G51" s="71"/>
      <c r="H51" s="72"/>
      <c r="I51" s="213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18"/>
      <c r="F52" s="70">
        <f t="shared" si="6"/>
        <v>0</v>
      </c>
      <c r="G52" s="71"/>
      <c r="H52" s="72"/>
      <c r="I52" s="213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18"/>
      <c r="F53" s="70">
        <f t="shared" si="6"/>
        <v>0</v>
      </c>
      <c r="G53" s="71"/>
      <c r="H53" s="72"/>
      <c r="I53" s="213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18"/>
      <c r="F54" s="70">
        <f t="shared" si="6"/>
        <v>0</v>
      </c>
      <c r="G54" s="71"/>
      <c r="H54" s="72"/>
      <c r="I54" s="213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18"/>
      <c r="F55" s="70">
        <f t="shared" si="6"/>
        <v>0</v>
      </c>
      <c r="G55" s="71"/>
      <c r="H55" s="72"/>
      <c r="I55" s="213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18"/>
      <c r="F56" s="70">
        <f t="shared" si="6"/>
        <v>0</v>
      </c>
      <c r="G56" s="71"/>
      <c r="H56" s="72"/>
      <c r="I56" s="213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18"/>
      <c r="F57" s="70">
        <f t="shared" si="6"/>
        <v>0</v>
      </c>
      <c r="G57" s="71"/>
      <c r="H57" s="72"/>
      <c r="I57" s="213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18"/>
      <c r="F58" s="70">
        <f t="shared" si="6"/>
        <v>0</v>
      </c>
      <c r="G58" s="71"/>
      <c r="H58" s="72"/>
      <c r="I58" s="213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18"/>
      <c r="F59" s="70">
        <f t="shared" si="6"/>
        <v>0</v>
      </c>
      <c r="G59" s="71"/>
      <c r="H59" s="72"/>
      <c r="I59" s="213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0"/>
      <c r="F60" s="161">
        <f t="shared" si="6"/>
        <v>0</v>
      </c>
      <c r="G60" s="145"/>
      <c r="H60" s="22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00" t="s">
        <v>19</v>
      </c>
      <c r="D64" s="1201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F1" workbookViewId="0">
      <selection activeCell="AO19" sqref="AO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72" t="s">
        <v>254</v>
      </c>
      <c r="B1" s="1172"/>
      <c r="C1" s="1172"/>
      <c r="D1" s="1172"/>
      <c r="E1" s="1172"/>
      <c r="F1" s="1172"/>
      <c r="G1" s="1172"/>
      <c r="H1" s="11">
        <v>1</v>
      </c>
      <c r="K1" s="1172" t="str">
        <f>A1</f>
        <v>INVENTARIO    DEL MES DE NOVIEMBRE 2021</v>
      </c>
      <c r="L1" s="1172"/>
      <c r="M1" s="1172"/>
      <c r="N1" s="1172"/>
      <c r="O1" s="1172"/>
      <c r="P1" s="1172"/>
      <c r="Q1" s="1172"/>
      <c r="R1" s="11">
        <v>2</v>
      </c>
      <c r="U1" s="1176" t="s">
        <v>246</v>
      </c>
      <c r="V1" s="1176"/>
      <c r="W1" s="1176"/>
      <c r="X1" s="1176"/>
      <c r="Y1" s="1176"/>
      <c r="Z1" s="1176"/>
      <c r="AA1" s="1176"/>
      <c r="AB1" s="11">
        <v>3</v>
      </c>
      <c r="AE1" s="1176" t="str">
        <f>U1</f>
        <v>ENTRADA DEL MES DE DICIEMBRE 2021</v>
      </c>
      <c r="AF1" s="1176"/>
      <c r="AG1" s="1176"/>
      <c r="AH1" s="1176"/>
      <c r="AI1" s="1176"/>
      <c r="AJ1" s="1176"/>
      <c r="AK1" s="117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3" t="s">
        <v>100</v>
      </c>
      <c r="B5" s="1206" t="s">
        <v>120</v>
      </c>
      <c r="C5" s="688">
        <v>100</v>
      </c>
      <c r="D5" s="261">
        <v>44526</v>
      </c>
      <c r="E5" s="272">
        <v>100</v>
      </c>
      <c r="F5" s="266">
        <v>10</v>
      </c>
      <c r="G5" s="273"/>
      <c r="K5" s="263" t="s">
        <v>100</v>
      </c>
      <c r="L5" s="1208" t="s">
        <v>121</v>
      </c>
      <c r="M5" s="688">
        <v>88</v>
      </c>
      <c r="N5" s="261">
        <v>44526</v>
      </c>
      <c r="O5" s="272">
        <v>100</v>
      </c>
      <c r="P5" s="266">
        <v>10</v>
      </c>
      <c r="Q5" s="273"/>
      <c r="U5" s="263" t="s">
        <v>100</v>
      </c>
      <c r="V5" s="1192" t="s">
        <v>120</v>
      </c>
      <c r="W5" s="688">
        <v>100</v>
      </c>
      <c r="X5" s="261">
        <v>44543</v>
      </c>
      <c r="Y5" s="272">
        <v>500</v>
      </c>
      <c r="Z5" s="266">
        <v>50</v>
      </c>
      <c r="AA5" s="273"/>
      <c r="AE5" s="263" t="s">
        <v>100</v>
      </c>
      <c r="AF5" s="1208" t="s">
        <v>121</v>
      </c>
      <c r="AG5" s="688">
        <v>88</v>
      </c>
      <c r="AH5" s="261">
        <v>44543</v>
      </c>
      <c r="AI5" s="272">
        <v>250</v>
      </c>
      <c r="AJ5" s="266">
        <v>25</v>
      </c>
      <c r="AK5" s="273"/>
    </row>
    <row r="6" spans="1:39" ht="22.5" customHeight="1" thickBot="1" x14ac:dyDescent="0.3">
      <c r="A6" s="263"/>
      <c r="B6" s="1207"/>
      <c r="C6" s="624"/>
      <c r="D6" s="261"/>
      <c r="E6" s="280">
        <v>10</v>
      </c>
      <c r="F6" s="266">
        <v>1</v>
      </c>
      <c r="G6" s="275">
        <f>F78</f>
        <v>110</v>
      </c>
      <c r="H6" s="7">
        <f>E6-G6+E7+E5-G5</f>
        <v>0</v>
      </c>
      <c r="K6" s="263"/>
      <c r="L6" s="1208"/>
      <c r="M6" s="624"/>
      <c r="N6" s="261"/>
      <c r="O6" s="280"/>
      <c r="P6" s="266"/>
      <c r="Q6" s="275">
        <f>P78</f>
        <v>100</v>
      </c>
      <c r="R6" s="7">
        <f>O6-Q6+O7+O5-Q5</f>
        <v>0</v>
      </c>
      <c r="U6" s="263"/>
      <c r="V6" s="1193"/>
      <c r="W6" s="624"/>
      <c r="X6" s="261"/>
      <c r="Y6" s="280"/>
      <c r="Z6" s="266"/>
      <c r="AA6" s="275">
        <f>Z78</f>
        <v>250</v>
      </c>
      <c r="AB6" s="7">
        <f>Y6-AA6+Y7+Y5-AA5</f>
        <v>250</v>
      </c>
      <c r="AE6" s="263"/>
      <c r="AF6" s="1208"/>
      <c r="AG6" s="624"/>
      <c r="AH6" s="261"/>
      <c r="AI6" s="280"/>
      <c r="AJ6" s="266"/>
      <c r="AK6" s="275">
        <f>AJ78</f>
        <v>190</v>
      </c>
      <c r="AL6" s="7">
        <f>AI6-AK6+AI7+AI5-AK5</f>
        <v>60</v>
      </c>
    </row>
    <row r="7" spans="1:39" ht="15.75" thickBot="1" x14ac:dyDescent="0.3">
      <c r="A7" s="253"/>
      <c r="B7" s="285"/>
      <c r="C7" s="286"/>
      <c r="D7" s="287"/>
      <c r="E7" s="272"/>
      <c r="F7" s="266"/>
      <c r="G7" s="253"/>
      <c r="K7" s="253"/>
      <c r="L7" s="285"/>
      <c r="M7" s="286"/>
      <c r="N7" s="287"/>
      <c r="O7" s="272"/>
      <c r="P7" s="266"/>
      <c r="Q7" s="253"/>
      <c r="U7" s="253"/>
      <c r="V7" s="285"/>
      <c r="W7" s="286"/>
      <c r="X7" s="287"/>
      <c r="Y7" s="272"/>
      <c r="Z7" s="266"/>
      <c r="AA7" s="253"/>
      <c r="AE7" s="253"/>
      <c r="AF7" s="285"/>
      <c r="AG7" s="286"/>
      <c r="AH7" s="287"/>
      <c r="AI7" s="272"/>
      <c r="AJ7" s="266"/>
      <c r="AK7" s="253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6</v>
      </c>
      <c r="C9" s="15">
        <v>5</v>
      </c>
      <c r="D9" s="277">
        <v>50</v>
      </c>
      <c r="E9" s="308">
        <v>44531</v>
      </c>
      <c r="F9" s="277">
        <f>D9</f>
        <v>50</v>
      </c>
      <c r="G9" s="278" t="s">
        <v>235</v>
      </c>
      <c r="H9" s="279">
        <v>115</v>
      </c>
      <c r="I9" s="288">
        <f>E6-F9+E5+E7</f>
        <v>60</v>
      </c>
      <c r="K9" s="81" t="s">
        <v>32</v>
      </c>
      <c r="L9" s="84">
        <f>P6-M9+P5+P7</f>
        <v>9</v>
      </c>
      <c r="M9" s="15">
        <v>1</v>
      </c>
      <c r="N9" s="277">
        <v>10</v>
      </c>
      <c r="O9" s="308">
        <v>44526</v>
      </c>
      <c r="P9" s="277">
        <f>N9</f>
        <v>10</v>
      </c>
      <c r="Q9" s="278" t="s">
        <v>224</v>
      </c>
      <c r="R9" s="279">
        <v>100</v>
      </c>
      <c r="S9" s="288">
        <f>O6-P9+O5+O7</f>
        <v>90</v>
      </c>
      <c r="U9" s="81" t="s">
        <v>32</v>
      </c>
      <c r="V9" s="84">
        <f>Z6-W9+Z5+Z7</f>
        <v>45</v>
      </c>
      <c r="W9" s="15">
        <v>5</v>
      </c>
      <c r="X9" s="277">
        <v>50</v>
      </c>
      <c r="Y9" s="308">
        <v>44545</v>
      </c>
      <c r="Z9" s="277">
        <f>X9</f>
        <v>50</v>
      </c>
      <c r="AA9" s="278" t="s">
        <v>523</v>
      </c>
      <c r="AB9" s="279">
        <v>115</v>
      </c>
      <c r="AC9" s="288">
        <f>Y6-Z9+Y5+Y7</f>
        <v>450</v>
      </c>
      <c r="AE9" s="81" t="s">
        <v>32</v>
      </c>
      <c r="AF9" s="84">
        <f>AJ6-AG9+AJ5+AJ7</f>
        <v>20</v>
      </c>
      <c r="AG9" s="15">
        <v>5</v>
      </c>
      <c r="AH9" s="277">
        <v>50</v>
      </c>
      <c r="AI9" s="308">
        <v>44545</v>
      </c>
      <c r="AJ9" s="277">
        <f>AH9</f>
        <v>50</v>
      </c>
      <c r="AK9" s="278" t="s">
        <v>523</v>
      </c>
      <c r="AL9" s="279">
        <v>100</v>
      </c>
      <c r="AM9" s="288">
        <f>AI6-AJ9+AI5+AI7</f>
        <v>200</v>
      </c>
    </row>
    <row r="10" spans="1:39" x14ac:dyDescent="0.25">
      <c r="A10" s="217"/>
      <c r="B10" s="84">
        <f t="shared" ref="B10:B73" si="0">B9-C10</f>
        <v>5</v>
      </c>
      <c r="C10" s="74">
        <v>1</v>
      </c>
      <c r="D10" s="277">
        <v>10</v>
      </c>
      <c r="E10" s="308">
        <v>44533</v>
      </c>
      <c r="F10" s="277">
        <f>D10</f>
        <v>10</v>
      </c>
      <c r="G10" s="278" t="s">
        <v>239</v>
      </c>
      <c r="H10" s="279">
        <v>115</v>
      </c>
      <c r="I10" s="288">
        <f>I9-F10</f>
        <v>50</v>
      </c>
      <c r="K10" s="217"/>
      <c r="L10" s="84">
        <f t="shared" ref="L10:L73" si="1">L9-M10</f>
        <v>8</v>
      </c>
      <c r="M10" s="74">
        <v>1</v>
      </c>
      <c r="N10" s="277">
        <v>10</v>
      </c>
      <c r="O10" s="308">
        <v>44533</v>
      </c>
      <c r="P10" s="277">
        <f t="shared" ref="P10:P73" si="2">N10</f>
        <v>10</v>
      </c>
      <c r="Q10" s="278" t="s">
        <v>239</v>
      </c>
      <c r="R10" s="279">
        <v>100</v>
      </c>
      <c r="S10" s="288">
        <f t="shared" ref="S10:S73" si="3">S9-P10</f>
        <v>80</v>
      </c>
      <c r="U10" s="217"/>
      <c r="V10" s="84">
        <f t="shared" ref="V10:V73" si="4">V9-W10</f>
        <v>44</v>
      </c>
      <c r="W10" s="74">
        <v>1</v>
      </c>
      <c r="X10" s="277">
        <v>10</v>
      </c>
      <c r="Y10" s="308">
        <v>44550</v>
      </c>
      <c r="Z10" s="277">
        <f>X10</f>
        <v>10</v>
      </c>
      <c r="AA10" s="278" t="s">
        <v>552</v>
      </c>
      <c r="AB10" s="279">
        <v>115</v>
      </c>
      <c r="AC10" s="288">
        <f>AC9-Z10</f>
        <v>440</v>
      </c>
      <c r="AE10" s="217"/>
      <c r="AF10" s="84">
        <f t="shared" ref="AF10:AF73" si="5">AF9-AG10</f>
        <v>10</v>
      </c>
      <c r="AG10" s="74">
        <v>10</v>
      </c>
      <c r="AH10" s="277">
        <v>100</v>
      </c>
      <c r="AI10" s="308">
        <v>44552</v>
      </c>
      <c r="AJ10" s="277">
        <f t="shared" ref="AJ10:AJ73" si="6">AH10</f>
        <v>100</v>
      </c>
      <c r="AK10" s="278" t="s">
        <v>584</v>
      </c>
      <c r="AL10" s="279">
        <v>100</v>
      </c>
      <c r="AM10" s="288">
        <f t="shared" ref="AM10:AM73" si="7">AM9-AJ10</f>
        <v>100</v>
      </c>
    </row>
    <row r="11" spans="1:39" x14ac:dyDescent="0.25">
      <c r="A11" s="205"/>
      <c r="B11" s="84">
        <f t="shared" si="0"/>
        <v>3</v>
      </c>
      <c r="C11" s="74">
        <v>2</v>
      </c>
      <c r="D11" s="277">
        <v>20</v>
      </c>
      <c r="E11" s="308">
        <v>44533</v>
      </c>
      <c r="F11" s="277">
        <f t="shared" ref="F11:F74" si="8">D11</f>
        <v>20</v>
      </c>
      <c r="G11" s="278" t="s">
        <v>243</v>
      </c>
      <c r="H11" s="279">
        <v>115</v>
      </c>
      <c r="I11" s="288">
        <f t="shared" ref="I11:I74" si="9">I10-F11</f>
        <v>30</v>
      </c>
      <c r="K11" s="205"/>
      <c r="L11" s="84">
        <f t="shared" si="1"/>
        <v>7</v>
      </c>
      <c r="M11" s="74">
        <v>1</v>
      </c>
      <c r="N11" s="983">
        <v>10</v>
      </c>
      <c r="O11" s="984">
        <v>44540</v>
      </c>
      <c r="P11" s="983">
        <f t="shared" si="2"/>
        <v>10</v>
      </c>
      <c r="Q11" s="687" t="s">
        <v>500</v>
      </c>
      <c r="R11" s="985">
        <v>100</v>
      </c>
      <c r="S11" s="288">
        <f t="shared" si="3"/>
        <v>70</v>
      </c>
      <c r="U11" s="205"/>
      <c r="V11" s="84">
        <f t="shared" si="4"/>
        <v>34</v>
      </c>
      <c r="W11" s="74">
        <v>10</v>
      </c>
      <c r="X11" s="277">
        <v>100</v>
      </c>
      <c r="Y11" s="308">
        <v>44552</v>
      </c>
      <c r="Z11" s="277">
        <f t="shared" ref="Z11:Z74" si="10">X11</f>
        <v>100</v>
      </c>
      <c r="AA11" s="278" t="s">
        <v>584</v>
      </c>
      <c r="AB11" s="279">
        <v>115</v>
      </c>
      <c r="AC11" s="288">
        <f t="shared" ref="AC11:AC74" si="11">AC10-Z11</f>
        <v>340</v>
      </c>
      <c r="AE11" s="205"/>
      <c r="AF11" s="84">
        <f t="shared" si="5"/>
        <v>6</v>
      </c>
      <c r="AG11" s="74">
        <v>4</v>
      </c>
      <c r="AH11" s="277">
        <v>40</v>
      </c>
      <c r="AI11" s="308">
        <v>44560</v>
      </c>
      <c r="AJ11" s="277">
        <f t="shared" si="6"/>
        <v>40</v>
      </c>
      <c r="AK11" s="278" t="s">
        <v>657</v>
      </c>
      <c r="AL11" s="279">
        <v>100</v>
      </c>
      <c r="AM11" s="288">
        <f t="shared" si="7"/>
        <v>60</v>
      </c>
    </row>
    <row r="12" spans="1:39" x14ac:dyDescent="0.25">
      <c r="A12" s="205"/>
      <c r="B12" s="84">
        <f t="shared" si="0"/>
        <v>2</v>
      </c>
      <c r="C12" s="74">
        <v>1</v>
      </c>
      <c r="D12" s="983">
        <v>10</v>
      </c>
      <c r="E12" s="984">
        <v>44537</v>
      </c>
      <c r="F12" s="983">
        <f t="shared" si="8"/>
        <v>10</v>
      </c>
      <c r="G12" s="687" t="s">
        <v>448</v>
      </c>
      <c r="H12" s="279">
        <v>115</v>
      </c>
      <c r="I12" s="288">
        <f t="shared" si="9"/>
        <v>20</v>
      </c>
      <c r="K12" s="205"/>
      <c r="L12" s="84">
        <f t="shared" si="1"/>
        <v>2</v>
      </c>
      <c r="M12" s="74">
        <v>5</v>
      </c>
      <c r="N12" s="983">
        <v>50</v>
      </c>
      <c r="O12" s="984">
        <v>44540</v>
      </c>
      <c r="P12" s="983">
        <f t="shared" si="2"/>
        <v>50</v>
      </c>
      <c r="Q12" s="687" t="s">
        <v>493</v>
      </c>
      <c r="R12" s="985">
        <v>100</v>
      </c>
      <c r="S12" s="288">
        <f t="shared" si="3"/>
        <v>20</v>
      </c>
      <c r="U12" s="205"/>
      <c r="V12" s="84">
        <f t="shared" si="4"/>
        <v>27</v>
      </c>
      <c r="W12" s="74">
        <v>7</v>
      </c>
      <c r="X12" s="277">
        <v>70</v>
      </c>
      <c r="Y12" s="308">
        <v>44560</v>
      </c>
      <c r="Z12" s="277">
        <f t="shared" si="10"/>
        <v>70</v>
      </c>
      <c r="AA12" s="278" t="s">
        <v>657</v>
      </c>
      <c r="AB12" s="279">
        <v>115</v>
      </c>
      <c r="AC12" s="288">
        <f t="shared" si="11"/>
        <v>270</v>
      </c>
      <c r="AE12" s="205"/>
      <c r="AF12" s="84">
        <f t="shared" si="5"/>
        <v>6</v>
      </c>
      <c r="AG12" s="74"/>
      <c r="AH12" s="277"/>
      <c r="AI12" s="308"/>
      <c r="AJ12" s="277">
        <f t="shared" si="6"/>
        <v>0</v>
      </c>
      <c r="AK12" s="278"/>
      <c r="AL12" s="279"/>
      <c r="AM12" s="288">
        <f t="shared" si="7"/>
        <v>60</v>
      </c>
    </row>
    <row r="13" spans="1:39" x14ac:dyDescent="0.25">
      <c r="A13" s="83" t="s">
        <v>33</v>
      </c>
      <c r="B13" s="84">
        <f t="shared" si="0"/>
        <v>1</v>
      </c>
      <c r="C13" s="74">
        <v>1</v>
      </c>
      <c r="D13" s="983">
        <v>10</v>
      </c>
      <c r="E13" s="984">
        <v>44540</v>
      </c>
      <c r="F13" s="983">
        <f t="shared" si="8"/>
        <v>10</v>
      </c>
      <c r="G13" s="687" t="s">
        <v>500</v>
      </c>
      <c r="H13" s="279">
        <v>115</v>
      </c>
      <c r="I13" s="288">
        <f t="shared" si="9"/>
        <v>10</v>
      </c>
      <c r="K13" s="83" t="s">
        <v>33</v>
      </c>
      <c r="L13" s="84">
        <f t="shared" si="1"/>
        <v>1</v>
      </c>
      <c r="M13" s="74">
        <v>1</v>
      </c>
      <c r="N13" s="983">
        <v>10</v>
      </c>
      <c r="O13" s="984">
        <v>44543</v>
      </c>
      <c r="P13" s="983">
        <f t="shared" si="2"/>
        <v>10</v>
      </c>
      <c r="Q13" s="687" t="s">
        <v>462</v>
      </c>
      <c r="R13" s="985">
        <v>100</v>
      </c>
      <c r="S13" s="288">
        <f t="shared" si="3"/>
        <v>10</v>
      </c>
      <c r="U13" s="83" t="s">
        <v>33</v>
      </c>
      <c r="V13" s="84">
        <f t="shared" si="4"/>
        <v>26</v>
      </c>
      <c r="W13" s="74">
        <v>1</v>
      </c>
      <c r="X13" s="277">
        <v>10</v>
      </c>
      <c r="Y13" s="308">
        <v>44560</v>
      </c>
      <c r="Z13" s="277">
        <f t="shared" si="10"/>
        <v>10</v>
      </c>
      <c r="AA13" s="278" t="s">
        <v>666</v>
      </c>
      <c r="AB13" s="279">
        <v>110</v>
      </c>
      <c r="AC13" s="288">
        <f t="shared" si="11"/>
        <v>260</v>
      </c>
      <c r="AE13" s="83" t="s">
        <v>33</v>
      </c>
      <c r="AF13" s="84">
        <f t="shared" si="5"/>
        <v>6</v>
      </c>
      <c r="AG13" s="74"/>
      <c r="AH13" s="277"/>
      <c r="AI13" s="308"/>
      <c r="AJ13" s="277">
        <f t="shared" si="6"/>
        <v>0</v>
      </c>
      <c r="AK13" s="278"/>
      <c r="AL13" s="279"/>
      <c r="AM13" s="288">
        <f t="shared" si="7"/>
        <v>60</v>
      </c>
    </row>
    <row r="14" spans="1:39" x14ac:dyDescent="0.25">
      <c r="A14" s="74"/>
      <c r="B14" s="84">
        <f t="shared" si="0"/>
        <v>0</v>
      </c>
      <c r="C14" s="74">
        <v>1</v>
      </c>
      <c r="D14" s="983">
        <v>10</v>
      </c>
      <c r="E14" s="984">
        <v>44540</v>
      </c>
      <c r="F14" s="983">
        <f t="shared" si="8"/>
        <v>10</v>
      </c>
      <c r="G14" s="687" t="s">
        <v>493</v>
      </c>
      <c r="H14" s="279">
        <v>115</v>
      </c>
      <c r="I14" s="288">
        <f t="shared" si="9"/>
        <v>0</v>
      </c>
      <c r="K14" s="74"/>
      <c r="L14" s="84">
        <f t="shared" si="1"/>
        <v>0</v>
      </c>
      <c r="M14" s="74">
        <v>1</v>
      </c>
      <c r="N14" s="983">
        <v>10</v>
      </c>
      <c r="O14" s="984">
        <v>44543</v>
      </c>
      <c r="P14" s="983">
        <f t="shared" si="2"/>
        <v>10</v>
      </c>
      <c r="Q14" s="687" t="s">
        <v>514</v>
      </c>
      <c r="R14" s="985">
        <v>100</v>
      </c>
      <c r="S14" s="288">
        <f t="shared" si="3"/>
        <v>0</v>
      </c>
      <c r="U14" s="74"/>
      <c r="V14" s="84">
        <f t="shared" si="4"/>
        <v>25</v>
      </c>
      <c r="W14" s="74">
        <v>1</v>
      </c>
      <c r="X14" s="277">
        <v>10</v>
      </c>
      <c r="Y14" s="308">
        <v>44561</v>
      </c>
      <c r="Z14" s="277">
        <f t="shared" si="10"/>
        <v>10</v>
      </c>
      <c r="AA14" s="278" t="s">
        <v>669</v>
      </c>
      <c r="AB14" s="279">
        <v>115</v>
      </c>
      <c r="AC14" s="288">
        <f t="shared" si="11"/>
        <v>250</v>
      </c>
      <c r="AE14" s="74"/>
      <c r="AF14" s="84">
        <f t="shared" si="5"/>
        <v>6</v>
      </c>
      <c r="AG14" s="74"/>
      <c r="AH14" s="277"/>
      <c r="AI14" s="308"/>
      <c r="AJ14" s="277">
        <f t="shared" si="6"/>
        <v>0</v>
      </c>
      <c r="AK14" s="278"/>
      <c r="AL14" s="279"/>
      <c r="AM14" s="288">
        <f t="shared" si="7"/>
        <v>60</v>
      </c>
    </row>
    <row r="15" spans="1:39" x14ac:dyDescent="0.25">
      <c r="A15" s="74"/>
      <c r="B15" s="84">
        <f t="shared" si="0"/>
        <v>0</v>
      </c>
      <c r="C15" s="74"/>
      <c r="D15" s="983"/>
      <c r="E15" s="984"/>
      <c r="F15" s="1079">
        <f t="shared" si="8"/>
        <v>0</v>
      </c>
      <c r="G15" s="1069"/>
      <c r="H15" s="1080"/>
      <c r="I15" s="1081">
        <f t="shared" si="9"/>
        <v>0</v>
      </c>
      <c r="K15" s="74"/>
      <c r="L15" s="84">
        <f t="shared" si="1"/>
        <v>0</v>
      </c>
      <c r="M15" s="74"/>
      <c r="N15" s="983"/>
      <c r="O15" s="984"/>
      <c r="P15" s="983">
        <f t="shared" si="2"/>
        <v>0</v>
      </c>
      <c r="Q15" s="1087"/>
      <c r="R15" s="1088"/>
      <c r="S15" s="1089">
        <f t="shared" si="3"/>
        <v>0</v>
      </c>
      <c r="U15" s="74" t="s">
        <v>22</v>
      </c>
      <c r="V15" s="84">
        <f t="shared" si="4"/>
        <v>25</v>
      </c>
      <c r="W15" s="74"/>
      <c r="X15" s="277"/>
      <c r="Y15" s="308"/>
      <c r="Z15" s="277">
        <f t="shared" si="10"/>
        <v>0</v>
      </c>
      <c r="AA15" s="278"/>
      <c r="AB15" s="279"/>
      <c r="AC15" s="288">
        <f t="shared" si="11"/>
        <v>250</v>
      </c>
      <c r="AE15" s="74"/>
      <c r="AF15" s="84">
        <f t="shared" si="5"/>
        <v>6</v>
      </c>
      <c r="AG15" s="74"/>
      <c r="AH15" s="277"/>
      <c r="AI15" s="308"/>
      <c r="AJ15" s="277">
        <f t="shared" si="6"/>
        <v>0</v>
      </c>
      <c r="AK15" s="278"/>
      <c r="AL15" s="279"/>
      <c r="AM15" s="288">
        <f t="shared" si="7"/>
        <v>60</v>
      </c>
    </row>
    <row r="16" spans="1:39" x14ac:dyDescent="0.25">
      <c r="B16" s="84">
        <f t="shared" si="0"/>
        <v>0</v>
      </c>
      <c r="C16" s="74"/>
      <c r="D16" s="983"/>
      <c r="E16" s="984"/>
      <c r="F16" s="1079">
        <f t="shared" si="8"/>
        <v>0</v>
      </c>
      <c r="G16" s="1069"/>
      <c r="H16" s="1080"/>
      <c r="I16" s="1081">
        <f t="shared" si="9"/>
        <v>0</v>
      </c>
      <c r="L16" s="84">
        <f t="shared" si="1"/>
        <v>0</v>
      </c>
      <c r="M16" s="74"/>
      <c r="N16" s="983"/>
      <c r="O16" s="984"/>
      <c r="P16" s="983">
        <f t="shared" si="2"/>
        <v>0</v>
      </c>
      <c r="Q16" s="1087"/>
      <c r="R16" s="1088"/>
      <c r="S16" s="1089">
        <f t="shared" si="3"/>
        <v>0</v>
      </c>
      <c r="V16" s="84">
        <f t="shared" si="4"/>
        <v>25</v>
      </c>
      <c r="W16" s="74"/>
      <c r="X16" s="277"/>
      <c r="Y16" s="308"/>
      <c r="Z16" s="277">
        <f t="shared" si="10"/>
        <v>0</v>
      </c>
      <c r="AA16" s="278"/>
      <c r="AB16" s="279"/>
      <c r="AC16" s="288">
        <f t="shared" si="11"/>
        <v>250</v>
      </c>
      <c r="AF16" s="84">
        <f t="shared" si="5"/>
        <v>6</v>
      </c>
      <c r="AG16" s="74"/>
      <c r="AH16" s="277"/>
      <c r="AI16" s="308"/>
      <c r="AJ16" s="277">
        <f t="shared" si="6"/>
        <v>0</v>
      </c>
      <c r="AK16" s="278"/>
      <c r="AL16" s="279"/>
      <c r="AM16" s="288">
        <f t="shared" si="7"/>
        <v>60</v>
      </c>
    </row>
    <row r="17" spans="1:39" x14ac:dyDescent="0.25">
      <c r="B17" s="84">
        <f t="shared" si="0"/>
        <v>0</v>
      </c>
      <c r="C17" s="74"/>
      <c r="D17" s="983"/>
      <c r="E17" s="984"/>
      <c r="F17" s="1079">
        <f t="shared" si="8"/>
        <v>0</v>
      </c>
      <c r="G17" s="1069"/>
      <c r="H17" s="1080"/>
      <c r="I17" s="1081">
        <f t="shared" si="9"/>
        <v>0</v>
      </c>
      <c r="L17" s="84">
        <f t="shared" si="1"/>
        <v>0</v>
      </c>
      <c r="M17" s="74"/>
      <c r="N17" s="983"/>
      <c r="O17" s="984"/>
      <c r="P17" s="983">
        <f t="shared" si="2"/>
        <v>0</v>
      </c>
      <c r="Q17" s="1087"/>
      <c r="R17" s="1088"/>
      <c r="S17" s="1089">
        <f t="shared" si="3"/>
        <v>0</v>
      </c>
      <c r="V17" s="84">
        <f t="shared" si="4"/>
        <v>25</v>
      </c>
      <c r="W17" s="74"/>
      <c r="X17" s="277"/>
      <c r="Y17" s="308"/>
      <c r="Z17" s="277">
        <f t="shared" si="10"/>
        <v>0</v>
      </c>
      <c r="AA17" s="278"/>
      <c r="AB17" s="279"/>
      <c r="AC17" s="288">
        <f t="shared" si="11"/>
        <v>250</v>
      </c>
      <c r="AF17" s="84">
        <f t="shared" si="5"/>
        <v>6</v>
      </c>
      <c r="AG17" s="74"/>
      <c r="AH17" s="277"/>
      <c r="AI17" s="308"/>
      <c r="AJ17" s="277">
        <f t="shared" si="6"/>
        <v>0</v>
      </c>
      <c r="AK17" s="278"/>
      <c r="AL17" s="279"/>
      <c r="AM17" s="288">
        <f t="shared" si="7"/>
        <v>60</v>
      </c>
    </row>
    <row r="18" spans="1:39" x14ac:dyDescent="0.25">
      <c r="A18" s="126"/>
      <c r="B18" s="84">
        <f t="shared" si="0"/>
        <v>0</v>
      </c>
      <c r="C18" s="74"/>
      <c r="D18" s="983"/>
      <c r="E18" s="984"/>
      <c r="F18" s="1079">
        <f t="shared" si="8"/>
        <v>0</v>
      </c>
      <c r="G18" s="1069"/>
      <c r="H18" s="1080"/>
      <c r="I18" s="1081">
        <f t="shared" si="9"/>
        <v>0</v>
      </c>
      <c r="K18" s="126"/>
      <c r="L18" s="84">
        <f t="shared" si="1"/>
        <v>0</v>
      </c>
      <c r="M18" s="74"/>
      <c r="N18" s="983"/>
      <c r="O18" s="984"/>
      <c r="P18" s="983">
        <f t="shared" si="2"/>
        <v>0</v>
      </c>
      <c r="Q18" s="687"/>
      <c r="R18" s="985"/>
      <c r="S18" s="288">
        <f t="shared" si="3"/>
        <v>0</v>
      </c>
      <c r="U18" s="126"/>
      <c r="V18" s="84">
        <f t="shared" si="4"/>
        <v>25</v>
      </c>
      <c r="W18" s="74"/>
      <c r="X18" s="277"/>
      <c r="Y18" s="308"/>
      <c r="Z18" s="277">
        <f t="shared" si="10"/>
        <v>0</v>
      </c>
      <c r="AA18" s="278"/>
      <c r="AB18" s="279"/>
      <c r="AC18" s="288">
        <f t="shared" si="11"/>
        <v>250</v>
      </c>
      <c r="AE18" s="126"/>
      <c r="AF18" s="84">
        <f t="shared" si="5"/>
        <v>6</v>
      </c>
      <c r="AG18" s="74"/>
      <c r="AH18" s="277"/>
      <c r="AI18" s="308"/>
      <c r="AJ18" s="277">
        <f t="shared" si="6"/>
        <v>0</v>
      </c>
      <c r="AK18" s="278"/>
      <c r="AL18" s="279"/>
      <c r="AM18" s="288">
        <f t="shared" si="7"/>
        <v>60</v>
      </c>
    </row>
    <row r="19" spans="1:39" x14ac:dyDescent="0.25">
      <c r="A19" s="126"/>
      <c r="B19" s="84">
        <f t="shared" si="0"/>
        <v>0</v>
      </c>
      <c r="C19" s="15"/>
      <c r="D19" s="983"/>
      <c r="E19" s="984"/>
      <c r="F19" s="983">
        <f t="shared" si="8"/>
        <v>0</v>
      </c>
      <c r="G19" s="687"/>
      <c r="H19" s="279"/>
      <c r="I19" s="288">
        <f t="shared" si="9"/>
        <v>0</v>
      </c>
      <c r="K19" s="126"/>
      <c r="L19" s="84">
        <f t="shared" si="1"/>
        <v>0</v>
      </c>
      <c r="M19" s="15"/>
      <c r="N19" s="983"/>
      <c r="O19" s="984"/>
      <c r="P19" s="983">
        <f t="shared" si="2"/>
        <v>0</v>
      </c>
      <c r="Q19" s="687"/>
      <c r="R19" s="985"/>
      <c r="S19" s="288">
        <f t="shared" si="3"/>
        <v>0</v>
      </c>
      <c r="U19" s="126"/>
      <c r="V19" s="84">
        <f t="shared" si="4"/>
        <v>25</v>
      </c>
      <c r="W19" s="15"/>
      <c r="X19" s="277"/>
      <c r="Y19" s="308"/>
      <c r="Z19" s="277">
        <f t="shared" si="10"/>
        <v>0</v>
      </c>
      <c r="AA19" s="278"/>
      <c r="AB19" s="279"/>
      <c r="AC19" s="288">
        <f t="shared" si="11"/>
        <v>250</v>
      </c>
      <c r="AE19" s="126"/>
      <c r="AF19" s="84">
        <f t="shared" si="5"/>
        <v>6</v>
      </c>
      <c r="AG19" s="15"/>
      <c r="AH19" s="277"/>
      <c r="AI19" s="308"/>
      <c r="AJ19" s="277">
        <f t="shared" si="6"/>
        <v>0</v>
      </c>
      <c r="AK19" s="278"/>
      <c r="AL19" s="279"/>
      <c r="AM19" s="288">
        <f t="shared" si="7"/>
        <v>60</v>
      </c>
    </row>
    <row r="20" spans="1:39" x14ac:dyDescent="0.25">
      <c r="A20" s="126"/>
      <c r="B20" s="84">
        <f t="shared" si="0"/>
        <v>0</v>
      </c>
      <c r="C20" s="15"/>
      <c r="D20" s="983"/>
      <c r="E20" s="984"/>
      <c r="F20" s="983">
        <f t="shared" si="8"/>
        <v>0</v>
      </c>
      <c r="G20" s="687"/>
      <c r="H20" s="279"/>
      <c r="I20" s="288">
        <f t="shared" si="9"/>
        <v>0</v>
      </c>
      <c r="K20" s="126"/>
      <c r="L20" s="84">
        <f t="shared" si="1"/>
        <v>0</v>
      </c>
      <c r="M20" s="15"/>
      <c r="N20" s="983"/>
      <c r="O20" s="984"/>
      <c r="P20" s="983">
        <f t="shared" si="2"/>
        <v>0</v>
      </c>
      <c r="Q20" s="687"/>
      <c r="R20" s="985"/>
      <c r="S20" s="288">
        <f t="shared" si="3"/>
        <v>0</v>
      </c>
      <c r="U20" s="126"/>
      <c r="V20" s="84">
        <f t="shared" si="4"/>
        <v>25</v>
      </c>
      <c r="W20" s="15"/>
      <c r="X20" s="277"/>
      <c r="Y20" s="308"/>
      <c r="Z20" s="277">
        <f t="shared" si="10"/>
        <v>0</v>
      </c>
      <c r="AA20" s="278"/>
      <c r="AB20" s="279"/>
      <c r="AC20" s="288">
        <f t="shared" si="11"/>
        <v>250</v>
      </c>
      <c r="AE20" s="126"/>
      <c r="AF20" s="84">
        <f t="shared" si="5"/>
        <v>6</v>
      </c>
      <c r="AG20" s="15"/>
      <c r="AH20" s="277"/>
      <c r="AI20" s="308"/>
      <c r="AJ20" s="277">
        <f t="shared" si="6"/>
        <v>0</v>
      </c>
      <c r="AK20" s="278"/>
      <c r="AL20" s="279"/>
      <c r="AM20" s="288">
        <f t="shared" si="7"/>
        <v>60</v>
      </c>
    </row>
    <row r="21" spans="1:39" x14ac:dyDescent="0.25">
      <c r="A21" s="126"/>
      <c r="B21" s="84">
        <f t="shared" si="0"/>
        <v>0</v>
      </c>
      <c r="C21" s="15"/>
      <c r="D21" s="983"/>
      <c r="E21" s="984"/>
      <c r="F21" s="983">
        <f t="shared" si="8"/>
        <v>0</v>
      </c>
      <c r="G21" s="687"/>
      <c r="H21" s="279"/>
      <c r="I21" s="288">
        <f t="shared" si="9"/>
        <v>0</v>
      </c>
      <c r="K21" s="126"/>
      <c r="L21" s="84">
        <f t="shared" si="1"/>
        <v>0</v>
      </c>
      <c r="M21" s="15"/>
      <c r="N21" s="983"/>
      <c r="O21" s="984"/>
      <c r="P21" s="983">
        <f t="shared" si="2"/>
        <v>0</v>
      </c>
      <c r="Q21" s="687"/>
      <c r="R21" s="985"/>
      <c r="S21" s="288">
        <f t="shared" si="3"/>
        <v>0</v>
      </c>
      <c r="U21" s="126"/>
      <c r="V21" s="84">
        <f t="shared" si="4"/>
        <v>25</v>
      </c>
      <c r="W21" s="15"/>
      <c r="X21" s="277"/>
      <c r="Y21" s="308"/>
      <c r="Z21" s="277">
        <f t="shared" si="10"/>
        <v>0</v>
      </c>
      <c r="AA21" s="278"/>
      <c r="AB21" s="279"/>
      <c r="AC21" s="288">
        <f t="shared" si="11"/>
        <v>250</v>
      </c>
      <c r="AE21" s="126"/>
      <c r="AF21" s="84">
        <f t="shared" si="5"/>
        <v>6</v>
      </c>
      <c r="AG21" s="15"/>
      <c r="AH21" s="277"/>
      <c r="AI21" s="308"/>
      <c r="AJ21" s="277">
        <f t="shared" si="6"/>
        <v>0</v>
      </c>
      <c r="AK21" s="278"/>
      <c r="AL21" s="279"/>
      <c r="AM21" s="288">
        <f t="shared" si="7"/>
        <v>60</v>
      </c>
    </row>
    <row r="22" spans="1:39" x14ac:dyDescent="0.25">
      <c r="A22" s="126"/>
      <c r="B22" s="294">
        <f t="shared" si="0"/>
        <v>0</v>
      </c>
      <c r="C22" s="15"/>
      <c r="D22" s="983"/>
      <c r="E22" s="984"/>
      <c r="F22" s="983">
        <f t="shared" si="8"/>
        <v>0</v>
      </c>
      <c r="G22" s="687"/>
      <c r="H22" s="279"/>
      <c r="I22" s="288">
        <f t="shared" si="9"/>
        <v>0</v>
      </c>
      <c r="K22" s="126"/>
      <c r="L22" s="294">
        <f t="shared" si="1"/>
        <v>0</v>
      </c>
      <c r="M22" s="15"/>
      <c r="N22" s="983"/>
      <c r="O22" s="984"/>
      <c r="P22" s="983">
        <f t="shared" si="2"/>
        <v>0</v>
      </c>
      <c r="Q22" s="687"/>
      <c r="R22" s="985"/>
      <c r="S22" s="288">
        <f t="shared" si="3"/>
        <v>0</v>
      </c>
      <c r="U22" s="126"/>
      <c r="V22" s="294">
        <f t="shared" si="4"/>
        <v>25</v>
      </c>
      <c r="W22" s="15"/>
      <c r="X22" s="277"/>
      <c r="Y22" s="308"/>
      <c r="Z22" s="277">
        <f t="shared" si="10"/>
        <v>0</v>
      </c>
      <c r="AA22" s="278"/>
      <c r="AB22" s="279"/>
      <c r="AC22" s="288">
        <f t="shared" si="11"/>
        <v>250</v>
      </c>
      <c r="AE22" s="126"/>
      <c r="AF22" s="294">
        <f t="shared" si="5"/>
        <v>6</v>
      </c>
      <c r="AG22" s="15"/>
      <c r="AH22" s="277"/>
      <c r="AI22" s="308"/>
      <c r="AJ22" s="277">
        <f t="shared" si="6"/>
        <v>0</v>
      </c>
      <c r="AK22" s="278"/>
      <c r="AL22" s="279"/>
      <c r="AM22" s="288">
        <f t="shared" si="7"/>
        <v>60</v>
      </c>
    </row>
    <row r="23" spans="1:39" x14ac:dyDescent="0.25">
      <c r="A23" s="127"/>
      <c r="B23" s="294">
        <f t="shared" si="0"/>
        <v>0</v>
      </c>
      <c r="C23" s="15"/>
      <c r="D23" s="983"/>
      <c r="E23" s="984"/>
      <c r="F23" s="983">
        <f t="shared" si="8"/>
        <v>0</v>
      </c>
      <c r="G23" s="687"/>
      <c r="H23" s="279"/>
      <c r="I23" s="288">
        <f t="shared" si="9"/>
        <v>0</v>
      </c>
      <c r="K23" s="127"/>
      <c r="L23" s="294">
        <f t="shared" si="1"/>
        <v>0</v>
      </c>
      <c r="M23" s="15"/>
      <c r="N23" s="983"/>
      <c r="O23" s="984"/>
      <c r="P23" s="983">
        <f t="shared" si="2"/>
        <v>0</v>
      </c>
      <c r="Q23" s="687"/>
      <c r="R23" s="985"/>
      <c r="S23" s="288">
        <f t="shared" si="3"/>
        <v>0</v>
      </c>
      <c r="U23" s="127"/>
      <c r="V23" s="294">
        <f t="shared" si="4"/>
        <v>25</v>
      </c>
      <c r="W23" s="15"/>
      <c r="X23" s="277"/>
      <c r="Y23" s="308"/>
      <c r="Z23" s="277">
        <f t="shared" si="10"/>
        <v>0</v>
      </c>
      <c r="AA23" s="278"/>
      <c r="AB23" s="279"/>
      <c r="AC23" s="288">
        <f t="shared" si="11"/>
        <v>250</v>
      </c>
      <c r="AE23" s="127"/>
      <c r="AF23" s="294">
        <f t="shared" si="5"/>
        <v>6</v>
      </c>
      <c r="AG23" s="15"/>
      <c r="AH23" s="983"/>
      <c r="AI23" s="984"/>
      <c r="AJ23" s="983">
        <f t="shared" si="6"/>
        <v>0</v>
      </c>
      <c r="AK23" s="687"/>
      <c r="AL23" s="985"/>
      <c r="AM23" s="288">
        <f t="shared" si="7"/>
        <v>60</v>
      </c>
    </row>
    <row r="24" spans="1:39" x14ac:dyDescent="0.25">
      <c r="A24" s="126"/>
      <c r="B24" s="294">
        <f t="shared" si="0"/>
        <v>0</v>
      </c>
      <c r="C24" s="15"/>
      <c r="D24" s="983"/>
      <c r="E24" s="984"/>
      <c r="F24" s="983">
        <f t="shared" si="8"/>
        <v>0</v>
      </c>
      <c r="G24" s="687"/>
      <c r="H24" s="279"/>
      <c r="I24" s="288">
        <f t="shared" si="9"/>
        <v>0</v>
      </c>
      <c r="K24" s="126"/>
      <c r="L24" s="294">
        <f t="shared" si="1"/>
        <v>0</v>
      </c>
      <c r="M24" s="15"/>
      <c r="N24" s="983"/>
      <c r="O24" s="984"/>
      <c r="P24" s="983">
        <f t="shared" si="2"/>
        <v>0</v>
      </c>
      <c r="Q24" s="687"/>
      <c r="R24" s="985"/>
      <c r="S24" s="288">
        <f t="shared" si="3"/>
        <v>0</v>
      </c>
      <c r="U24" s="126"/>
      <c r="V24" s="294">
        <f t="shared" si="4"/>
        <v>25</v>
      </c>
      <c r="W24" s="15"/>
      <c r="X24" s="277"/>
      <c r="Y24" s="308"/>
      <c r="Z24" s="277">
        <f t="shared" si="10"/>
        <v>0</v>
      </c>
      <c r="AA24" s="278"/>
      <c r="AB24" s="279"/>
      <c r="AC24" s="288">
        <f t="shared" si="11"/>
        <v>250</v>
      </c>
      <c r="AE24" s="126"/>
      <c r="AF24" s="294">
        <f t="shared" si="5"/>
        <v>6</v>
      </c>
      <c r="AG24" s="15"/>
      <c r="AH24" s="983"/>
      <c r="AI24" s="984"/>
      <c r="AJ24" s="983">
        <f t="shared" si="6"/>
        <v>0</v>
      </c>
      <c r="AK24" s="687"/>
      <c r="AL24" s="985"/>
      <c r="AM24" s="288">
        <f t="shared" si="7"/>
        <v>60</v>
      </c>
    </row>
    <row r="25" spans="1:39" x14ac:dyDescent="0.25">
      <c r="A25" s="126"/>
      <c r="B25" s="294">
        <f t="shared" si="0"/>
        <v>0</v>
      </c>
      <c r="C25" s="15"/>
      <c r="D25" s="983"/>
      <c r="E25" s="984"/>
      <c r="F25" s="983">
        <f t="shared" si="8"/>
        <v>0</v>
      </c>
      <c r="G25" s="687"/>
      <c r="H25" s="279"/>
      <c r="I25" s="288">
        <f t="shared" si="9"/>
        <v>0</v>
      </c>
      <c r="K25" s="126"/>
      <c r="L25" s="294">
        <f t="shared" si="1"/>
        <v>0</v>
      </c>
      <c r="M25" s="15"/>
      <c r="N25" s="983"/>
      <c r="O25" s="984"/>
      <c r="P25" s="983">
        <f t="shared" si="2"/>
        <v>0</v>
      </c>
      <c r="Q25" s="687" t="s">
        <v>22</v>
      </c>
      <c r="R25" s="985"/>
      <c r="S25" s="288">
        <f t="shared" si="3"/>
        <v>0</v>
      </c>
      <c r="U25" s="126"/>
      <c r="V25" s="294">
        <f t="shared" si="4"/>
        <v>25</v>
      </c>
      <c r="W25" s="15"/>
      <c r="X25" s="277"/>
      <c r="Y25" s="308"/>
      <c r="Z25" s="277">
        <f t="shared" si="10"/>
        <v>0</v>
      </c>
      <c r="AA25" s="278"/>
      <c r="AB25" s="279"/>
      <c r="AC25" s="288">
        <f t="shared" si="11"/>
        <v>250</v>
      </c>
      <c r="AE25" s="126"/>
      <c r="AF25" s="294">
        <f t="shared" si="5"/>
        <v>6</v>
      </c>
      <c r="AG25" s="15"/>
      <c r="AH25" s="983"/>
      <c r="AI25" s="984"/>
      <c r="AJ25" s="983">
        <f t="shared" si="6"/>
        <v>0</v>
      </c>
      <c r="AK25" s="687" t="s">
        <v>22</v>
      </c>
      <c r="AL25" s="985"/>
      <c r="AM25" s="288">
        <f t="shared" si="7"/>
        <v>60</v>
      </c>
    </row>
    <row r="26" spans="1:39" x14ac:dyDescent="0.25">
      <c r="A26" s="126"/>
      <c r="B26" s="205">
        <f t="shared" si="0"/>
        <v>0</v>
      </c>
      <c r="C26" s="15"/>
      <c r="D26" s="983"/>
      <c r="E26" s="984"/>
      <c r="F26" s="983">
        <f t="shared" si="8"/>
        <v>0</v>
      </c>
      <c r="G26" s="687"/>
      <c r="H26" s="279"/>
      <c r="I26" s="288">
        <f t="shared" si="9"/>
        <v>0</v>
      </c>
      <c r="K26" s="126"/>
      <c r="L26" s="205">
        <f t="shared" si="1"/>
        <v>0</v>
      </c>
      <c r="M26" s="15"/>
      <c r="N26" s="983"/>
      <c r="O26" s="984"/>
      <c r="P26" s="983">
        <f t="shared" si="2"/>
        <v>0</v>
      </c>
      <c r="Q26" s="687"/>
      <c r="R26" s="985"/>
      <c r="S26" s="288">
        <f t="shared" si="3"/>
        <v>0</v>
      </c>
      <c r="U26" s="126"/>
      <c r="V26" s="205">
        <f t="shared" si="4"/>
        <v>25</v>
      </c>
      <c r="W26" s="15"/>
      <c r="X26" s="277"/>
      <c r="Y26" s="308"/>
      <c r="Z26" s="277">
        <f t="shared" si="10"/>
        <v>0</v>
      </c>
      <c r="AA26" s="278"/>
      <c r="AB26" s="279"/>
      <c r="AC26" s="288">
        <f t="shared" si="11"/>
        <v>250</v>
      </c>
      <c r="AE26" s="126"/>
      <c r="AF26" s="205">
        <f t="shared" si="5"/>
        <v>6</v>
      </c>
      <c r="AG26" s="15"/>
      <c r="AH26" s="983"/>
      <c r="AI26" s="984"/>
      <c r="AJ26" s="983">
        <f t="shared" si="6"/>
        <v>0</v>
      </c>
      <c r="AK26" s="687"/>
      <c r="AL26" s="985"/>
      <c r="AM26" s="288">
        <f t="shared" si="7"/>
        <v>60</v>
      </c>
    </row>
    <row r="27" spans="1:39" x14ac:dyDescent="0.25">
      <c r="A27" s="126"/>
      <c r="B27" s="294">
        <f t="shared" si="0"/>
        <v>0</v>
      </c>
      <c r="C27" s="15"/>
      <c r="D27" s="277"/>
      <c r="E27" s="308"/>
      <c r="F27" s="277">
        <f t="shared" si="8"/>
        <v>0</v>
      </c>
      <c r="G27" s="278"/>
      <c r="H27" s="279"/>
      <c r="I27" s="288">
        <f t="shared" si="9"/>
        <v>0</v>
      </c>
      <c r="K27" s="126"/>
      <c r="L27" s="294">
        <f t="shared" si="1"/>
        <v>0</v>
      </c>
      <c r="M27" s="15"/>
      <c r="N27" s="983"/>
      <c r="O27" s="984"/>
      <c r="P27" s="983">
        <f t="shared" si="2"/>
        <v>0</v>
      </c>
      <c r="Q27" s="687"/>
      <c r="R27" s="985"/>
      <c r="S27" s="288">
        <f t="shared" si="3"/>
        <v>0</v>
      </c>
      <c r="U27" s="126"/>
      <c r="V27" s="294">
        <f t="shared" si="4"/>
        <v>25</v>
      </c>
      <c r="W27" s="15"/>
      <c r="X27" s="277"/>
      <c r="Y27" s="308"/>
      <c r="Z27" s="277">
        <f t="shared" si="10"/>
        <v>0</v>
      </c>
      <c r="AA27" s="278"/>
      <c r="AB27" s="279"/>
      <c r="AC27" s="288">
        <f t="shared" si="11"/>
        <v>250</v>
      </c>
      <c r="AE27" s="126"/>
      <c r="AF27" s="294">
        <f t="shared" si="5"/>
        <v>6</v>
      </c>
      <c r="AG27" s="15"/>
      <c r="AH27" s="983"/>
      <c r="AI27" s="984"/>
      <c r="AJ27" s="983">
        <f t="shared" si="6"/>
        <v>0</v>
      </c>
      <c r="AK27" s="687"/>
      <c r="AL27" s="985"/>
      <c r="AM27" s="288">
        <f t="shared" si="7"/>
        <v>60</v>
      </c>
    </row>
    <row r="28" spans="1:39" x14ac:dyDescent="0.25">
      <c r="A28" s="126"/>
      <c r="B28" s="205">
        <f t="shared" si="0"/>
        <v>0</v>
      </c>
      <c r="C28" s="15"/>
      <c r="D28" s="277"/>
      <c r="E28" s="308"/>
      <c r="F28" s="277">
        <f t="shared" si="8"/>
        <v>0</v>
      </c>
      <c r="G28" s="278"/>
      <c r="H28" s="279"/>
      <c r="I28" s="288">
        <f t="shared" si="9"/>
        <v>0</v>
      </c>
      <c r="K28" s="126"/>
      <c r="L28" s="205">
        <f t="shared" si="1"/>
        <v>0</v>
      </c>
      <c r="M28" s="15"/>
      <c r="N28" s="983"/>
      <c r="O28" s="984"/>
      <c r="P28" s="983">
        <f t="shared" si="2"/>
        <v>0</v>
      </c>
      <c r="Q28" s="687"/>
      <c r="R28" s="985"/>
      <c r="S28" s="288">
        <f t="shared" si="3"/>
        <v>0</v>
      </c>
      <c r="U28" s="126"/>
      <c r="V28" s="205">
        <f t="shared" si="4"/>
        <v>25</v>
      </c>
      <c r="W28" s="15"/>
      <c r="X28" s="277"/>
      <c r="Y28" s="308"/>
      <c r="Z28" s="277">
        <f t="shared" si="10"/>
        <v>0</v>
      </c>
      <c r="AA28" s="278"/>
      <c r="AB28" s="279"/>
      <c r="AC28" s="288">
        <f t="shared" si="11"/>
        <v>250</v>
      </c>
      <c r="AE28" s="126"/>
      <c r="AF28" s="205">
        <f t="shared" si="5"/>
        <v>6</v>
      </c>
      <c r="AG28" s="15"/>
      <c r="AH28" s="983"/>
      <c r="AI28" s="984"/>
      <c r="AJ28" s="983">
        <f t="shared" si="6"/>
        <v>0</v>
      </c>
      <c r="AK28" s="687"/>
      <c r="AL28" s="985"/>
      <c r="AM28" s="288">
        <f t="shared" si="7"/>
        <v>60</v>
      </c>
    </row>
    <row r="29" spans="1:39" x14ac:dyDescent="0.25">
      <c r="A29" s="126"/>
      <c r="B29" s="294">
        <f t="shared" si="0"/>
        <v>0</v>
      </c>
      <c r="C29" s="15"/>
      <c r="D29" s="277"/>
      <c r="E29" s="308"/>
      <c r="F29" s="277">
        <f t="shared" si="8"/>
        <v>0</v>
      </c>
      <c r="G29" s="278"/>
      <c r="H29" s="279"/>
      <c r="I29" s="288">
        <f t="shared" si="9"/>
        <v>0</v>
      </c>
      <c r="K29" s="126"/>
      <c r="L29" s="294">
        <f t="shared" si="1"/>
        <v>0</v>
      </c>
      <c r="M29" s="15"/>
      <c r="N29" s="277"/>
      <c r="O29" s="308"/>
      <c r="P29" s="277">
        <f t="shared" si="2"/>
        <v>0</v>
      </c>
      <c r="Q29" s="278"/>
      <c r="R29" s="279"/>
      <c r="S29" s="288">
        <f t="shared" si="3"/>
        <v>0</v>
      </c>
      <c r="U29" s="126"/>
      <c r="V29" s="294">
        <f t="shared" si="4"/>
        <v>25</v>
      </c>
      <c r="W29" s="15"/>
      <c r="X29" s="277"/>
      <c r="Y29" s="308"/>
      <c r="Z29" s="277">
        <f t="shared" si="10"/>
        <v>0</v>
      </c>
      <c r="AA29" s="278"/>
      <c r="AB29" s="279"/>
      <c r="AC29" s="288">
        <f t="shared" si="11"/>
        <v>250</v>
      </c>
      <c r="AE29" s="126"/>
      <c r="AF29" s="294">
        <f t="shared" si="5"/>
        <v>6</v>
      </c>
      <c r="AG29" s="15"/>
      <c r="AH29" s="277"/>
      <c r="AI29" s="308"/>
      <c r="AJ29" s="277">
        <f t="shared" si="6"/>
        <v>0</v>
      </c>
      <c r="AK29" s="278"/>
      <c r="AL29" s="279"/>
      <c r="AM29" s="288">
        <f t="shared" si="7"/>
        <v>60</v>
      </c>
    </row>
    <row r="30" spans="1:39" x14ac:dyDescent="0.25">
      <c r="A30" s="126"/>
      <c r="B30" s="294">
        <f t="shared" si="0"/>
        <v>0</v>
      </c>
      <c r="C30" s="15"/>
      <c r="D30" s="277"/>
      <c r="E30" s="308"/>
      <c r="F30" s="277">
        <f t="shared" si="8"/>
        <v>0</v>
      </c>
      <c r="G30" s="278"/>
      <c r="H30" s="279"/>
      <c r="I30" s="288">
        <f t="shared" si="9"/>
        <v>0</v>
      </c>
      <c r="K30" s="126"/>
      <c r="L30" s="294">
        <f t="shared" si="1"/>
        <v>0</v>
      </c>
      <c r="M30" s="15"/>
      <c r="N30" s="277"/>
      <c r="O30" s="308"/>
      <c r="P30" s="277">
        <f t="shared" si="2"/>
        <v>0</v>
      </c>
      <c r="Q30" s="278"/>
      <c r="R30" s="279"/>
      <c r="S30" s="288">
        <f t="shared" si="3"/>
        <v>0</v>
      </c>
      <c r="U30" s="126"/>
      <c r="V30" s="294">
        <f t="shared" si="4"/>
        <v>25</v>
      </c>
      <c r="W30" s="15"/>
      <c r="X30" s="277"/>
      <c r="Y30" s="308"/>
      <c r="Z30" s="277">
        <f t="shared" si="10"/>
        <v>0</v>
      </c>
      <c r="AA30" s="278"/>
      <c r="AB30" s="279"/>
      <c r="AC30" s="288">
        <f t="shared" si="11"/>
        <v>250</v>
      </c>
      <c r="AE30" s="126"/>
      <c r="AF30" s="294">
        <f t="shared" si="5"/>
        <v>6</v>
      </c>
      <c r="AG30" s="15"/>
      <c r="AH30" s="277"/>
      <c r="AI30" s="308"/>
      <c r="AJ30" s="277">
        <f t="shared" si="6"/>
        <v>0</v>
      </c>
      <c r="AK30" s="278"/>
      <c r="AL30" s="279"/>
      <c r="AM30" s="288">
        <f t="shared" si="7"/>
        <v>60</v>
      </c>
    </row>
    <row r="31" spans="1:39" x14ac:dyDescent="0.25">
      <c r="A31" s="126"/>
      <c r="B31" s="294">
        <f t="shared" si="0"/>
        <v>0</v>
      </c>
      <c r="C31" s="15"/>
      <c r="D31" s="277"/>
      <c r="E31" s="308"/>
      <c r="F31" s="277">
        <f t="shared" si="8"/>
        <v>0</v>
      </c>
      <c r="G31" s="278"/>
      <c r="H31" s="279"/>
      <c r="I31" s="288">
        <f t="shared" si="9"/>
        <v>0</v>
      </c>
      <c r="K31" s="126"/>
      <c r="L31" s="294">
        <f t="shared" si="1"/>
        <v>0</v>
      </c>
      <c r="M31" s="15"/>
      <c r="N31" s="277"/>
      <c r="O31" s="308"/>
      <c r="P31" s="277">
        <f t="shared" si="2"/>
        <v>0</v>
      </c>
      <c r="Q31" s="278"/>
      <c r="R31" s="279"/>
      <c r="S31" s="288">
        <f t="shared" si="3"/>
        <v>0</v>
      </c>
      <c r="U31" s="126"/>
      <c r="V31" s="294">
        <f t="shared" si="4"/>
        <v>25</v>
      </c>
      <c r="W31" s="15"/>
      <c r="X31" s="277"/>
      <c r="Y31" s="308"/>
      <c r="Z31" s="277">
        <f t="shared" si="10"/>
        <v>0</v>
      </c>
      <c r="AA31" s="278"/>
      <c r="AB31" s="279"/>
      <c r="AC31" s="288">
        <f t="shared" si="11"/>
        <v>250</v>
      </c>
      <c r="AE31" s="126"/>
      <c r="AF31" s="294">
        <f t="shared" si="5"/>
        <v>6</v>
      </c>
      <c r="AG31" s="15"/>
      <c r="AH31" s="277"/>
      <c r="AI31" s="308"/>
      <c r="AJ31" s="277">
        <f t="shared" si="6"/>
        <v>0</v>
      </c>
      <c r="AK31" s="278"/>
      <c r="AL31" s="279"/>
      <c r="AM31" s="288">
        <f t="shared" si="7"/>
        <v>60</v>
      </c>
    </row>
    <row r="32" spans="1:39" x14ac:dyDescent="0.25">
      <c r="A32" s="126"/>
      <c r="B32" s="294">
        <f t="shared" si="0"/>
        <v>0</v>
      </c>
      <c r="C32" s="15"/>
      <c r="D32" s="277"/>
      <c r="E32" s="308"/>
      <c r="F32" s="277">
        <f t="shared" si="8"/>
        <v>0</v>
      </c>
      <c r="G32" s="278"/>
      <c r="H32" s="279"/>
      <c r="I32" s="288">
        <f t="shared" si="9"/>
        <v>0</v>
      </c>
      <c r="K32" s="126"/>
      <c r="L32" s="294">
        <f t="shared" si="1"/>
        <v>0</v>
      </c>
      <c r="M32" s="15"/>
      <c r="N32" s="277"/>
      <c r="O32" s="308"/>
      <c r="P32" s="277">
        <f t="shared" si="2"/>
        <v>0</v>
      </c>
      <c r="Q32" s="278"/>
      <c r="R32" s="279"/>
      <c r="S32" s="288">
        <f t="shared" si="3"/>
        <v>0</v>
      </c>
      <c r="U32" s="126"/>
      <c r="V32" s="294">
        <f t="shared" si="4"/>
        <v>25</v>
      </c>
      <c r="W32" s="15"/>
      <c r="X32" s="277"/>
      <c r="Y32" s="308"/>
      <c r="Z32" s="277">
        <f t="shared" si="10"/>
        <v>0</v>
      </c>
      <c r="AA32" s="278"/>
      <c r="AB32" s="279"/>
      <c r="AC32" s="288">
        <f t="shared" si="11"/>
        <v>250</v>
      </c>
      <c r="AE32" s="126"/>
      <c r="AF32" s="294">
        <f t="shared" si="5"/>
        <v>6</v>
      </c>
      <c r="AG32" s="15"/>
      <c r="AH32" s="277"/>
      <c r="AI32" s="308"/>
      <c r="AJ32" s="277">
        <f t="shared" si="6"/>
        <v>0</v>
      </c>
      <c r="AK32" s="278"/>
      <c r="AL32" s="279"/>
      <c r="AM32" s="288">
        <f t="shared" si="7"/>
        <v>60</v>
      </c>
    </row>
    <row r="33" spans="1:39" x14ac:dyDescent="0.25">
      <c r="A33" s="126"/>
      <c r="B33" s="294">
        <f t="shared" si="0"/>
        <v>0</v>
      </c>
      <c r="C33" s="15"/>
      <c r="D33" s="277"/>
      <c r="E33" s="308"/>
      <c r="F33" s="277">
        <f t="shared" si="8"/>
        <v>0</v>
      </c>
      <c r="G33" s="278"/>
      <c r="H33" s="279"/>
      <c r="I33" s="288">
        <f t="shared" si="9"/>
        <v>0</v>
      </c>
      <c r="K33" s="126"/>
      <c r="L33" s="294">
        <f t="shared" si="1"/>
        <v>0</v>
      </c>
      <c r="M33" s="15"/>
      <c r="N33" s="277"/>
      <c r="O33" s="308"/>
      <c r="P33" s="277">
        <f t="shared" si="2"/>
        <v>0</v>
      </c>
      <c r="Q33" s="278"/>
      <c r="R33" s="279"/>
      <c r="S33" s="288">
        <f t="shared" si="3"/>
        <v>0</v>
      </c>
      <c r="U33" s="126"/>
      <c r="V33" s="294">
        <f t="shared" si="4"/>
        <v>25</v>
      </c>
      <c r="W33" s="15"/>
      <c r="X33" s="277"/>
      <c r="Y33" s="308"/>
      <c r="Z33" s="277">
        <f t="shared" si="10"/>
        <v>0</v>
      </c>
      <c r="AA33" s="278"/>
      <c r="AB33" s="279"/>
      <c r="AC33" s="288">
        <f t="shared" si="11"/>
        <v>250</v>
      </c>
      <c r="AE33" s="126"/>
      <c r="AF33" s="294">
        <f t="shared" si="5"/>
        <v>6</v>
      </c>
      <c r="AG33" s="15"/>
      <c r="AH33" s="277"/>
      <c r="AI33" s="308"/>
      <c r="AJ33" s="277">
        <f t="shared" si="6"/>
        <v>0</v>
      </c>
      <c r="AK33" s="278"/>
      <c r="AL33" s="279"/>
      <c r="AM33" s="288">
        <f t="shared" si="7"/>
        <v>60</v>
      </c>
    </row>
    <row r="34" spans="1:39" x14ac:dyDescent="0.25">
      <c r="A34" s="126"/>
      <c r="B34" s="294">
        <f t="shared" si="0"/>
        <v>0</v>
      </c>
      <c r="C34" s="15"/>
      <c r="D34" s="277"/>
      <c r="E34" s="308"/>
      <c r="F34" s="277">
        <f t="shared" si="8"/>
        <v>0</v>
      </c>
      <c r="G34" s="278"/>
      <c r="H34" s="279"/>
      <c r="I34" s="288">
        <f t="shared" si="9"/>
        <v>0</v>
      </c>
      <c r="K34" s="126"/>
      <c r="L34" s="294">
        <f t="shared" si="1"/>
        <v>0</v>
      </c>
      <c r="M34" s="15"/>
      <c r="N34" s="277"/>
      <c r="O34" s="308"/>
      <c r="P34" s="277">
        <f t="shared" si="2"/>
        <v>0</v>
      </c>
      <c r="Q34" s="278"/>
      <c r="R34" s="279"/>
      <c r="S34" s="288">
        <f t="shared" si="3"/>
        <v>0</v>
      </c>
      <c r="U34" s="126"/>
      <c r="V34" s="294">
        <f t="shared" si="4"/>
        <v>25</v>
      </c>
      <c r="W34" s="15"/>
      <c r="X34" s="277"/>
      <c r="Y34" s="308"/>
      <c r="Z34" s="277">
        <f t="shared" si="10"/>
        <v>0</v>
      </c>
      <c r="AA34" s="278"/>
      <c r="AB34" s="279"/>
      <c r="AC34" s="288">
        <f t="shared" si="11"/>
        <v>250</v>
      </c>
      <c r="AE34" s="126"/>
      <c r="AF34" s="294">
        <f t="shared" si="5"/>
        <v>6</v>
      </c>
      <c r="AG34" s="15"/>
      <c r="AH34" s="277"/>
      <c r="AI34" s="308"/>
      <c r="AJ34" s="277">
        <f t="shared" si="6"/>
        <v>0</v>
      </c>
      <c r="AK34" s="278"/>
      <c r="AL34" s="279"/>
      <c r="AM34" s="288">
        <f t="shared" si="7"/>
        <v>60</v>
      </c>
    </row>
    <row r="35" spans="1:39" x14ac:dyDescent="0.25">
      <c r="A35" s="126"/>
      <c r="B35" s="294">
        <f t="shared" si="0"/>
        <v>0</v>
      </c>
      <c r="C35" s="15"/>
      <c r="D35" s="277"/>
      <c r="E35" s="308"/>
      <c r="F35" s="277">
        <f t="shared" si="8"/>
        <v>0</v>
      </c>
      <c r="G35" s="278"/>
      <c r="H35" s="279"/>
      <c r="I35" s="288">
        <f t="shared" si="9"/>
        <v>0</v>
      </c>
      <c r="K35" s="126"/>
      <c r="L35" s="294">
        <f t="shared" si="1"/>
        <v>0</v>
      </c>
      <c r="M35" s="15"/>
      <c r="N35" s="277"/>
      <c r="O35" s="308"/>
      <c r="P35" s="277">
        <f t="shared" si="2"/>
        <v>0</v>
      </c>
      <c r="Q35" s="278"/>
      <c r="R35" s="279"/>
      <c r="S35" s="288">
        <f t="shared" si="3"/>
        <v>0</v>
      </c>
      <c r="U35" s="126"/>
      <c r="V35" s="294">
        <f t="shared" si="4"/>
        <v>25</v>
      </c>
      <c r="W35" s="15"/>
      <c r="X35" s="277"/>
      <c r="Y35" s="308"/>
      <c r="Z35" s="277">
        <f t="shared" si="10"/>
        <v>0</v>
      </c>
      <c r="AA35" s="278"/>
      <c r="AB35" s="279"/>
      <c r="AC35" s="288">
        <f t="shared" si="11"/>
        <v>250</v>
      </c>
      <c r="AE35" s="126"/>
      <c r="AF35" s="294">
        <f t="shared" si="5"/>
        <v>6</v>
      </c>
      <c r="AG35" s="15"/>
      <c r="AH35" s="277"/>
      <c r="AI35" s="308"/>
      <c r="AJ35" s="277">
        <f t="shared" si="6"/>
        <v>0</v>
      </c>
      <c r="AK35" s="278"/>
      <c r="AL35" s="279"/>
      <c r="AM35" s="288">
        <f t="shared" si="7"/>
        <v>60</v>
      </c>
    </row>
    <row r="36" spans="1:39" x14ac:dyDescent="0.25">
      <c r="A36" s="126" t="s">
        <v>22</v>
      </c>
      <c r="B36" s="294">
        <f t="shared" si="0"/>
        <v>0</v>
      </c>
      <c r="C36" s="15"/>
      <c r="D36" s="277"/>
      <c r="E36" s="308"/>
      <c r="F36" s="277">
        <f t="shared" si="8"/>
        <v>0</v>
      </c>
      <c r="G36" s="278"/>
      <c r="H36" s="279"/>
      <c r="I36" s="288">
        <f t="shared" si="9"/>
        <v>0</v>
      </c>
      <c r="K36" s="126" t="s">
        <v>22</v>
      </c>
      <c r="L36" s="294">
        <f t="shared" si="1"/>
        <v>0</v>
      </c>
      <c r="M36" s="15"/>
      <c r="N36" s="277"/>
      <c r="O36" s="308"/>
      <c r="P36" s="277">
        <f t="shared" si="2"/>
        <v>0</v>
      </c>
      <c r="Q36" s="278"/>
      <c r="R36" s="279"/>
      <c r="S36" s="288">
        <f t="shared" si="3"/>
        <v>0</v>
      </c>
      <c r="U36" s="126" t="s">
        <v>22</v>
      </c>
      <c r="V36" s="294">
        <f t="shared" si="4"/>
        <v>25</v>
      </c>
      <c r="W36" s="15"/>
      <c r="X36" s="277"/>
      <c r="Y36" s="308"/>
      <c r="Z36" s="277">
        <f t="shared" si="10"/>
        <v>0</v>
      </c>
      <c r="AA36" s="278"/>
      <c r="AB36" s="279"/>
      <c r="AC36" s="288">
        <f t="shared" si="11"/>
        <v>250</v>
      </c>
      <c r="AE36" s="126" t="s">
        <v>22</v>
      </c>
      <c r="AF36" s="294">
        <f t="shared" si="5"/>
        <v>6</v>
      </c>
      <c r="AG36" s="15"/>
      <c r="AH36" s="277"/>
      <c r="AI36" s="308"/>
      <c r="AJ36" s="277">
        <f t="shared" si="6"/>
        <v>0</v>
      </c>
      <c r="AK36" s="278"/>
      <c r="AL36" s="279"/>
      <c r="AM36" s="288">
        <f t="shared" si="7"/>
        <v>60</v>
      </c>
    </row>
    <row r="37" spans="1:39" x14ac:dyDescent="0.25">
      <c r="A37" s="127"/>
      <c r="B37" s="294">
        <f t="shared" si="0"/>
        <v>0</v>
      </c>
      <c r="C37" s="15"/>
      <c r="D37" s="277"/>
      <c r="E37" s="308"/>
      <c r="F37" s="277">
        <f t="shared" si="8"/>
        <v>0</v>
      </c>
      <c r="G37" s="278"/>
      <c r="H37" s="279"/>
      <c r="I37" s="288">
        <f t="shared" si="9"/>
        <v>0</v>
      </c>
      <c r="K37" s="127"/>
      <c r="L37" s="294">
        <f t="shared" si="1"/>
        <v>0</v>
      </c>
      <c r="M37" s="15"/>
      <c r="N37" s="277"/>
      <c r="O37" s="308"/>
      <c r="P37" s="277">
        <f t="shared" si="2"/>
        <v>0</v>
      </c>
      <c r="Q37" s="278"/>
      <c r="R37" s="279"/>
      <c r="S37" s="288">
        <f t="shared" si="3"/>
        <v>0</v>
      </c>
      <c r="U37" s="127"/>
      <c r="V37" s="294">
        <f t="shared" si="4"/>
        <v>25</v>
      </c>
      <c r="W37" s="15"/>
      <c r="X37" s="277"/>
      <c r="Y37" s="308"/>
      <c r="Z37" s="277">
        <f t="shared" si="10"/>
        <v>0</v>
      </c>
      <c r="AA37" s="278"/>
      <c r="AB37" s="279"/>
      <c r="AC37" s="288">
        <f t="shared" si="11"/>
        <v>250</v>
      </c>
      <c r="AE37" s="127"/>
      <c r="AF37" s="294">
        <f t="shared" si="5"/>
        <v>6</v>
      </c>
      <c r="AG37" s="15"/>
      <c r="AH37" s="277"/>
      <c r="AI37" s="308"/>
      <c r="AJ37" s="277">
        <f t="shared" si="6"/>
        <v>0</v>
      </c>
      <c r="AK37" s="278"/>
      <c r="AL37" s="279"/>
      <c r="AM37" s="288">
        <f t="shared" si="7"/>
        <v>60</v>
      </c>
    </row>
    <row r="38" spans="1:39" x14ac:dyDescent="0.25">
      <c r="A38" s="126"/>
      <c r="B38" s="294">
        <f t="shared" si="0"/>
        <v>0</v>
      </c>
      <c r="C38" s="15"/>
      <c r="D38" s="277"/>
      <c r="E38" s="308"/>
      <c r="F38" s="277">
        <f t="shared" si="8"/>
        <v>0</v>
      </c>
      <c r="G38" s="278"/>
      <c r="H38" s="279"/>
      <c r="I38" s="288">
        <f t="shared" si="9"/>
        <v>0</v>
      </c>
      <c r="K38" s="126"/>
      <c r="L38" s="294">
        <f t="shared" si="1"/>
        <v>0</v>
      </c>
      <c r="M38" s="15"/>
      <c r="N38" s="277"/>
      <c r="O38" s="308"/>
      <c r="P38" s="277">
        <f t="shared" si="2"/>
        <v>0</v>
      </c>
      <c r="Q38" s="278"/>
      <c r="R38" s="279"/>
      <c r="S38" s="288">
        <f t="shared" si="3"/>
        <v>0</v>
      </c>
      <c r="U38" s="126"/>
      <c r="V38" s="294">
        <f t="shared" si="4"/>
        <v>25</v>
      </c>
      <c r="W38" s="15"/>
      <c r="X38" s="277"/>
      <c r="Y38" s="308"/>
      <c r="Z38" s="277">
        <f t="shared" si="10"/>
        <v>0</v>
      </c>
      <c r="AA38" s="278"/>
      <c r="AB38" s="279"/>
      <c r="AC38" s="288">
        <f t="shared" si="11"/>
        <v>250</v>
      </c>
      <c r="AE38" s="126"/>
      <c r="AF38" s="294">
        <f t="shared" si="5"/>
        <v>6</v>
      </c>
      <c r="AG38" s="15"/>
      <c r="AH38" s="277"/>
      <c r="AI38" s="308"/>
      <c r="AJ38" s="277">
        <f t="shared" si="6"/>
        <v>0</v>
      </c>
      <c r="AK38" s="278"/>
      <c r="AL38" s="279"/>
      <c r="AM38" s="288">
        <f t="shared" si="7"/>
        <v>60</v>
      </c>
    </row>
    <row r="39" spans="1:39" x14ac:dyDescent="0.25">
      <c r="A39" s="126"/>
      <c r="B39" s="84">
        <f t="shared" si="0"/>
        <v>0</v>
      </c>
      <c r="C39" s="15"/>
      <c r="D39" s="277"/>
      <c r="E39" s="308"/>
      <c r="F39" s="277">
        <f t="shared" si="8"/>
        <v>0</v>
      </c>
      <c r="G39" s="278"/>
      <c r="H39" s="279"/>
      <c r="I39" s="288">
        <f t="shared" si="9"/>
        <v>0</v>
      </c>
      <c r="K39" s="126"/>
      <c r="L39" s="84">
        <f t="shared" si="1"/>
        <v>0</v>
      </c>
      <c r="M39" s="15"/>
      <c r="N39" s="277"/>
      <c r="O39" s="308"/>
      <c r="P39" s="277">
        <f t="shared" si="2"/>
        <v>0</v>
      </c>
      <c r="Q39" s="278"/>
      <c r="R39" s="279"/>
      <c r="S39" s="288">
        <f t="shared" si="3"/>
        <v>0</v>
      </c>
      <c r="U39" s="126"/>
      <c r="V39" s="84">
        <f t="shared" si="4"/>
        <v>25</v>
      </c>
      <c r="W39" s="15"/>
      <c r="X39" s="277"/>
      <c r="Y39" s="308"/>
      <c r="Z39" s="277">
        <f t="shared" si="10"/>
        <v>0</v>
      </c>
      <c r="AA39" s="278"/>
      <c r="AB39" s="279"/>
      <c r="AC39" s="288">
        <f t="shared" si="11"/>
        <v>250</v>
      </c>
      <c r="AE39" s="126"/>
      <c r="AF39" s="84">
        <f t="shared" si="5"/>
        <v>6</v>
      </c>
      <c r="AG39" s="15"/>
      <c r="AH39" s="277"/>
      <c r="AI39" s="308"/>
      <c r="AJ39" s="277">
        <f t="shared" si="6"/>
        <v>0</v>
      </c>
      <c r="AK39" s="278"/>
      <c r="AL39" s="279"/>
      <c r="AM39" s="288">
        <f t="shared" si="7"/>
        <v>60</v>
      </c>
    </row>
    <row r="40" spans="1:39" x14ac:dyDescent="0.25">
      <c r="A40" s="126"/>
      <c r="B40" s="84">
        <f t="shared" si="0"/>
        <v>0</v>
      </c>
      <c r="C40" s="15"/>
      <c r="D40" s="277"/>
      <c r="E40" s="308"/>
      <c r="F40" s="277">
        <f t="shared" si="8"/>
        <v>0</v>
      </c>
      <c r="G40" s="278"/>
      <c r="H40" s="279"/>
      <c r="I40" s="288">
        <f t="shared" si="9"/>
        <v>0</v>
      </c>
      <c r="K40" s="126"/>
      <c r="L40" s="84">
        <f t="shared" si="1"/>
        <v>0</v>
      </c>
      <c r="M40" s="15"/>
      <c r="N40" s="277"/>
      <c r="O40" s="308"/>
      <c r="P40" s="277">
        <f t="shared" si="2"/>
        <v>0</v>
      </c>
      <c r="Q40" s="278"/>
      <c r="R40" s="279"/>
      <c r="S40" s="288">
        <f t="shared" si="3"/>
        <v>0</v>
      </c>
      <c r="U40" s="126"/>
      <c r="V40" s="84">
        <f t="shared" si="4"/>
        <v>25</v>
      </c>
      <c r="W40" s="15"/>
      <c r="X40" s="277"/>
      <c r="Y40" s="308"/>
      <c r="Z40" s="277">
        <f t="shared" si="10"/>
        <v>0</v>
      </c>
      <c r="AA40" s="278"/>
      <c r="AB40" s="279"/>
      <c r="AC40" s="288">
        <f t="shared" si="11"/>
        <v>250</v>
      </c>
      <c r="AE40" s="126"/>
      <c r="AF40" s="84">
        <f t="shared" si="5"/>
        <v>6</v>
      </c>
      <c r="AG40" s="15"/>
      <c r="AH40" s="277"/>
      <c r="AI40" s="308"/>
      <c r="AJ40" s="277">
        <f t="shared" si="6"/>
        <v>0</v>
      </c>
      <c r="AK40" s="278"/>
      <c r="AL40" s="279"/>
      <c r="AM40" s="288">
        <f t="shared" si="7"/>
        <v>60</v>
      </c>
    </row>
    <row r="41" spans="1:39" x14ac:dyDescent="0.25">
      <c r="A41" s="126"/>
      <c r="B41" s="84">
        <f t="shared" si="0"/>
        <v>0</v>
      </c>
      <c r="C41" s="15"/>
      <c r="D41" s="277"/>
      <c r="E41" s="308"/>
      <c r="F41" s="277">
        <f t="shared" si="8"/>
        <v>0</v>
      </c>
      <c r="G41" s="278"/>
      <c r="H41" s="279"/>
      <c r="I41" s="288">
        <f t="shared" si="9"/>
        <v>0</v>
      </c>
      <c r="K41" s="126"/>
      <c r="L41" s="84">
        <f t="shared" si="1"/>
        <v>0</v>
      </c>
      <c r="M41" s="15"/>
      <c r="N41" s="277"/>
      <c r="O41" s="308"/>
      <c r="P41" s="277">
        <f t="shared" si="2"/>
        <v>0</v>
      </c>
      <c r="Q41" s="278"/>
      <c r="R41" s="279"/>
      <c r="S41" s="288">
        <f t="shared" si="3"/>
        <v>0</v>
      </c>
      <c r="U41" s="126"/>
      <c r="V41" s="84">
        <f t="shared" si="4"/>
        <v>25</v>
      </c>
      <c r="W41" s="15"/>
      <c r="X41" s="277"/>
      <c r="Y41" s="308"/>
      <c r="Z41" s="277">
        <f t="shared" si="10"/>
        <v>0</v>
      </c>
      <c r="AA41" s="278"/>
      <c r="AB41" s="279"/>
      <c r="AC41" s="288">
        <f t="shared" si="11"/>
        <v>250</v>
      </c>
      <c r="AE41" s="126"/>
      <c r="AF41" s="84">
        <f t="shared" si="5"/>
        <v>6</v>
      </c>
      <c r="AG41" s="15"/>
      <c r="AH41" s="277"/>
      <c r="AI41" s="308"/>
      <c r="AJ41" s="277">
        <f t="shared" si="6"/>
        <v>0</v>
      </c>
      <c r="AK41" s="278"/>
      <c r="AL41" s="279"/>
      <c r="AM41" s="288">
        <f t="shared" si="7"/>
        <v>60</v>
      </c>
    </row>
    <row r="42" spans="1:39" x14ac:dyDescent="0.25">
      <c r="A42" s="126"/>
      <c r="B42" s="84">
        <f t="shared" si="0"/>
        <v>0</v>
      </c>
      <c r="C42" s="15"/>
      <c r="D42" s="277"/>
      <c r="E42" s="308"/>
      <c r="F42" s="277">
        <f t="shared" si="8"/>
        <v>0</v>
      </c>
      <c r="G42" s="278"/>
      <c r="H42" s="279"/>
      <c r="I42" s="288">
        <f t="shared" si="9"/>
        <v>0</v>
      </c>
      <c r="K42" s="126"/>
      <c r="L42" s="84">
        <f t="shared" si="1"/>
        <v>0</v>
      </c>
      <c r="M42" s="15"/>
      <c r="N42" s="277"/>
      <c r="O42" s="308"/>
      <c r="P42" s="277">
        <f t="shared" si="2"/>
        <v>0</v>
      </c>
      <c r="Q42" s="278"/>
      <c r="R42" s="279"/>
      <c r="S42" s="288">
        <f t="shared" si="3"/>
        <v>0</v>
      </c>
      <c r="U42" s="126"/>
      <c r="V42" s="84">
        <f t="shared" si="4"/>
        <v>25</v>
      </c>
      <c r="W42" s="15"/>
      <c r="X42" s="277"/>
      <c r="Y42" s="308"/>
      <c r="Z42" s="277">
        <f t="shared" si="10"/>
        <v>0</v>
      </c>
      <c r="AA42" s="278"/>
      <c r="AB42" s="279"/>
      <c r="AC42" s="288">
        <f t="shared" si="11"/>
        <v>250</v>
      </c>
      <c r="AE42" s="126"/>
      <c r="AF42" s="84">
        <f t="shared" si="5"/>
        <v>6</v>
      </c>
      <c r="AG42" s="15"/>
      <c r="AH42" s="277"/>
      <c r="AI42" s="308"/>
      <c r="AJ42" s="277">
        <f t="shared" si="6"/>
        <v>0</v>
      </c>
      <c r="AK42" s="278"/>
      <c r="AL42" s="279"/>
      <c r="AM42" s="288">
        <f t="shared" si="7"/>
        <v>60</v>
      </c>
    </row>
    <row r="43" spans="1:39" x14ac:dyDescent="0.25">
      <c r="A43" s="126"/>
      <c r="B43" s="84">
        <f t="shared" si="0"/>
        <v>0</v>
      </c>
      <c r="C43" s="15"/>
      <c r="D43" s="277"/>
      <c r="E43" s="308"/>
      <c r="F43" s="277">
        <f t="shared" si="8"/>
        <v>0</v>
      </c>
      <c r="G43" s="278"/>
      <c r="H43" s="279"/>
      <c r="I43" s="288">
        <f t="shared" si="9"/>
        <v>0</v>
      </c>
      <c r="K43" s="126"/>
      <c r="L43" s="84">
        <f t="shared" si="1"/>
        <v>0</v>
      </c>
      <c r="M43" s="15"/>
      <c r="N43" s="277"/>
      <c r="O43" s="308"/>
      <c r="P43" s="277">
        <f t="shared" si="2"/>
        <v>0</v>
      </c>
      <c r="Q43" s="278"/>
      <c r="R43" s="279"/>
      <c r="S43" s="288">
        <f t="shared" si="3"/>
        <v>0</v>
      </c>
      <c r="U43" s="126"/>
      <c r="V43" s="84">
        <f t="shared" si="4"/>
        <v>25</v>
      </c>
      <c r="W43" s="15"/>
      <c r="X43" s="277"/>
      <c r="Y43" s="308"/>
      <c r="Z43" s="277">
        <f t="shared" si="10"/>
        <v>0</v>
      </c>
      <c r="AA43" s="278"/>
      <c r="AB43" s="279"/>
      <c r="AC43" s="288">
        <f t="shared" si="11"/>
        <v>250</v>
      </c>
      <c r="AE43" s="126"/>
      <c r="AF43" s="84">
        <f t="shared" si="5"/>
        <v>6</v>
      </c>
      <c r="AG43" s="15"/>
      <c r="AH43" s="277"/>
      <c r="AI43" s="308"/>
      <c r="AJ43" s="277">
        <f t="shared" si="6"/>
        <v>0</v>
      </c>
      <c r="AK43" s="278"/>
      <c r="AL43" s="279"/>
      <c r="AM43" s="288">
        <f t="shared" si="7"/>
        <v>60</v>
      </c>
    </row>
    <row r="44" spans="1:39" x14ac:dyDescent="0.25">
      <c r="A44" s="126"/>
      <c r="B44" s="84">
        <f t="shared" si="0"/>
        <v>0</v>
      </c>
      <c r="C44" s="15"/>
      <c r="D44" s="277"/>
      <c r="E44" s="308"/>
      <c r="F44" s="277">
        <f t="shared" si="8"/>
        <v>0</v>
      </c>
      <c r="G44" s="278"/>
      <c r="H44" s="279"/>
      <c r="I44" s="288">
        <f t="shared" si="9"/>
        <v>0</v>
      </c>
      <c r="K44" s="126"/>
      <c r="L44" s="84">
        <f t="shared" si="1"/>
        <v>0</v>
      </c>
      <c r="M44" s="15"/>
      <c r="N44" s="277"/>
      <c r="O44" s="308"/>
      <c r="P44" s="277">
        <f t="shared" si="2"/>
        <v>0</v>
      </c>
      <c r="Q44" s="278"/>
      <c r="R44" s="279"/>
      <c r="S44" s="288">
        <f t="shared" si="3"/>
        <v>0</v>
      </c>
      <c r="U44" s="126"/>
      <c r="V44" s="84">
        <f t="shared" si="4"/>
        <v>25</v>
      </c>
      <c r="W44" s="15"/>
      <c r="X44" s="277"/>
      <c r="Y44" s="308"/>
      <c r="Z44" s="277">
        <f t="shared" si="10"/>
        <v>0</v>
      </c>
      <c r="AA44" s="278"/>
      <c r="AB44" s="279"/>
      <c r="AC44" s="288">
        <f t="shared" si="11"/>
        <v>250</v>
      </c>
      <c r="AE44" s="126"/>
      <c r="AF44" s="84">
        <f t="shared" si="5"/>
        <v>6</v>
      </c>
      <c r="AG44" s="15"/>
      <c r="AH44" s="277"/>
      <c r="AI44" s="308"/>
      <c r="AJ44" s="277">
        <f t="shared" si="6"/>
        <v>0</v>
      </c>
      <c r="AK44" s="278"/>
      <c r="AL44" s="279"/>
      <c r="AM44" s="288">
        <f t="shared" si="7"/>
        <v>60</v>
      </c>
    </row>
    <row r="45" spans="1:39" x14ac:dyDescent="0.25">
      <c r="A45" s="126"/>
      <c r="B45" s="84">
        <f t="shared" si="0"/>
        <v>0</v>
      </c>
      <c r="C45" s="15"/>
      <c r="D45" s="277"/>
      <c r="E45" s="308"/>
      <c r="F45" s="277">
        <f t="shared" si="8"/>
        <v>0</v>
      </c>
      <c r="G45" s="278"/>
      <c r="H45" s="279"/>
      <c r="I45" s="288">
        <f t="shared" si="9"/>
        <v>0</v>
      </c>
      <c r="K45" s="126"/>
      <c r="L45" s="84">
        <f t="shared" si="1"/>
        <v>0</v>
      </c>
      <c r="M45" s="15"/>
      <c r="N45" s="277"/>
      <c r="O45" s="308"/>
      <c r="P45" s="277">
        <f t="shared" si="2"/>
        <v>0</v>
      </c>
      <c r="Q45" s="278"/>
      <c r="R45" s="279"/>
      <c r="S45" s="288">
        <f t="shared" si="3"/>
        <v>0</v>
      </c>
      <c r="U45" s="126"/>
      <c r="V45" s="84">
        <f t="shared" si="4"/>
        <v>25</v>
      </c>
      <c r="W45" s="15"/>
      <c r="X45" s="277"/>
      <c r="Y45" s="308"/>
      <c r="Z45" s="277">
        <f t="shared" si="10"/>
        <v>0</v>
      </c>
      <c r="AA45" s="278"/>
      <c r="AB45" s="279"/>
      <c r="AC45" s="288">
        <f t="shared" si="11"/>
        <v>250</v>
      </c>
      <c r="AE45" s="126"/>
      <c r="AF45" s="84">
        <f t="shared" si="5"/>
        <v>6</v>
      </c>
      <c r="AG45" s="15"/>
      <c r="AH45" s="277"/>
      <c r="AI45" s="308"/>
      <c r="AJ45" s="277">
        <f t="shared" si="6"/>
        <v>0</v>
      </c>
      <c r="AK45" s="278"/>
      <c r="AL45" s="279"/>
      <c r="AM45" s="288">
        <f t="shared" si="7"/>
        <v>60</v>
      </c>
    </row>
    <row r="46" spans="1:39" x14ac:dyDescent="0.25">
      <c r="A46" s="126"/>
      <c r="B46" s="84">
        <f t="shared" si="0"/>
        <v>0</v>
      </c>
      <c r="C46" s="15"/>
      <c r="D46" s="277"/>
      <c r="E46" s="308"/>
      <c r="F46" s="277">
        <f t="shared" si="8"/>
        <v>0</v>
      </c>
      <c r="G46" s="278"/>
      <c r="H46" s="279"/>
      <c r="I46" s="288">
        <f t="shared" si="9"/>
        <v>0</v>
      </c>
      <c r="K46" s="126"/>
      <c r="L46" s="84">
        <f t="shared" si="1"/>
        <v>0</v>
      </c>
      <c r="M46" s="15"/>
      <c r="N46" s="277"/>
      <c r="O46" s="308"/>
      <c r="P46" s="277">
        <f t="shared" si="2"/>
        <v>0</v>
      </c>
      <c r="Q46" s="278"/>
      <c r="R46" s="279"/>
      <c r="S46" s="288">
        <f t="shared" si="3"/>
        <v>0</v>
      </c>
      <c r="U46" s="126"/>
      <c r="V46" s="84">
        <f t="shared" si="4"/>
        <v>25</v>
      </c>
      <c r="W46" s="15"/>
      <c r="X46" s="277"/>
      <c r="Y46" s="308"/>
      <c r="Z46" s="277">
        <f t="shared" si="10"/>
        <v>0</v>
      </c>
      <c r="AA46" s="278"/>
      <c r="AB46" s="279"/>
      <c r="AC46" s="288">
        <f t="shared" si="11"/>
        <v>250</v>
      </c>
      <c r="AE46" s="126"/>
      <c r="AF46" s="84">
        <f t="shared" si="5"/>
        <v>6</v>
      </c>
      <c r="AG46" s="15"/>
      <c r="AH46" s="277"/>
      <c r="AI46" s="308"/>
      <c r="AJ46" s="277">
        <f t="shared" si="6"/>
        <v>0</v>
      </c>
      <c r="AK46" s="278"/>
      <c r="AL46" s="279"/>
      <c r="AM46" s="288">
        <f t="shared" si="7"/>
        <v>60</v>
      </c>
    </row>
    <row r="47" spans="1:39" x14ac:dyDescent="0.25">
      <c r="A47" s="126"/>
      <c r="B47" s="84">
        <f t="shared" si="0"/>
        <v>0</v>
      </c>
      <c r="C47" s="15"/>
      <c r="D47" s="277"/>
      <c r="E47" s="308"/>
      <c r="F47" s="277">
        <f t="shared" si="8"/>
        <v>0</v>
      </c>
      <c r="G47" s="278"/>
      <c r="H47" s="279"/>
      <c r="I47" s="288">
        <f t="shared" si="9"/>
        <v>0</v>
      </c>
      <c r="K47" s="126"/>
      <c r="L47" s="84">
        <f t="shared" si="1"/>
        <v>0</v>
      </c>
      <c r="M47" s="15"/>
      <c r="N47" s="277"/>
      <c r="O47" s="308"/>
      <c r="P47" s="277">
        <f t="shared" si="2"/>
        <v>0</v>
      </c>
      <c r="Q47" s="278"/>
      <c r="R47" s="279"/>
      <c r="S47" s="288">
        <f t="shared" si="3"/>
        <v>0</v>
      </c>
      <c r="U47" s="126"/>
      <c r="V47" s="84">
        <f t="shared" si="4"/>
        <v>25</v>
      </c>
      <c r="W47" s="15"/>
      <c r="X47" s="277"/>
      <c r="Y47" s="308"/>
      <c r="Z47" s="277">
        <f t="shared" si="10"/>
        <v>0</v>
      </c>
      <c r="AA47" s="278"/>
      <c r="AB47" s="279"/>
      <c r="AC47" s="288">
        <f t="shared" si="11"/>
        <v>250</v>
      </c>
      <c r="AE47" s="126"/>
      <c r="AF47" s="84">
        <f t="shared" si="5"/>
        <v>6</v>
      </c>
      <c r="AG47" s="15"/>
      <c r="AH47" s="277"/>
      <c r="AI47" s="308"/>
      <c r="AJ47" s="277">
        <f t="shared" si="6"/>
        <v>0</v>
      </c>
      <c r="AK47" s="278"/>
      <c r="AL47" s="279"/>
      <c r="AM47" s="288">
        <f t="shared" si="7"/>
        <v>60</v>
      </c>
    </row>
    <row r="48" spans="1:39" x14ac:dyDescent="0.25">
      <c r="A48" s="126"/>
      <c r="B48" s="84">
        <f t="shared" si="0"/>
        <v>0</v>
      </c>
      <c r="C48" s="15"/>
      <c r="D48" s="277"/>
      <c r="E48" s="308"/>
      <c r="F48" s="277">
        <f t="shared" si="8"/>
        <v>0</v>
      </c>
      <c r="G48" s="278"/>
      <c r="H48" s="279"/>
      <c r="I48" s="288">
        <f t="shared" si="9"/>
        <v>0</v>
      </c>
      <c r="K48" s="126"/>
      <c r="L48" s="84">
        <f t="shared" si="1"/>
        <v>0</v>
      </c>
      <c r="M48" s="15"/>
      <c r="N48" s="277"/>
      <c r="O48" s="308"/>
      <c r="P48" s="277">
        <f t="shared" si="2"/>
        <v>0</v>
      </c>
      <c r="Q48" s="278"/>
      <c r="R48" s="279"/>
      <c r="S48" s="288">
        <f t="shared" si="3"/>
        <v>0</v>
      </c>
      <c r="U48" s="126"/>
      <c r="V48" s="84">
        <f t="shared" si="4"/>
        <v>25</v>
      </c>
      <c r="W48" s="15"/>
      <c r="X48" s="277"/>
      <c r="Y48" s="308"/>
      <c r="Z48" s="277">
        <f t="shared" si="10"/>
        <v>0</v>
      </c>
      <c r="AA48" s="278"/>
      <c r="AB48" s="279"/>
      <c r="AC48" s="288">
        <f t="shared" si="11"/>
        <v>250</v>
      </c>
      <c r="AE48" s="126"/>
      <c r="AF48" s="84">
        <f t="shared" si="5"/>
        <v>6</v>
      </c>
      <c r="AG48" s="15"/>
      <c r="AH48" s="277"/>
      <c r="AI48" s="308"/>
      <c r="AJ48" s="277">
        <f t="shared" si="6"/>
        <v>0</v>
      </c>
      <c r="AK48" s="278"/>
      <c r="AL48" s="279"/>
      <c r="AM48" s="288">
        <f t="shared" si="7"/>
        <v>60</v>
      </c>
    </row>
    <row r="49" spans="1:39" x14ac:dyDescent="0.25">
      <c r="A49" s="126"/>
      <c r="B49" s="84">
        <f t="shared" si="0"/>
        <v>0</v>
      </c>
      <c r="C49" s="15"/>
      <c r="D49" s="277"/>
      <c r="E49" s="308"/>
      <c r="F49" s="277">
        <f t="shared" si="8"/>
        <v>0</v>
      </c>
      <c r="G49" s="278"/>
      <c r="H49" s="279"/>
      <c r="I49" s="288">
        <f t="shared" si="9"/>
        <v>0</v>
      </c>
      <c r="K49" s="126"/>
      <c r="L49" s="84">
        <f t="shared" si="1"/>
        <v>0</v>
      </c>
      <c r="M49" s="15"/>
      <c r="N49" s="277"/>
      <c r="O49" s="308"/>
      <c r="P49" s="277">
        <f t="shared" si="2"/>
        <v>0</v>
      </c>
      <c r="Q49" s="278"/>
      <c r="R49" s="279"/>
      <c r="S49" s="288">
        <f t="shared" si="3"/>
        <v>0</v>
      </c>
      <c r="U49" s="126"/>
      <c r="V49" s="84">
        <f t="shared" si="4"/>
        <v>25</v>
      </c>
      <c r="W49" s="15"/>
      <c r="X49" s="277"/>
      <c r="Y49" s="308"/>
      <c r="Z49" s="277">
        <f t="shared" si="10"/>
        <v>0</v>
      </c>
      <c r="AA49" s="278"/>
      <c r="AB49" s="279"/>
      <c r="AC49" s="288">
        <f t="shared" si="11"/>
        <v>250</v>
      </c>
      <c r="AE49" s="126"/>
      <c r="AF49" s="84">
        <f t="shared" si="5"/>
        <v>6</v>
      </c>
      <c r="AG49" s="15"/>
      <c r="AH49" s="277"/>
      <c r="AI49" s="308"/>
      <c r="AJ49" s="277">
        <f t="shared" si="6"/>
        <v>0</v>
      </c>
      <c r="AK49" s="278"/>
      <c r="AL49" s="279"/>
      <c r="AM49" s="288">
        <f t="shared" si="7"/>
        <v>60</v>
      </c>
    </row>
    <row r="50" spans="1:39" x14ac:dyDescent="0.25">
      <c r="A50" s="126"/>
      <c r="B50" s="84">
        <f t="shared" si="0"/>
        <v>0</v>
      </c>
      <c r="C50" s="15"/>
      <c r="D50" s="277"/>
      <c r="E50" s="308"/>
      <c r="F50" s="277">
        <f t="shared" si="8"/>
        <v>0</v>
      </c>
      <c r="G50" s="278"/>
      <c r="H50" s="279"/>
      <c r="I50" s="288">
        <f t="shared" si="9"/>
        <v>0</v>
      </c>
      <c r="K50" s="126"/>
      <c r="L50" s="84">
        <f t="shared" si="1"/>
        <v>0</v>
      </c>
      <c r="M50" s="15"/>
      <c r="N50" s="277"/>
      <c r="O50" s="308"/>
      <c r="P50" s="277">
        <f t="shared" si="2"/>
        <v>0</v>
      </c>
      <c r="Q50" s="278"/>
      <c r="R50" s="279"/>
      <c r="S50" s="288">
        <f t="shared" si="3"/>
        <v>0</v>
      </c>
      <c r="U50" s="126"/>
      <c r="V50" s="84">
        <f t="shared" si="4"/>
        <v>25</v>
      </c>
      <c r="W50" s="15"/>
      <c r="X50" s="277"/>
      <c r="Y50" s="308"/>
      <c r="Z50" s="277">
        <f t="shared" si="10"/>
        <v>0</v>
      </c>
      <c r="AA50" s="278"/>
      <c r="AB50" s="279"/>
      <c r="AC50" s="288">
        <f t="shared" si="11"/>
        <v>250</v>
      </c>
      <c r="AE50" s="126"/>
      <c r="AF50" s="84">
        <f t="shared" si="5"/>
        <v>6</v>
      </c>
      <c r="AG50" s="15"/>
      <c r="AH50" s="277"/>
      <c r="AI50" s="308"/>
      <c r="AJ50" s="277">
        <f t="shared" si="6"/>
        <v>0</v>
      </c>
      <c r="AK50" s="278"/>
      <c r="AL50" s="279"/>
      <c r="AM50" s="288">
        <f t="shared" si="7"/>
        <v>60</v>
      </c>
    </row>
    <row r="51" spans="1:39" x14ac:dyDescent="0.25">
      <c r="A51" s="126"/>
      <c r="B51" s="84">
        <f t="shared" si="0"/>
        <v>0</v>
      </c>
      <c r="C51" s="15"/>
      <c r="D51" s="277"/>
      <c r="E51" s="308"/>
      <c r="F51" s="277">
        <f t="shared" si="8"/>
        <v>0</v>
      </c>
      <c r="G51" s="278"/>
      <c r="H51" s="279"/>
      <c r="I51" s="288">
        <f t="shared" si="9"/>
        <v>0</v>
      </c>
      <c r="K51" s="126"/>
      <c r="L51" s="84">
        <f t="shared" si="1"/>
        <v>0</v>
      </c>
      <c r="M51" s="15"/>
      <c r="N51" s="277"/>
      <c r="O51" s="308"/>
      <c r="P51" s="277">
        <f t="shared" si="2"/>
        <v>0</v>
      </c>
      <c r="Q51" s="278"/>
      <c r="R51" s="279"/>
      <c r="S51" s="288">
        <f t="shared" si="3"/>
        <v>0</v>
      </c>
      <c r="U51" s="126"/>
      <c r="V51" s="84">
        <f t="shared" si="4"/>
        <v>25</v>
      </c>
      <c r="W51" s="15"/>
      <c r="X51" s="277"/>
      <c r="Y51" s="308"/>
      <c r="Z51" s="277">
        <f t="shared" si="10"/>
        <v>0</v>
      </c>
      <c r="AA51" s="278"/>
      <c r="AB51" s="279"/>
      <c r="AC51" s="288">
        <f t="shared" si="11"/>
        <v>250</v>
      </c>
      <c r="AE51" s="126"/>
      <c r="AF51" s="84">
        <f t="shared" si="5"/>
        <v>6</v>
      </c>
      <c r="AG51" s="15"/>
      <c r="AH51" s="277"/>
      <c r="AI51" s="308"/>
      <c r="AJ51" s="277">
        <f t="shared" si="6"/>
        <v>0</v>
      </c>
      <c r="AK51" s="278"/>
      <c r="AL51" s="279"/>
      <c r="AM51" s="288">
        <f t="shared" si="7"/>
        <v>60</v>
      </c>
    </row>
    <row r="52" spans="1:39" x14ac:dyDescent="0.25">
      <c r="A52" s="126"/>
      <c r="B52" s="84">
        <f t="shared" si="0"/>
        <v>0</v>
      </c>
      <c r="C52" s="15"/>
      <c r="D52" s="277"/>
      <c r="E52" s="308"/>
      <c r="F52" s="277">
        <f t="shared" si="8"/>
        <v>0</v>
      </c>
      <c r="G52" s="278"/>
      <c r="H52" s="279"/>
      <c r="I52" s="288">
        <f t="shared" si="9"/>
        <v>0</v>
      </c>
      <c r="K52" s="126"/>
      <c r="L52" s="84">
        <f t="shared" si="1"/>
        <v>0</v>
      </c>
      <c r="M52" s="15"/>
      <c r="N52" s="277"/>
      <c r="O52" s="308"/>
      <c r="P52" s="277">
        <f t="shared" si="2"/>
        <v>0</v>
      </c>
      <c r="Q52" s="278"/>
      <c r="R52" s="279"/>
      <c r="S52" s="288">
        <f t="shared" si="3"/>
        <v>0</v>
      </c>
      <c r="U52" s="126"/>
      <c r="V52" s="84">
        <f t="shared" si="4"/>
        <v>25</v>
      </c>
      <c r="W52" s="15"/>
      <c r="X52" s="277"/>
      <c r="Y52" s="308"/>
      <c r="Z52" s="277">
        <f t="shared" si="10"/>
        <v>0</v>
      </c>
      <c r="AA52" s="278"/>
      <c r="AB52" s="279"/>
      <c r="AC52" s="288">
        <f t="shared" si="11"/>
        <v>250</v>
      </c>
      <c r="AE52" s="126"/>
      <c r="AF52" s="84">
        <f t="shared" si="5"/>
        <v>6</v>
      </c>
      <c r="AG52" s="15"/>
      <c r="AH52" s="277"/>
      <c r="AI52" s="308"/>
      <c r="AJ52" s="277">
        <f t="shared" si="6"/>
        <v>0</v>
      </c>
      <c r="AK52" s="278"/>
      <c r="AL52" s="279"/>
      <c r="AM52" s="288">
        <f t="shared" si="7"/>
        <v>60</v>
      </c>
    </row>
    <row r="53" spans="1:39" x14ac:dyDescent="0.25">
      <c r="A53" s="126"/>
      <c r="B53" s="84">
        <f t="shared" si="0"/>
        <v>0</v>
      </c>
      <c r="C53" s="15"/>
      <c r="D53" s="277"/>
      <c r="E53" s="308"/>
      <c r="F53" s="277">
        <f t="shared" si="8"/>
        <v>0</v>
      </c>
      <c r="G53" s="278"/>
      <c r="H53" s="279"/>
      <c r="I53" s="288">
        <f t="shared" si="9"/>
        <v>0</v>
      </c>
      <c r="K53" s="126"/>
      <c r="L53" s="84">
        <f t="shared" si="1"/>
        <v>0</v>
      </c>
      <c r="M53" s="15"/>
      <c r="N53" s="277"/>
      <c r="O53" s="308"/>
      <c r="P53" s="277">
        <f t="shared" si="2"/>
        <v>0</v>
      </c>
      <c r="Q53" s="278"/>
      <c r="R53" s="279"/>
      <c r="S53" s="288">
        <f t="shared" si="3"/>
        <v>0</v>
      </c>
      <c r="U53" s="126"/>
      <c r="V53" s="84">
        <f t="shared" si="4"/>
        <v>25</v>
      </c>
      <c r="W53" s="15"/>
      <c r="X53" s="277"/>
      <c r="Y53" s="308"/>
      <c r="Z53" s="277">
        <f t="shared" si="10"/>
        <v>0</v>
      </c>
      <c r="AA53" s="278"/>
      <c r="AB53" s="279"/>
      <c r="AC53" s="288">
        <f t="shared" si="11"/>
        <v>250</v>
      </c>
      <c r="AE53" s="126"/>
      <c r="AF53" s="84">
        <f t="shared" si="5"/>
        <v>6</v>
      </c>
      <c r="AG53" s="15"/>
      <c r="AH53" s="277"/>
      <c r="AI53" s="308"/>
      <c r="AJ53" s="277">
        <f t="shared" si="6"/>
        <v>0</v>
      </c>
      <c r="AK53" s="278"/>
      <c r="AL53" s="279"/>
      <c r="AM53" s="288">
        <f t="shared" si="7"/>
        <v>60</v>
      </c>
    </row>
    <row r="54" spans="1:39" x14ac:dyDescent="0.25">
      <c r="A54" s="126"/>
      <c r="B54" s="84">
        <f t="shared" si="0"/>
        <v>0</v>
      </c>
      <c r="C54" s="15"/>
      <c r="D54" s="277"/>
      <c r="E54" s="308"/>
      <c r="F54" s="277">
        <f t="shared" si="8"/>
        <v>0</v>
      </c>
      <c r="G54" s="278"/>
      <c r="H54" s="279"/>
      <c r="I54" s="288">
        <f t="shared" si="9"/>
        <v>0</v>
      </c>
      <c r="K54" s="126"/>
      <c r="L54" s="84">
        <f t="shared" si="1"/>
        <v>0</v>
      </c>
      <c r="M54" s="15"/>
      <c r="N54" s="277"/>
      <c r="O54" s="308"/>
      <c r="P54" s="277">
        <f t="shared" si="2"/>
        <v>0</v>
      </c>
      <c r="Q54" s="278"/>
      <c r="R54" s="279"/>
      <c r="S54" s="288">
        <f t="shared" si="3"/>
        <v>0</v>
      </c>
      <c r="U54" s="126"/>
      <c r="V54" s="84">
        <f t="shared" si="4"/>
        <v>25</v>
      </c>
      <c r="W54" s="15"/>
      <c r="X54" s="277"/>
      <c r="Y54" s="308"/>
      <c r="Z54" s="277">
        <f t="shared" si="10"/>
        <v>0</v>
      </c>
      <c r="AA54" s="278"/>
      <c r="AB54" s="279"/>
      <c r="AC54" s="288">
        <f t="shared" si="11"/>
        <v>250</v>
      </c>
      <c r="AE54" s="126"/>
      <c r="AF54" s="84">
        <f t="shared" si="5"/>
        <v>6</v>
      </c>
      <c r="AG54" s="15"/>
      <c r="AH54" s="277"/>
      <c r="AI54" s="308"/>
      <c r="AJ54" s="277">
        <f t="shared" si="6"/>
        <v>0</v>
      </c>
      <c r="AK54" s="278"/>
      <c r="AL54" s="279"/>
      <c r="AM54" s="288">
        <f t="shared" si="7"/>
        <v>60</v>
      </c>
    </row>
    <row r="55" spans="1:39" x14ac:dyDescent="0.25">
      <c r="A55" s="126"/>
      <c r="B55" s="12">
        <f t="shared" si="0"/>
        <v>0</v>
      </c>
      <c r="C55" s="15"/>
      <c r="D55" s="277"/>
      <c r="E55" s="308"/>
      <c r="F55" s="277">
        <f t="shared" si="8"/>
        <v>0</v>
      </c>
      <c r="G55" s="278"/>
      <c r="H55" s="279"/>
      <c r="I55" s="288">
        <f t="shared" si="9"/>
        <v>0</v>
      </c>
      <c r="K55" s="126"/>
      <c r="L55" s="12">
        <f t="shared" si="1"/>
        <v>0</v>
      </c>
      <c r="M55" s="15"/>
      <c r="N55" s="277"/>
      <c r="O55" s="308"/>
      <c r="P55" s="277">
        <f t="shared" si="2"/>
        <v>0</v>
      </c>
      <c r="Q55" s="278"/>
      <c r="R55" s="279"/>
      <c r="S55" s="288">
        <f t="shared" si="3"/>
        <v>0</v>
      </c>
      <c r="U55" s="126"/>
      <c r="V55" s="12">
        <f t="shared" si="4"/>
        <v>25</v>
      </c>
      <c r="W55" s="15"/>
      <c r="X55" s="277"/>
      <c r="Y55" s="308"/>
      <c r="Z55" s="277">
        <f t="shared" si="10"/>
        <v>0</v>
      </c>
      <c r="AA55" s="278"/>
      <c r="AB55" s="279"/>
      <c r="AC55" s="288">
        <f t="shared" si="11"/>
        <v>250</v>
      </c>
      <c r="AE55" s="126"/>
      <c r="AF55" s="12">
        <f t="shared" si="5"/>
        <v>6</v>
      </c>
      <c r="AG55" s="15"/>
      <c r="AH55" s="277"/>
      <c r="AI55" s="308"/>
      <c r="AJ55" s="277">
        <f t="shared" si="6"/>
        <v>0</v>
      </c>
      <c r="AK55" s="278"/>
      <c r="AL55" s="279"/>
      <c r="AM55" s="288">
        <f t="shared" si="7"/>
        <v>60</v>
      </c>
    </row>
    <row r="56" spans="1:39" x14ac:dyDescent="0.25">
      <c r="A56" s="126"/>
      <c r="B56" s="12">
        <f t="shared" si="0"/>
        <v>0</v>
      </c>
      <c r="C56" s="15"/>
      <c r="D56" s="277"/>
      <c r="E56" s="308"/>
      <c r="F56" s="277">
        <f t="shared" si="8"/>
        <v>0</v>
      </c>
      <c r="G56" s="278"/>
      <c r="H56" s="279"/>
      <c r="I56" s="288">
        <f t="shared" si="9"/>
        <v>0</v>
      </c>
      <c r="K56" s="126"/>
      <c r="L56" s="12">
        <f t="shared" si="1"/>
        <v>0</v>
      </c>
      <c r="M56" s="15"/>
      <c r="N56" s="277"/>
      <c r="O56" s="308"/>
      <c r="P56" s="277">
        <f t="shared" si="2"/>
        <v>0</v>
      </c>
      <c r="Q56" s="278"/>
      <c r="R56" s="279"/>
      <c r="S56" s="288">
        <f t="shared" si="3"/>
        <v>0</v>
      </c>
      <c r="U56" s="126"/>
      <c r="V56" s="12">
        <f t="shared" si="4"/>
        <v>25</v>
      </c>
      <c r="W56" s="15"/>
      <c r="X56" s="277"/>
      <c r="Y56" s="308"/>
      <c r="Z56" s="277">
        <f t="shared" si="10"/>
        <v>0</v>
      </c>
      <c r="AA56" s="278"/>
      <c r="AB56" s="279"/>
      <c r="AC56" s="288">
        <f t="shared" si="11"/>
        <v>250</v>
      </c>
      <c r="AE56" s="126"/>
      <c r="AF56" s="12">
        <f t="shared" si="5"/>
        <v>6</v>
      </c>
      <c r="AG56" s="15"/>
      <c r="AH56" s="277"/>
      <c r="AI56" s="308"/>
      <c r="AJ56" s="277">
        <f t="shared" si="6"/>
        <v>0</v>
      </c>
      <c r="AK56" s="278"/>
      <c r="AL56" s="279"/>
      <c r="AM56" s="288">
        <f t="shared" si="7"/>
        <v>60</v>
      </c>
    </row>
    <row r="57" spans="1:39" x14ac:dyDescent="0.25">
      <c r="A57" s="126"/>
      <c r="B57" s="12">
        <f t="shared" si="0"/>
        <v>0</v>
      </c>
      <c r="C57" s="15"/>
      <c r="D57" s="277"/>
      <c r="E57" s="308"/>
      <c r="F57" s="277">
        <f t="shared" si="8"/>
        <v>0</v>
      </c>
      <c r="G57" s="278"/>
      <c r="H57" s="279"/>
      <c r="I57" s="288">
        <f t="shared" si="9"/>
        <v>0</v>
      </c>
      <c r="K57" s="126"/>
      <c r="L57" s="12">
        <f t="shared" si="1"/>
        <v>0</v>
      </c>
      <c r="M57" s="15"/>
      <c r="N57" s="277"/>
      <c r="O57" s="308"/>
      <c r="P57" s="277">
        <f t="shared" si="2"/>
        <v>0</v>
      </c>
      <c r="Q57" s="278"/>
      <c r="R57" s="279"/>
      <c r="S57" s="288">
        <f t="shared" si="3"/>
        <v>0</v>
      </c>
      <c r="U57" s="126"/>
      <c r="V57" s="12">
        <f t="shared" si="4"/>
        <v>25</v>
      </c>
      <c r="W57" s="15"/>
      <c r="X57" s="277"/>
      <c r="Y57" s="308"/>
      <c r="Z57" s="277">
        <f t="shared" si="10"/>
        <v>0</v>
      </c>
      <c r="AA57" s="278"/>
      <c r="AB57" s="279"/>
      <c r="AC57" s="288">
        <f t="shared" si="11"/>
        <v>250</v>
      </c>
      <c r="AE57" s="126"/>
      <c r="AF57" s="12">
        <f t="shared" si="5"/>
        <v>6</v>
      </c>
      <c r="AG57" s="15"/>
      <c r="AH57" s="277"/>
      <c r="AI57" s="308"/>
      <c r="AJ57" s="277">
        <f t="shared" si="6"/>
        <v>0</v>
      </c>
      <c r="AK57" s="278"/>
      <c r="AL57" s="279"/>
      <c r="AM57" s="288">
        <f t="shared" si="7"/>
        <v>60</v>
      </c>
    </row>
    <row r="58" spans="1:39" x14ac:dyDescent="0.25">
      <c r="A58" s="126"/>
      <c r="B58" s="12">
        <f t="shared" si="0"/>
        <v>0</v>
      </c>
      <c r="C58" s="15"/>
      <c r="D58" s="277"/>
      <c r="E58" s="308"/>
      <c r="F58" s="277">
        <f t="shared" si="8"/>
        <v>0</v>
      </c>
      <c r="G58" s="278"/>
      <c r="H58" s="279"/>
      <c r="I58" s="288">
        <f t="shared" si="9"/>
        <v>0</v>
      </c>
      <c r="K58" s="126"/>
      <c r="L58" s="12">
        <f t="shared" si="1"/>
        <v>0</v>
      </c>
      <c r="M58" s="15"/>
      <c r="N58" s="277"/>
      <c r="O58" s="308"/>
      <c r="P58" s="277">
        <f t="shared" si="2"/>
        <v>0</v>
      </c>
      <c r="Q58" s="278"/>
      <c r="R58" s="279"/>
      <c r="S58" s="288">
        <f t="shared" si="3"/>
        <v>0</v>
      </c>
      <c r="U58" s="126"/>
      <c r="V58" s="12">
        <f t="shared" si="4"/>
        <v>25</v>
      </c>
      <c r="W58" s="15"/>
      <c r="X58" s="277"/>
      <c r="Y58" s="308"/>
      <c r="Z58" s="277">
        <f t="shared" si="10"/>
        <v>0</v>
      </c>
      <c r="AA58" s="278"/>
      <c r="AB58" s="279"/>
      <c r="AC58" s="288">
        <f t="shared" si="11"/>
        <v>250</v>
      </c>
      <c r="AE58" s="126"/>
      <c r="AF58" s="12">
        <f t="shared" si="5"/>
        <v>6</v>
      </c>
      <c r="AG58" s="15"/>
      <c r="AH58" s="277"/>
      <c r="AI58" s="308"/>
      <c r="AJ58" s="277">
        <f t="shared" si="6"/>
        <v>0</v>
      </c>
      <c r="AK58" s="278"/>
      <c r="AL58" s="279"/>
      <c r="AM58" s="288">
        <f t="shared" si="7"/>
        <v>60</v>
      </c>
    </row>
    <row r="59" spans="1:39" x14ac:dyDescent="0.25">
      <c r="A59" s="126"/>
      <c r="B59" s="12">
        <f t="shared" si="0"/>
        <v>0</v>
      </c>
      <c r="C59" s="15"/>
      <c r="D59" s="277"/>
      <c r="E59" s="308"/>
      <c r="F59" s="277">
        <f t="shared" si="8"/>
        <v>0</v>
      </c>
      <c r="G59" s="278"/>
      <c r="H59" s="279"/>
      <c r="I59" s="288">
        <f t="shared" si="9"/>
        <v>0</v>
      </c>
      <c r="K59" s="126"/>
      <c r="L59" s="12">
        <f t="shared" si="1"/>
        <v>0</v>
      </c>
      <c r="M59" s="15"/>
      <c r="N59" s="277"/>
      <c r="O59" s="308"/>
      <c r="P59" s="277">
        <f t="shared" si="2"/>
        <v>0</v>
      </c>
      <c r="Q59" s="278"/>
      <c r="R59" s="279"/>
      <c r="S59" s="288">
        <f t="shared" si="3"/>
        <v>0</v>
      </c>
      <c r="U59" s="126"/>
      <c r="V59" s="12">
        <f t="shared" si="4"/>
        <v>25</v>
      </c>
      <c r="W59" s="15"/>
      <c r="X59" s="277"/>
      <c r="Y59" s="308"/>
      <c r="Z59" s="277">
        <f t="shared" si="10"/>
        <v>0</v>
      </c>
      <c r="AA59" s="278"/>
      <c r="AB59" s="279"/>
      <c r="AC59" s="288">
        <f t="shared" si="11"/>
        <v>250</v>
      </c>
      <c r="AE59" s="126"/>
      <c r="AF59" s="12">
        <f t="shared" si="5"/>
        <v>6</v>
      </c>
      <c r="AG59" s="15"/>
      <c r="AH59" s="277"/>
      <c r="AI59" s="308"/>
      <c r="AJ59" s="277">
        <f t="shared" si="6"/>
        <v>0</v>
      </c>
      <c r="AK59" s="278"/>
      <c r="AL59" s="279"/>
      <c r="AM59" s="288">
        <f t="shared" si="7"/>
        <v>60</v>
      </c>
    </row>
    <row r="60" spans="1:39" x14ac:dyDescent="0.25">
      <c r="A60" s="126"/>
      <c r="B60" s="12">
        <f t="shared" si="0"/>
        <v>0</v>
      </c>
      <c r="C60" s="15"/>
      <c r="D60" s="277"/>
      <c r="E60" s="308"/>
      <c r="F60" s="277">
        <f t="shared" si="8"/>
        <v>0</v>
      </c>
      <c r="G60" s="278"/>
      <c r="H60" s="279"/>
      <c r="I60" s="288">
        <f t="shared" si="9"/>
        <v>0</v>
      </c>
      <c r="K60" s="126"/>
      <c r="L60" s="12">
        <f t="shared" si="1"/>
        <v>0</v>
      </c>
      <c r="M60" s="15"/>
      <c r="N60" s="277"/>
      <c r="O60" s="308"/>
      <c r="P60" s="277">
        <f t="shared" si="2"/>
        <v>0</v>
      </c>
      <c r="Q60" s="278"/>
      <c r="R60" s="279"/>
      <c r="S60" s="288">
        <f t="shared" si="3"/>
        <v>0</v>
      </c>
      <c r="U60" s="126"/>
      <c r="V60" s="12">
        <f t="shared" si="4"/>
        <v>25</v>
      </c>
      <c r="W60" s="15"/>
      <c r="X60" s="277"/>
      <c r="Y60" s="308"/>
      <c r="Z60" s="277">
        <f t="shared" si="10"/>
        <v>0</v>
      </c>
      <c r="AA60" s="278"/>
      <c r="AB60" s="279"/>
      <c r="AC60" s="288">
        <f t="shared" si="11"/>
        <v>250</v>
      </c>
      <c r="AE60" s="126"/>
      <c r="AF60" s="12">
        <f t="shared" si="5"/>
        <v>6</v>
      </c>
      <c r="AG60" s="15"/>
      <c r="AH60" s="277"/>
      <c r="AI60" s="308"/>
      <c r="AJ60" s="277">
        <f t="shared" si="6"/>
        <v>0</v>
      </c>
      <c r="AK60" s="278"/>
      <c r="AL60" s="279"/>
      <c r="AM60" s="288">
        <f t="shared" si="7"/>
        <v>60</v>
      </c>
    </row>
    <row r="61" spans="1:39" x14ac:dyDescent="0.25">
      <c r="A61" s="126"/>
      <c r="B61" s="12">
        <f t="shared" si="0"/>
        <v>0</v>
      </c>
      <c r="C61" s="15"/>
      <c r="D61" s="277"/>
      <c r="E61" s="308"/>
      <c r="F61" s="277">
        <f t="shared" si="8"/>
        <v>0</v>
      </c>
      <c r="G61" s="278"/>
      <c r="H61" s="279"/>
      <c r="I61" s="288">
        <f t="shared" si="9"/>
        <v>0</v>
      </c>
      <c r="K61" s="126"/>
      <c r="L61" s="12">
        <f t="shared" si="1"/>
        <v>0</v>
      </c>
      <c r="M61" s="15"/>
      <c r="N61" s="277"/>
      <c r="O61" s="308"/>
      <c r="P61" s="277">
        <f t="shared" si="2"/>
        <v>0</v>
      </c>
      <c r="Q61" s="278"/>
      <c r="R61" s="279"/>
      <c r="S61" s="288">
        <f t="shared" si="3"/>
        <v>0</v>
      </c>
      <c r="U61" s="126"/>
      <c r="V61" s="12">
        <f t="shared" si="4"/>
        <v>25</v>
      </c>
      <c r="W61" s="15"/>
      <c r="X61" s="277"/>
      <c r="Y61" s="308"/>
      <c r="Z61" s="277">
        <f t="shared" si="10"/>
        <v>0</v>
      </c>
      <c r="AA61" s="278"/>
      <c r="AB61" s="279"/>
      <c r="AC61" s="288">
        <f t="shared" si="11"/>
        <v>250</v>
      </c>
      <c r="AE61" s="126"/>
      <c r="AF61" s="12">
        <f t="shared" si="5"/>
        <v>6</v>
      </c>
      <c r="AG61" s="15"/>
      <c r="AH61" s="277"/>
      <c r="AI61" s="308"/>
      <c r="AJ61" s="277">
        <f t="shared" si="6"/>
        <v>0</v>
      </c>
      <c r="AK61" s="278"/>
      <c r="AL61" s="279"/>
      <c r="AM61" s="288">
        <f t="shared" si="7"/>
        <v>60</v>
      </c>
    </row>
    <row r="62" spans="1:39" x14ac:dyDescent="0.25">
      <c r="A62" s="126"/>
      <c r="B62" s="12">
        <f t="shared" si="0"/>
        <v>0</v>
      </c>
      <c r="C62" s="15"/>
      <c r="D62" s="277"/>
      <c r="E62" s="308"/>
      <c r="F62" s="277">
        <f t="shared" si="8"/>
        <v>0</v>
      </c>
      <c r="G62" s="278"/>
      <c r="H62" s="279"/>
      <c r="I62" s="288">
        <f t="shared" si="9"/>
        <v>0</v>
      </c>
      <c r="K62" s="126"/>
      <c r="L62" s="12">
        <f t="shared" si="1"/>
        <v>0</v>
      </c>
      <c r="M62" s="15"/>
      <c r="N62" s="277"/>
      <c r="O62" s="308"/>
      <c r="P62" s="277">
        <f t="shared" si="2"/>
        <v>0</v>
      </c>
      <c r="Q62" s="278"/>
      <c r="R62" s="279"/>
      <c r="S62" s="288">
        <f t="shared" si="3"/>
        <v>0</v>
      </c>
      <c r="U62" s="126"/>
      <c r="V62" s="12">
        <f t="shared" si="4"/>
        <v>25</v>
      </c>
      <c r="W62" s="15"/>
      <c r="X62" s="277"/>
      <c r="Y62" s="308"/>
      <c r="Z62" s="277">
        <f t="shared" si="10"/>
        <v>0</v>
      </c>
      <c r="AA62" s="278"/>
      <c r="AB62" s="279"/>
      <c r="AC62" s="288">
        <f t="shared" si="11"/>
        <v>250</v>
      </c>
      <c r="AE62" s="126"/>
      <c r="AF62" s="12">
        <f t="shared" si="5"/>
        <v>6</v>
      </c>
      <c r="AG62" s="15"/>
      <c r="AH62" s="277"/>
      <c r="AI62" s="308"/>
      <c r="AJ62" s="277">
        <f t="shared" si="6"/>
        <v>0</v>
      </c>
      <c r="AK62" s="278"/>
      <c r="AL62" s="279"/>
      <c r="AM62" s="288">
        <f t="shared" si="7"/>
        <v>60</v>
      </c>
    </row>
    <row r="63" spans="1:39" x14ac:dyDescent="0.25">
      <c r="A63" s="126"/>
      <c r="B63" s="12">
        <f t="shared" si="0"/>
        <v>0</v>
      </c>
      <c r="C63" s="15"/>
      <c r="D63" s="277"/>
      <c r="E63" s="308"/>
      <c r="F63" s="277">
        <f t="shared" si="8"/>
        <v>0</v>
      </c>
      <c r="G63" s="278"/>
      <c r="H63" s="279"/>
      <c r="I63" s="288">
        <f t="shared" si="9"/>
        <v>0</v>
      </c>
      <c r="K63" s="126"/>
      <c r="L63" s="12">
        <f t="shared" si="1"/>
        <v>0</v>
      </c>
      <c r="M63" s="15"/>
      <c r="N63" s="277"/>
      <c r="O63" s="308"/>
      <c r="P63" s="277">
        <f t="shared" si="2"/>
        <v>0</v>
      </c>
      <c r="Q63" s="278"/>
      <c r="R63" s="279"/>
      <c r="S63" s="288">
        <f t="shared" si="3"/>
        <v>0</v>
      </c>
      <c r="U63" s="126"/>
      <c r="V63" s="12">
        <f t="shared" si="4"/>
        <v>25</v>
      </c>
      <c r="W63" s="15"/>
      <c r="X63" s="277"/>
      <c r="Y63" s="308"/>
      <c r="Z63" s="277">
        <f t="shared" si="10"/>
        <v>0</v>
      </c>
      <c r="AA63" s="278"/>
      <c r="AB63" s="279"/>
      <c r="AC63" s="288">
        <f t="shared" si="11"/>
        <v>250</v>
      </c>
      <c r="AE63" s="126"/>
      <c r="AF63" s="12">
        <f t="shared" si="5"/>
        <v>6</v>
      </c>
      <c r="AG63" s="15"/>
      <c r="AH63" s="277"/>
      <c r="AI63" s="308"/>
      <c r="AJ63" s="277">
        <f t="shared" si="6"/>
        <v>0</v>
      </c>
      <c r="AK63" s="278"/>
      <c r="AL63" s="279"/>
      <c r="AM63" s="288">
        <f t="shared" si="7"/>
        <v>60</v>
      </c>
    </row>
    <row r="64" spans="1:39" x14ac:dyDescent="0.25">
      <c r="A64" s="126"/>
      <c r="B64" s="12">
        <f t="shared" si="0"/>
        <v>0</v>
      </c>
      <c r="C64" s="15"/>
      <c r="D64" s="277"/>
      <c r="E64" s="308"/>
      <c r="F64" s="277">
        <f t="shared" si="8"/>
        <v>0</v>
      </c>
      <c r="G64" s="278"/>
      <c r="H64" s="279"/>
      <c r="I64" s="288">
        <f t="shared" si="9"/>
        <v>0</v>
      </c>
      <c r="K64" s="126"/>
      <c r="L64" s="12">
        <f t="shared" si="1"/>
        <v>0</v>
      </c>
      <c r="M64" s="15"/>
      <c r="N64" s="277"/>
      <c r="O64" s="308"/>
      <c r="P64" s="277">
        <f t="shared" si="2"/>
        <v>0</v>
      </c>
      <c r="Q64" s="278"/>
      <c r="R64" s="279"/>
      <c r="S64" s="288">
        <f t="shared" si="3"/>
        <v>0</v>
      </c>
      <c r="U64" s="126"/>
      <c r="V64" s="12">
        <f t="shared" si="4"/>
        <v>25</v>
      </c>
      <c r="W64" s="15"/>
      <c r="X64" s="277"/>
      <c r="Y64" s="308"/>
      <c r="Z64" s="277">
        <f t="shared" si="10"/>
        <v>0</v>
      </c>
      <c r="AA64" s="278"/>
      <c r="AB64" s="279"/>
      <c r="AC64" s="288">
        <f t="shared" si="11"/>
        <v>250</v>
      </c>
      <c r="AE64" s="126"/>
      <c r="AF64" s="12">
        <f t="shared" si="5"/>
        <v>6</v>
      </c>
      <c r="AG64" s="15"/>
      <c r="AH64" s="277"/>
      <c r="AI64" s="308"/>
      <c r="AJ64" s="277">
        <f t="shared" si="6"/>
        <v>0</v>
      </c>
      <c r="AK64" s="278"/>
      <c r="AL64" s="279"/>
      <c r="AM64" s="288">
        <f t="shared" si="7"/>
        <v>60</v>
      </c>
    </row>
    <row r="65" spans="1:39" x14ac:dyDescent="0.25">
      <c r="A65" s="126"/>
      <c r="B65" s="12">
        <f t="shared" si="0"/>
        <v>0</v>
      </c>
      <c r="C65" s="15"/>
      <c r="D65" s="277"/>
      <c r="E65" s="308"/>
      <c r="F65" s="277">
        <f t="shared" si="8"/>
        <v>0</v>
      </c>
      <c r="G65" s="278"/>
      <c r="H65" s="279"/>
      <c r="I65" s="288">
        <f t="shared" si="9"/>
        <v>0</v>
      </c>
      <c r="K65" s="126"/>
      <c r="L65" s="12">
        <f t="shared" si="1"/>
        <v>0</v>
      </c>
      <c r="M65" s="15"/>
      <c r="N65" s="277"/>
      <c r="O65" s="308"/>
      <c r="P65" s="277">
        <f t="shared" si="2"/>
        <v>0</v>
      </c>
      <c r="Q65" s="278"/>
      <c r="R65" s="279"/>
      <c r="S65" s="288">
        <f t="shared" si="3"/>
        <v>0</v>
      </c>
      <c r="U65" s="126"/>
      <c r="V65" s="12">
        <f t="shared" si="4"/>
        <v>25</v>
      </c>
      <c r="W65" s="15"/>
      <c r="X65" s="277"/>
      <c r="Y65" s="308"/>
      <c r="Z65" s="277">
        <f t="shared" si="10"/>
        <v>0</v>
      </c>
      <c r="AA65" s="278"/>
      <c r="AB65" s="279"/>
      <c r="AC65" s="288">
        <f t="shared" si="11"/>
        <v>250</v>
      </c>
      <c r="AE65" s="126"/>
      <c r="AF65" s="12">
        <f t="shared" si="5"/>
        <v>6</v>
      </c>
      <c r="AG65" s="15"/>
      <c r="AH65" s="277"/>
      <c r="AI65" s="308"/>
      <c r="AJ65" s="277">
        <f t="shared" si="6"/>
        <v>0</v>
      </c>
      <c r="AK65" s="278"/>
      <c r="AL65" s="279"/>
      <c r="AM65" s="288">
        <f t="shared" si="7"/>
        <v>60</v>
      </c>
    </row>
    <row r="66" spans="1:39" x14ac:dyDescent="0.25">
      <c r="A66" s="126"/>
      <c r="B66" s="12">
        <f t="shared" si="0"/>
        <v>0</v>
      </c>
      <c r="C66" s="15"/>
      <c r="D66" s="277"/>
      <c r="E66" s="308"/>
      <c r="F66" s="277">
        <f t="shared" si="8"/>
        <v>0</v>
      </c>
      <c r="G66" s="278"/>
      <c r="H66" s="279"/>
      <c r="I66" s="288">
        <f t="shared" si="9"/>
        <v>0</v>
      </c>
      <c r="K66" s="126"/>
      <c r="L66" s="12">
        <f t="shared" si="1"/>
        <v>0</v>
      </c>
      <c r="M66" s="15"/>
      <c r="N66" s="277"/>
      <c r="O66" s="308"/>
      <c r="P66" s="277">
        <f t="shared" si="2"/>
        <v>0</v>
      </c>
      <c r="Q66" s="278"/>
      <c r="R66" s="279"/>
      <c r="S66" s="288">
        <f t="shared" si="3"/>
        <v>0</v>
      </c>
      <c r="U66" s="126"/>
      <c r="V66" s="12">
        <f t="shared" si="4"/>
        <v>25</v>
      </c>
      <c r="W66" s="15"/>
      <c r="X66" s="277"/>
      <c r="Y66" s="308"/>
      <c r="Z66" s="277">
        <f t="shared" si="10"/>
        <v>0</v>
      </c>
      <c r="AA66" s="278"/>
      <c r="AB66" s="279"/>
      <c r="AC66" s="288">
        <f t="shared" si="11"/>
        <v>250</v>
      </c>
      <c r="AE66" s="126"/>
      <c r="AF66" s="12">
        <f t="shared" si="5"/>
        <v>6</v>
      </c>
      <c r="AG66" s="15"/>
      <c r="AH66" s="277"/>
      <c r="AI66" s="308"/>
      <c r="AJ66" s="277">
        <f t="shared" si="6"/>
        <v>0</v>
      </c>
      <c r="AK66" s="278"/>
      <c r="AL66" s="279"/>
      <c r="AM66" s="288">
        <f t="shared" si="7"/>
        <v>60</v>
      </c>
    </row>
    <row r="67" spans="1:39" x14ac:dyDescent="0.25">
      <c r="A67" s="126"/>
      <c r="B67" s="12">
        <f t="shared" si="0"/>
        <v>0</v>
      </c>
      <c r="C67" s="15"/>
      <c r="D67" s="70"/>
      <c r="E67" s="228"/>
      <c r="F67" s="70">
        <f t="shared" si="8"/>
        <v>0</v>
      </c>
      <c r="G67" s="71"/>
      <c r="H67" s="72"/>
      <c r="I67" s="107">
        <f t="shared" si="9"/>
        <v>0</v>
      </c>
      <c r="K67" s="126"/>
      <c r="L67" s="12">
        <f t="shared" si="1"/>
        <v>0</v>
      </c>
      <c r="M67" s="15"/>
      <c r="N67" s="70"/>
      <c r="O67" s="228"/>
      <c r="P67" s="277">
        <f t="shared" si="2"/>
        <v>0</v>
      </c>
      <c r="Q67" s="71"/>
      <c r="R67" s="72"/>
      <c r="S67" s="107">
        <f t="shared" si="3"/>
        <v>0</v>
      </c>
      <c r="U67" s="126"/>
      <c r="V67" s="12">
        <f t="shared" si="4"/>
        <v>25</v>
      </c>
      <c r="W67" s="15"/>
      <c r="X67" s="70"/>
      <c r="Y67" s="228"/>
      <c r="Z67" s="70">
        <f t="shared" si="10"/>
        <v>0</v>
      </c>
      <c r="AA67" s="71"/>
      <c r="AB67" s="72"/>
      <c r="AC67" s="107">
        <f t="shared" si="11"/>
        <v>250</v>
      </c>
      <c r="AE67" s="126"/>
      <c r="AF67" s="12">
        <f t="shared" si="5"/>
        <v>6</v>
      </c>
      <c r="AG67" s="15"/>
      <c r="AH67" s="70"/>
      <c r="AI67" s="228"/>
      <c r="AJ67" s="277">
        <f t="shared" si="6"/>
        <v>0</v>
      </c>
      <c r="AK67" s="71"/>
      <c r="AL67" s="72"/>
      <c r="AM67" s="107">
        <f t="shared" si="7"/>
        <v>60</v>
      </c>
    </row>
    <row r="68" spans="1:39" x14ac:dyDescent="0.25">
      <c r="A68" s="126"/>
      <c r="B68" s="12">
        <f t="shared" si="0"/>
        <v>0</v>
      </c>
      <c r="C68" s="15"/>
      <c r="D68" s="60"/>
      <c r="E68" s="236"/>
      <c r="F68" s="70">
        <f t="shared" si="8"/>
        <v>0</v>
      </c>
      <c r="G68" s="71"/>
      <c r="H68" s="72"/>
      <c r="I68" s="107">
        <f t="shared" si="9"/>
        <v>0</v>
      </c>
      <c r="K68" s="126"/>
      <c r="L68" s="12">
        <f t="shared" si="1"/>
        <v>0</v>
      </c>
      <c r="M68" s="15"/>
      <c r="N68" s="60"/>
      <c r="O68" s="236"/>
      <c r="P68" s="277">
        <f t="shared" si="2"/>
        <v>0</v>
      </c>
      <c r="Q68" s="71"/>
      <c r="R68" s="72"/>
      <c r="S68" s="107">
        <f t="shared" si="3"/>
        <v>0</v>
      </c>
      <c r="U68" s="126"/>
      <c r="V68" s="12">
        <f t="shared" si="4"/>
        <v>25</v>
      </c>
      <c r="W68" s="15"/>
      <c r="X68" s="60"/>
      <c r="Y68" s="236"/>
      <c r="Z68" s="70">
        <f t="shared" si="10"/>
        <v>0</v>
      </c>
      <c r="AA68" s="71"/>
      <c r="AB68" s="72"/>
      <c r="AC68" s="107">
        <f t="shared" si="11"/>
        <v>250</v>
      </c>
      <c r="AE68" s="126"/>
      <c r="AF68" s="12">
        <f t="shared" si="5"/>
        <v>6</v>
      </c>
      <c r="AG68" s="15"/>
      <c r="AH68" s="60"/>
      <c r="AI68" s="236"/>
      <c r="AJ68" s="277">
        <f t="shared" si="6"/>
        <v>0</v>
      </c>
      <c r="AK68" s="71"/>
      <c r="AL68" s="72"/>
      <c r="AM68" s="107">
        <f t="shared" si="7"/>
        <v>60</v>
      </c>
    </row>
    <row r="69" spans="1:39" x14ac:dyDescent="0.25">
      <c r="A69" s="126"/>
      <c r="B69" s="12">
        <f t="shared" si="0"/>
        <v>0</v>
      </c>
      <c r="C69" s="15"/>
      <c r="D69" s="60"/>
      <c r="E69" s="236"/>
      <c r="F69" s="70">
        <f t="shared" si="8"/>
        <v>0</v>
      </c>
      <c r="G69" s="71"/>
      <c r="H69" s="72"/>
      <c r="I69" s="107">
        <f t="shared" si="9"/>
        <v>0</v>
      </c>
      <c r="K69" s="126"/>
      <c r="L69" s="12">
        <f t="shared" si="1"/>
        <v>0</v>
      </c>
      <c r="M69" s="15"/>
      <c r="N69" s="60"/>
      <c r="O69" s="236"/>
      <c r="P69" s="277">
        <f t="shared" si="2"/>
        <v>0</v>
      </c>
      <c r="Q69" s="71"/>
      <c r="R69" s="72"/>
      <c r="S69" s="107">
        <f t="shared" si="3"/>
        <v>0</v>
      </c>
      <c r="U69" s="126"/>
      <c r="V69" s="12">
        <f t="shared" si="4"/>
        <v>25</v>
      </c>
      <c r="W69" s="15"/>
      <c r="X69" s="60"/>
      <c r="Y69" s="236"/>
      <c r="Z69" s="70">
        <f t="shared" si="10"/>
        <v>0</v>
      </c>
      <c r="AA69" s="71"/>
      <c r="AB69" s="72"/>
      <c r="AC69" s="107">
        <f t="shared" si="11"/>
        <v>250</v>
      </c>
      <c r="AE69" s="126"/>
      <c r="AF69" s="12">
        <f t="shared" si="5"/>
        <v>6</v>
      </c>
      <c r="AG69" s="15"/>
      <c r="AH69" s="60"/>
      <c r="AI69" s="236"/>
      <c r="AJ69" s="277">
        <f t="shared" si="6"/>
        <v>0</v>
      </c>
      <c r="AK69" s="71"/>
      <c r="AL69" s="72"/>
      <c r="AM69" s="107">
        <f t="shared" si="7"/>
        <v>60</v>
      </c>
    </row>
    <row r="70" spans="1:39" x14ac:dyDescent="0.25">
      <c r="A70" s="126"/>
      <c r="B70" s="12">
        <f t="shared" si="0"/>
        <v>0</v>
      </c>
      <c r="C70" s="15"/>
      <c r="D70" s="60"/>
      <c r="E70" s="236"/>
      <c r="F70" s="70">
        <f t="shared" si="8"/>
        <v>0</v>
      </c>
      <c r="G70" s="71"/>
      <c r="H70" s="72"/>
      <c r="I70" s="107">
        <f t="shared" si="9"/>
        <v>0</v>
      </c>
      <c r="K70" s="126"/>
      <c r="L70" s="12">
        <f t="shared" si="1"/>
        <v>0</v>
      </c>
      <c r="M70" s="15"/>
      <c r="N70" s="60"/>
      <c r="O70" s="236"/>
      <c r="P70" s="277">
        <f t="shared" si="2"/>
        <v>0</v>
      </c>
      <c r="Q70" s="71"/>
      <c r="R70" s="72"/>
      <c r="S70" s="107">
        <f t="shared" si="3"/>
        <v>0</v>
      </c>
      <c r="U70" s="126"/>
      <c r="V70" s="12">
        <f t="shared" si="4"/>
        <v>25</v>
      </c>
      <c r="W70" s="15"/>
      <c r="X70" s="60"/>
      <c r="Y70" s="236"/>
      <c r="Z70" s="70">
        <f t="shared" si="10"/>
        <v>0</v>
      </c>
      <c r="AA70" s="71"/>
      <c r="AB70" s="72"/>
      <c r="AC70" s="107">
        <f t="shared" si="11"/>
        <v>250</v>
      </c>
      <c r="AE70" s="126"/>
      <c r="AF70" s="12">
        <f t="shared" si="5"/>
        <v>6</v>
      </c>
      <c r="AG70" s="15"/>
      <c r="AH70" s="60"/>
      <c r="AI70" s="236"/>
      <c r="AJ70" s="277">
        <f t="shared" si="6"/>
        <v>0</v>
      </c>
      <c r="AK70" s="71"/>
      <c r="AL70" s="72"/>
      <c r="AM70" s="107">
        <f t="shared" si="7"/>
        <v>60</v>
      </c>
    </row>
    <row r="71" spans="1:39" x14ac:dyDescent="0.25">
      <c r="A71" s="126"/>
      <c r="B71" s="12">
        <f t="shared" si="0"/>
        <v>0</v>
      </c>
      <c r="C71" s="15"/>
      <c r="D71" s="60"/>
      <c r="E71" s="236"/>
      <c r="F71" s="70">
        <f t="shared" si="8"/>
        <v>0</v>
      </c>
      <c r="G71" s="71"/>
      <c r="H71" s="72"/>
      <c r="I71" s="107">
        <f t="shared" si="9"/>
        <v>0</v>
      </c>
      <c r="K71" s="126"/>
      <c r="L71" s="12">
        <f t="shared" si="1"/>
        <v>0</v>
      </c>
      <c r="M71" s="15"/>
      <c r="N71" s="60"/>
      <c r="O71" s="236"/>
      <c r="P71" s="277">
        <f t="shared" si="2"/>
        <v>0</v>
      </c>
      <c r="Q71" s="71"/>
      <c r="R71" s="72"/>
      <c r="S71" s="107">
        <f t="shared" si="3"/>
        <v>0</v>
      </c>
      <c r="U71" s="126"/>
      <c r="V71" s="12">
        <f t="shared" si="4"/>
        <v>25</v>
      </c>
      <c r="W71" s="15"/>
      <c r="X71" s="60"/>
      <c r="Y71" s="236"/>
      <c r="Z71" s="70">
        <f t="shared" si="10"/>
        <v>0</v>
      </c>
      <c r="AA71" s="71"/>
      <c r="AB71" s="72"/>
      <c r="AC71" s="107">
        <f t="shared" si="11"/>
        <v>250</v>
      </c>
      <c r="AE71" s="126"/>
      <c r="AF71" s="12">
        <f t="shared" si="5"/>
        <v>6</v>
      </c>
      <c r="AG71" s="15"/>
      <c r="AH71" s="60"/>
      <c r="AI71" s="236"/>
      <c r="AJ71" s="277">
        <f t="shared" si="6"/>
        <v>0</v>
      </c>
      <c r="AK71" s="71"/>
      <c r="AL71" s="72"/>
      <c r="AM71" s="107">
        <f t="shared" si="7"/>
        <v>60</v>
      </c>
    </row>
    <row r="72" spans="1:39" x14ac:dyDescent="0.25">
      <c r="A72" s="126"/>
      <c r="B72" s="12">
        <f t="shared" si="0"/>
        <v>0</v>
      </c>
      <c r="C72" s="15"/>
      <c r="D72" s="60"/>
      <c r="E72" s="236"/>
      <c r="F72" s="70">
        <f t="shared" si="8"/>
        <v>0</v>
      </c>
      <c r="G72" s="71"/>
      <c r="H72" s="72"/>
      <c r="I72" s="107">
        <f t="shared" si="9"/>
        <v>0</v>
      </c>
      <c r="K72" s="126"/>
      <c r="L72" s="12">
        <f t="shared" si="1"/>
        <v>0</v>
      </c>
      <c r="M72" s="15"/>
      <c r="N72" s="60"/>
      <c r="O72" s="236"/>
      <c r="P72" s="277">
        <f t="shared" si="2"/>
        <v>0</v>
      </c>
      <c r="Q72" s="71"/>
      <c r="R72" s="72"/>
      <c r="S72" s="107">
        <f t="shared" si="3"/>
        <v>0</v>
      </c>
      <c r="U72" s="126"/>
      <c r="V72" s="12">
        <f t="shared" si="4"/>
        <v>25</v>
      </c>
      <c r="W72" s="15"/>
      <c r="X72" s="60"/>
      <c r="Y72" s="236"/>
      <c r="Z72" s="70">
        <f t="shared" si="10"/>
        <v>0</v>
      </c>
      <c r="AA72" s="71"/>
      <c r="AB72" s="72"/>
      <c r="AC72" s="107">
        <f t="shared" si="11"/>
        <v>250</v>
      </c>
      <c r="AE72" s="126"/>
      <c r="AF72" s="12">
        <f t="shared" si="5"/>
        <v>6</v>
      </c>
      <c r="AG72" s="15"/>
      <c r="AH72" s="60"/>
      <c r="AI72" s="236"/>
      <c r="AJ72" s="277">
        <f t="shared" si="6"/>
        <v>0</v>
      </c>
      <c r="AK72" s="71"/>
      <c r="AL72" s="72"/>
      <c r="AM72" s="107">
        <f t="shared" si="7"/>
        <v>60</v>
      </c>
    </row>
    <row r="73" spans="1:39" x14ac:dyDescent="0.25">
      <c r="A73" s="126"/>
      <c r="B73" s="12">
        <f t="shared" si="0"/>
        <v>0</v>
      </c>
      <c r="C73" s="15"/>
      <c r="D73" s="60"/>
      <c r="E73" s="236"/>
      <c r="F73" s="70">
        <f t="shared" si="8"/>
        <v>0</v>
      </c>
      <c r="G73" s="71"/>
      <c r="H73" s="72"/>
      <c r="I73" s="107">
        <f t="shared" si="9"/>
        <v>0</v>
      </c>
      <c r="K73" s="126"/>
      <c r="L73" s="12">
        <f t="shared" si="1"/>
        <v>0</v>
      </c>
      <c r="M73" s="15"/>
      <c r="N73" s="60"/>
      <c r="O73" s="236"/>
      <c r="P73" s="277">
        <f t="shared" si="2"/>
        <v>0</v>
      </c>
      <c r="Q73" s="71"/>
      <c r="R73" s="72"/>
      <c r="S73" s="107">
        <f t="shared" si="3"/>
        <v>0</v>
      </c>
      <c r="U73" s="126"/>
      <c r="V73" s="12">
        <f t="shared" si="4"/>
        <v>25</v>
      </c>
      <c r="W73" s="15"/>
      <c r="X73" s="60"/>
      <c r="Y73" s="236"/>
      <c r="Z73" s="70">
        <f t="shared" si="10"/>
        <v>0</v>
      </c>
      <c r="AA73" s="71"/>
      <c r="AB73" s="72"/>
      <c r="AC73" s="107">
        <f t="shared" si="11"/>
        <v>250</v>
      </c>
      <c r="AE73" s="126"/>
      <c r="AF73" s="12">
        <f t="shared" si="5"/>
        <v>6</v>
      </c>
      <c r="AG73" s="15"/>
      <c r="AH73" s="60"/>
      <c r="AI73" s="236"/>
      <c r="AJ73" s="277">
        <f t="shared" si="6"/>
        <v>0</v>
      </c>
      <c r="AK73" s="71"/>
      <c r="AL73" s="72"/>
      <c r="AM73" s="107">
        <f t="shared" si="7"/>
        <v>60</v>
      </c>
    </row>
    <row r="74" spans="1:39" x14ac:dyDescent="0.25">
      <c r="A74" s="126"/>
      <c r="B74" s="12">
        <f t="shared" ref="B74:B75" si="12">B73-C74</f>
        <v>0</v>
      </c>
      <c r="C74" s="15"/>
      <c r="D74" s="60"/>
      <c r="E74" s="236"/>
      <c r="F74" s="70">
        <f t="shared" si="8"/>
        <v>0</v>
      </c>
      <c r="G74" s="71"/>
      <c r="H74" s="72"/>
      <c r="I74" s="107">
        <f t="shared" si="9"/>
        <v>0</v>
      </c>
      <c r="K74" s="126"/>
      <c r="L74" s="12">
        <f t="shared" ref="L74:L75" si="13">L73-M74</f>
        <v>0</v>
      </c>
      <c r="M74" s="15"/>
      <c r="N74" s="60"/>
      <c r="O74" s="236"/>
      <c r="P74" s="277">
        <f t="shared" ref="P74:P76" si="14">N74</f>
        <v>0</v>
      </c>
      <c r="Q74" s="71"/>
      <c r="R74" s="72"/>
      <c r="S74" s="107">
        <f t="shared" ref="S74:S76" si="15">S73-P74</f>
        <v>0</v>
      </c>
      <c r="U74" s="126"/>
      <c r="V74" s="12">
        <f t="shared" ref="V74:V75" si="16">V73-W74</f>
        <v>25</v>
      </c>
      <c r="W74" s="15"/>
      <c r="X74" s="60"/>
      <c r="Y74" s="236"/>
      <c r="Z74" s="70">
        <f t="shared" si="10"/>
        <v>0</v>
      </c>
      <c r="AA74" s="71"/>
      <c r="AB74" s="72"/>
      <c r="AC74" s="107">
        <f t="shared" si="11"/>
        <v>250</v>
      </c>
      <c r="AE74" s="126"/>
      <c r="AF74" s="12">
        <f t="shared" ref="AF74:AF75" si="17">AF73-AG74</f>
        <v>6</v>
      </c>
      <c r="AG74" s="15"/>
      <c r="AH74" s="60"/>
      <c r="AI74" s="236"/>
      <c r="AJ74" s="277">
        <f t="shared" ref="AJ74:AJ76" si="18">AH74</f>
        <v>0</v>
      </c>
      <c r="AK74" s="71"/>
      <c r="AL74" s="72"/>
      <c r="AM74" s="107">
        <f t="shared" ref="AM74:AM76" si="19">AM73-AJ74</f>
        <v>60</v>
      </c>
    </row>
    <row r="75" spans="1:39" x14ac:dyDescent="0.25">
      <c r="A75" s="126"/>
      <c r="B75" s="12">
        <f t="shared" si="12"/>
        <v>0</v>
      </c>
      <c r="C75" s="15"/>
      <c r="D75" s="60"/>
      <c r="E75" s="236"/>
      <c r="F75" s="70">
        <f t="shared" ref="F75:F76" si="20">D75</f>
        <v>0</v>
      </c>
      <c r="G75" s="71"/>
      <c r="H75" s="72"/>
      <c r="I75" s="107">
        <f t="shared" ref="I75:I76" si="21">I74-F75</f>
        <v>0</v>
      </c>
      <c r="K75" s="126"/>
      <c r="L75" s="12">
        <f t="shared" si="13"/>
        <v>0</v>
      </c>
      <c r="M75" s="15"/>
      <c r="N75" s="60"/>
      <c r="O75" s="236"/>
      <c r="P75" s="277">
        <f t="shared" si="14"/>
        <v>0</v>
      </c>
      <c r="Q75" s="71"/>
      <c r="R75" s="72"/>
      <c r="S75" s="107">
        <f t="shared" si="15"/>
        <v>0</v>
      </c>
      <c r="U75" s="126"/>
      <c r="V75" s="12">
        <f t="shared" si="16"/>
        <v>25</v>
      </c>
      <c r="W75" s="15"/>
      <c r="X75" s="60"/>
      <c r="Y75" s="236"/>
      <c r="Z75" s="70">
        <f t="shared" ref="Z75:Z76" si="22">X75</f>
        <v>0</v>
      </c>
      <c r="AA75" s="71"/>
      <c r="AB75" s="72"/>
      <c r="AC75" s="107">
        <f t="shared" ref="AC75:AC76" si="23">AC74-Z75</f>
        <v>250</v>
      </c>
      <c r="AE75" s="126"/>
      <c r="AF75" s="12">
        <f t="shared" si="17"/>
        <v>6</v>
      </c>
      <c r="AG75" s="15"/>
      <c r="AH75" s="60"/>
      <c r="AI75" s="236"/>
      <c r="AJ75" s="277">
        <f t="shared" si="18"/>
        <v>0</v>
      </c>
      <c r="AK75" s="71"/>
      <c r="AL75" s="72"/>
      <c r="AM75" s="107">
        <f t="shared" si="19"/>
        <v>60</v>
      </c>
    </row>
    <row r="76" spans="1:39" x14ac:dyDescent="0.25">
      <c r="A76" s="126"/>
      <c r="C76" s="15"/>
      <c r="D76" s="60"/>
      <c r="E76" s="236"/>
      <c r="F76" s="70">
        <f t="shared" si="20"/>
        <v>0</v>
      </c>
      <c r="G76" s="71"/>
      <c r="H76" s="72"/>
      <c r="I76" s="107">
        <f t="shared" si="21"/>
        <v>0</v>
      </c>
      <c r="K76" s="126"/>
      <c r="M76" s="15"/>
      <c r="N76" s="60"/>
      <c r="O76" s="236"/>
      <c r="P76" s="277">
        <f t="shared" si="14"/>
        <v>0</v>
      </c>
      <c r="Q76" s="71"/>
      <c r="R76" s="72"/>
      <c r="S76" s="107">
        <f t="shared" si="15"/>
        <v>0</v>
      </c>
      <c r="U76" s="126"/>
      <c r="W76" s="15"/>
      <c r="X76" s="60"/>
      <c r="Y76" s="236"/>
      <c r="Z76" s="70">
        <f t="shared" si="22"/>
        <v>0</v>
      </c>
      <c r="AA76" s="71"/>
      <c r="AB76" s="72"/>
      <c r="AC76" s="107">
        <f t="shared" si="23"/>
        <v>250</v>
      </c>
      <c r="AE76" s="126"/>
      <c r="AG76" s="15"/>
      <c r="AH76" s="60"/>
      <c r="AI76" s="236"/>
      <c r="AJ76" s="277">
        <f t="shared" si="18"/>
        <v>0</v>
      </c>
      <c r="AK76" s="71"/>
      <c r="AL76" s="72"/>
      <c r="AM76" s="107">
        <f t="shared" si="19"/>
        <v>60</v>
      </c>
    </row>
    <row r="77" spans="1:39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U77" s="126"/>
      <c r="V77" s="16"/>
      <c r="W77" s="52"/>
      <c r="X77" s="109"/>
      <c r="Y77" s="219"/>
      <c r="Z77" s="105"/>
      <c r="AA77" s="106"/>
      <c r="AB77" s="61"/>
      <c r="AE77" s="126"/>
      <c r="AF77" s="16"/>
      <c r="AG77" s="52"/>
      <c r="AH77" s="109"/>
      <c r="AI77" s="219"/>
      <c r="AJ77" s="105"/>
      <c r="AK77" s="106"/>
      <c r="AL77" s="61"/>
    </row>
    <row r="78" spans="1:3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25</v>
      </c>
      <c r="X78" s="6">
        <f>SUM(X9:X77)</f>
        <v>250</v>
      </c>
      <c r="Z78" s="6">
        <f>SUM(Z9:Z77)</f>
        <v>250</v>
      </c>
      <c r="AG78" s="53">
        <f>SUM(AG9:AG77)</f>
        <v>19</v>
      </c>
      <c r="AH78" s="6">
        <f>SUM(AH9:AH77)</f>
        <v>190</v>
      </c>
      <c r="AJ78" s="6">
        <f>SUM(AJ9:AJ77)</f>
        <v>190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25</v>
      </c>
      <c r="AH81" s="45" t="s">
        <v>4</v>
      </c>
      <c r="AI81" s="57">
        <f>AJ5+AJ6-AG78+AJ7</f>
        <v>6</v>
      </c>
    </row>
    <row r="82" spans="3:36" ht="15.75" thickBot="1" x14ac:dyDescent="0.3"/>
    <row r="83" spans="3:36" ht="15.75" thickBot="1" x14ac:dyDescent="0.3">
      <c r="C83" s="1170" t="s">
        <v>11</v>
      </c>
      <c r="D83" s="1171"/>
      <c r="E83" s="58">
        <f>E5+E6-F78+E7</f>
        <v>0</v>
      </c>
      <c r="F83" s="74"/>
      <c r="M83" s="1170" t="s">
        <v>11</v>
      </c>
      <c r="N83" s="1171"/>
      <c r="O83" s="58">
        <f>O5+O6-P78+O7</f>
        <v>0</v>
      </c>
      <c r="P83" s="74"/>
      <c r="W83" s="1170" t="s">
        <v>11</v>
      </c>
      <c r="X83" s="1171"/>
      <c r="Y83" s="58">
        <f>Y5+Y6-Z78+Y7</f>
        <v>250</v>
      </c>
      <c r="Z83" s="74"/>
      <c r="AG83" s="1170" t="s">
        <v>11</v>
      </c>
      <c r="AH83" s="1171"/>
      <c r="AI83" s="58">
        <f>AI5+AI6-AJ78+AI7</f>
        <v>60</v>
      </c>
      <c r="AJ83" s="74"/>
    </row>
  </sheetData>
  <mergeCells count="12">
    <mergeCell ref="U1:AA1"/>
    <mergeCell ref="AE1:AK1"/>
    <mergeCell ref="V5:V6"/>
    <mergeCell ref="AF5:AF6"/>
    <mergeCell ref="W83:X83"/>
    <mergeCell ref="AG83:AH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C17" sqref="C1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09" t="s">
        <v>246</v>
      </c>
      <c r="B1" s="1209"/>
      <c r="C1" s="1209"/>
      <c r="D1" s="1209"/>
      <c r="E1" s="1209"/>
      <c r="F1" s="1209"/>
      <c r="G1" s="1209"/>
      <c r="H1" s="100">
        <v>1</v>
      </c>
    </row>
    <row r="2" spans="1:11" ht="15.75" thickBot="1" x14ac:dyDescent="0.3">
      <c r="B2" s="674"/>
      <c r="D2" s="47"/>
      <c r="F2" s="5"/>
    </row>
    <row r="3" spans="1:11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5">
        <v>54</v>
      </c>
      <c r="D4" s="458">
        <v>44547</v>
      </c>
      <c r="E4" s="1113">
        <v>499.6</v>
      </c>
      <c r="F4" s="330">
        <v>19</v>
      </c>
      <c r="G4" s="74"/>
    </row>
    <row r="5" spans="1:11" ht="15" customHeight="1" x14ac:dyDescent="0.25">
      <c r="A5" s="1216" t="s">
        <v>413</v>
      </c>
      <c r="B5" s="1214" t="s">
        <v>73</v>
      </c>
      <c r="C5" s="305">
        <v>53</v>
      </c>
      <c r="D5" s="458">
        <v>44553</v>
      </c>
      <c r="E5" s="1113">
        <v>2984.3</v>
      </c>
      <c r="F5" s="330">
        <v>105</v>
      </c>
      <c r="G5" s="317">
        <f>F37</f>
        <v>2928.23</v>
      </c>
      <c r="H5" s="59">
        <f>E4+E5+E6-G5</f>
        <v>1170.98</v>
      </c>
    </row>
    <row r="6" spans="1:11" ht="16.5" customHeight="1" x14ac:dyDescent="0.25">
      <c r="A6" s="1216"/>
      <c r="B6" s="1215"/>
      <c r="C6" s="305">
        <v>54</v>
      </c>
      <c r="D6" s="458">
        <v>44559</v>
      </c>
      <c r="E6" s="1113">
        <v>615.30999999999995</v>
      </c>
      <c r="F6" s="330">
        <v>21</v>
      </c>
      <c r="G6" s="256"/>
      <c r="H6" s="253"/>
      <c r="I6" s="253"/>
    </row>
    <row r="7" spans="1:11" ht="15.75" customHeight="1" thickBot="1" x14ac:dyDescent="0.35">
      <c r="A7" s="1216"/>
      <c r="B7" s="1215"/>
      <c r="C7" s="305"/>
      <c r="D7" s="458"/>
      <c r="E7" s="359"/>
      <c r="F7" s="330"/>
      <c r="G7" s="256"/>
      <c r="H7" s="253"/>
      <c r="I7" s="743"/>
      <c r="J7" s="565"/>
    </row>
    <row r="8" spans="1:11" ht="16.5" customHeight="1" thickTop="1" thickBot="1" x14ac:dyDescent="0.3">
      <c r="A8" s="253"/>
      <c r="B8" s="675"/>
      <c r="C8" s="305"/>
      <c r="D8" s="326"/>
      <c r="E8" s="456"/>
      <c r="F8" s="457"/>
      <c r="G8" s="256"/>
      <c r="H8" s="253"/>
      <c r="I8" s="1210" t="s">
        <v>50</v>
      </c>
      <c r="J8" s="1212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44" t="s">
        <v>15</v>
      </c>
      <c r="H9" s="745"/>
      <c r="I9" s="1211"/>
      <c r="J9" s="1213"/>
    </row>
    <row r="10" spans="1:11" ht="15.75" thickTop="1" x14ac:dyDescent="0.25">
      <c r="A10" s="2"/>
      <c r="B10" s="84"/>
      <c r="C10" s="15">
        <v>19</v>
      </c>
      <c r="D10" s="162">
        <v>499.6</v>
      </c>
      <c r="E10" s="341">
        <v>44552</v>
      </c>
      <c r="F10" s="70">
        <f t="shared" ref="F10:F36" si="0">D10</f>
        <v>499.6</v>
      </c>
      <c r="G10" s="278" t="s">
        <v>577</v>
      </c>
      <c r="H10" s="279">
        <v>55</v>
      </c>
      <c r="I10" s="280">
        <f>E4+E5+E6-F10+E7+E8</f>
        <v>3599.61</v>
      </c>
      <c r="J10" s="281">
        <f>F4+F5+F6+F7-C10+F8</f>
        <v>126</v>
      </c>
      <c r="K10" s="253"/>
    </row>
    <row r="11" spans="1:11" x14ac:dyDescent="0.25">
      <c r="A11" s="2"/>
      <c r="B11" s="84"/>
      <c r="C11" s="15">
        <v>65</v>
      </c>
      <c r="D11" s="162">
        <v>1871.69</v>
      </c>
      <c r="E11" s="861">
        <v>44553</v>
      </c>
      <c r="F11" s="277">
        <f t="shared" si="0"/>
        <v>1871.69</v>
      </c>
      <c r="G11" s="278" t="s">
        <v>595</v>
      </c>
      <c r="H11" s="279">
        <v>55</v>
      </c>
      <c r="I11" s="280">
        <f>I10-F11</f>
        <v>1727.92</v>
      </c>
      <c r="J11" s="281">
        <f>J10-C11</f>
        <v>61</v>
      </c>
      <c r="K11" s="253"/>
    </row>
    <row r="12" spans="1:11" x14ac:dyDescent="0.25">
      <c r="A12" s="81" t="s">
        <v>32</v>
      </c>
      <c r="B12" s="84"/>
      <c r="C12" s="15">
        <v>20</v>
      </c>
      <c r="D12" s="162">
        <v>556.94000000000005</v>
      </c>
      <c r="E12" s="346">
        <v>44556</v>
      </c>
      <c r="F12" s="277">
        <f t="shared" si="0"/>
        <v>556.94000000000005</v>
      </c>
      <c r="G12" s="278" t="s">
        <v>616</v>
      </c>
      <c r="H12" s="279">
        <v>55</v>
      </c>
      <c r="I12" s="280">
        <f t="shared" ref="I12:I26" si="1">I11-F12</f>
        <v>1170.98</v>
      </c>
      <c r="J12" s="281">
        <f t="shared" ref="J12:J26" si="2">J11-C12</f>
        <v>41</v>
      </c>
      <c r="K12" s="253"/>
    </row>
    <row r="13" spans="1:11" x14ac:dyDescent="0.25">
      <c r="A13" s="82"/>
      <c r="B13" s="84"/>
      <c r="C13" s="15"/>
      <c r="D13" s="162">
        <v>0</v>
      </c>
      <c r="E13" s="545"/>
      <c r="F13" s="277">
        <f t="shared" si="0"/>
        <v>0</v>
      </c>
      <c r="G13" s="278"/>
      <c r="H13" s="279"/>
      <c r="I13" s="280">
        <f t="shared" si="1"/>
        <v>1170.98</v>
      </c>
      <c r="J13" s="281">
        <f t="shared" si="2"/>
        <v>41</v>
      </c>
      <c r="K13" s="253"/>
    </row>
    <row r="14" spans="1:11" x14ac:dyDescent="0.25">
      <c r="A14" s="84"/>
      <c r="B14" s="84"/>
      <c r="C14" s="15"/>
      <c r="D14" s="162">
        <v>0</v>
      </c>
      <c r="E14" s="545"/>
      <c r="F14" s="277">
        <f t="shared" si="0"/>
        <v>0</v>
      </c>
      <c r="G14" s="278"/>
      <c r="H14" s="279"/>
      <c r="I14" s="280">
        <f t="shared" si="1"/>
        <v>1170.98</v>
      </c>
      <c r="J14" s="281">
        <f t="shared" si="2"/>
        <v>41</v>
      </c>
      <c r="K14" s="253"/>
    </row>
    <row r="15" spans="1:11" x14ac:dyDescent="0.25">
      <c r="A15" s="83" t="s">
        <v>33</v>
      </c>
      <c r="B15" s="84"/>
      <c r="C15" s="15"/>
      <c r="D15" s="162">
        <v>0</v>
      </c>
      <c r="E15" s="545"/>
      <c r="F15" s="277">
        <f t="shared" si="0"/>
        <v>0</v>
      </c>
      <c r="G15" s="278"/>
      <c r="H15" s="279"/>
      <c r="I15" s="280">
        <f t="shared" si="1"/>
        <v>1170.98</v>
      </c>
      <c r="J15" s="281">
        <f t="shared" si="2"/>
        <v>41</v>
      </c>
      <c r="K15" s="253"/>
    </row>
    <row r="16" spans="1:11" x14ac:dyDescent="0.25">
      <c r="A16" s="82"/>
      <c r="B16" s="84"/>
      <c r="C16" s="15"/>
      <c r="D16" s="162">
        <v>0</v>
      </c>
      <c r="E16" s="341"/>
      <c r="F16" s="70">
        <f t="shared" si="0"/>
        <v>0</v>
      </c>
      <c r="G16" s="278"/>
      <c r="H16" s="279"/>
      <c r="I16" s="280">
        <f t="shared" si="1"/>
        <v>1170.98</v>
      </c>
      <c r="J16" s="281">
        <f t="shared" si="2"/>
        <v>41</v>
      </c>
      <c r="K16" s="253"/>
    </row>
    <row r="17" spans="1:11" x14ac:dyDescent="0.25">
      <c r="A17" s="84"/>
      <c r="B17" s="84"/>
      <c r="C17" s="15"/>
      <c r="D17" s="162">
        <v>0</v>
      </c>
      <c r="E17" s="357"/>
      <c r="F17" s="70">
        <f t="shared" si="0"/>
        <v>0</v>
      </c>
      <c r="G17" s="278"/>
      <c r="H17" s="279"/>
      <c r="I17" s="280">
        <f t="shared" si="1"/>
        <v>1170.98</v>
      </c>
      <c r="J17" s="281">
        <f t="shared" si="2"/>
        <v>41</v>
      </c>
      <c r="K17" s="253"/>
    </row>
    <row r="18" spans="1:11" x14ac:dyDescent="0.25">
      <c r="A18" s="2"/>
      <c r="B18" s="84"/>
      <c r="C18" s="15"/>
      <c r="D18" s="162">
        <v>0</v>
      </c>
      <c r="E18" s="357"/>
      <c r="F18" s="70">
        <f t="shared" si="0"/>
        <v>0</v>
      </c>
      <c r="G18" s="667"/>
      <c r="H18" s="279"/>
      <c r="I18" s="280">
        <f t="shared" si="1"/>
        <v>1170.98</v>
      </c>
      <c r="J18" s="281">
        <f t="shared" si="2"/>
        <v>41</v>
      </c>
      <c r="K18" s="253"/>
    </row>
    <row r="19" spans="1:11" x14ac:dyDescent="0.25">
      <c r="A19" s="2"/>
      <c r="B19" s="84"/>
      <c r="C19" s="53"/>
      <c r="D19" s="162">
        <v>0</v>
      </c>
      <c r="E19" s="357"/>
      <c r="F19" s="70">
        <f t="shared" si="0"/>
        <v>0</v>
      </c>
      <c r="G19" s="278"/>
      <c r="H19" s="279"/>
      <c r="I19" s="280">
        <f t="shared" si="1"/>
        <v>1170.98</v>
      </c>
      <c r="J19" s="281">
        <f t="shared" si="2"/>
        <v>41</v>
      </c>
      <c r="K19" s="253"/>
    </row>
    <row r="20" spans="1:11" x14ac:dyDescent="0.25">
      <c r="A20" s="2"/>
      <c r="B20" s="84"/>
      <c r="C20" s="15"/>
      <c r="D20" s="162">
        <v>0</v>
      </c>
      <c r="E20" s="341"/>
      <c r="F20" s="70">
        <f t="shared" si="0"/>
        <v>0</v>
      </c>
      <c r="G20" s="278"/>
      <c r="H20" s="279"/>
      <c r="I20" s="280">
        <f t="shared" si="1"/>
        <v>1170.98</v>
      </c>
      <c r="J20" s="281">
        <f t="shared" si="2"/>
        <v>41</v>
      </c>
      <c r="K20" s="253"/>
    </row>
    <row r="21" spans="1:11" x14ac:dyDescent="0.25">
      <c r="A21" s="2"/>
      <c r="B21" s="84"/>
      <c r="C21" s="15"/>
      <c r="D21" s="162">
        <v>0</v>
      </c>
      <c r="E21" s="341"/>
      <c r="F21" s="70">
        <f t="shared" si="0"/>
        <v>0</v>
      </c>
      <c r="G21" s="278"/>
      <c r="H21" s="279"/>
      <c r="I21" s="280">
        <f t="shared" si="1"/>
        <v>1170.98</v>
      </c>
      <c r="J21" s="281">
        <f t="shared" si="2"/>
        <v>41</v>
      </c>
    </row>
    <row r="22" spans="1:11" x14ac:dyDescent="0.25">
      <c r="A22" s="2"/>
      <c r="B22" s="84"/>
      <c r="C22" s="15"/>
      <c r="D22" s="162">
        <v>0</v>
      </c>
      <c r="E22" s="342"/>
      <c r="F22" s="70">
        <f t="shared" si="0"/>
        <v>0</v>
      </c>
      <c r="G22" s="71"/>
      <c r="H22" s="72"/>
      <c r="I22" s="280">
        <f t="shared" si="1"/>
        <v>1170.98</v>
      </c>
      <c r="J22" s="281">
        <f t="shared" si="2"/>
        <v>41</v>
      </c>
    </row>
    <row r="23" spans="1:11" x14ac:dyDescent="0.25">
      <c r="A23" s="2"/>
      <c r="B23" s="84"/>
      <c r="C23" s="15"/>
      <c r="D23" s="162">
        <v>0</v>
      </c>
      <c r="E23" s="342"/>
      <c r="F23" s="70">
        <f t="shared" si="0"/>
        <v>0</v>
      </c>
      <c r="G23" s="71"/>
      <c r="H23" s="72"/>
      <c r="I23" s="280">
        <f t="shared" si="1"/>
        <v>1170.98</v>
      </c>
      <c r="J23" s="281">
        <f t="shared" si="2"/>
        <v>41</v>
      </c>
    </row>
    <row r="24" spans="1:11" x14ac:dyDescent="0.25">
      <c r="A24" s="2"/>
      <c r="B24" s="84"/>
      <c r="C24" s="15"/>
      <c r="D24" s="162">
        <v>0</v>
      </c>
      <c r="E24" s="342"/>
      <c r="F24" s="70">
        <f t="shared" si="0"/>
        <v>0</v>
      </c>
      <c r="G24" s="71"/>
      <c r="H24" s="72"/>
      <c r="I24" s="280">
        <f t="shared" si="1"/>
        <v>1170.98</v>
      </c>
      <c r="J24" s="131">
        <f t="shared" si="2"/>
        <v>41</v>
      </c>
    </row>
    <row r="25" spans="1:11" x14ac:dyDescent="0.25">
      <c r="A25" s="2"/>
      <c r="B25" s="84"/>
      <c r="C25" s="15"/>
      <c r="D25" s="162">
        <v>0</v>
      </c>
      <c r="E25" s="342"/>
      <c r="F25" s="70">
        <f t="shared" si="0"/>
        <v>0</v>
      </c>
      <c r="G25" s="71"/>
      <c r="H25" s="72"/>
      <c r="I25" s="280">
        <f t="shared" si="1"/>
        <v>1170.98</v>
      </c>
      <c r="J25" s="131">
        <f t="shared" si="2"/>
        <v>41</v>
      </c>
    </row>
    <row r="26" spans="1:11" x14ac:dyDescent="0.25">
      <c r="A26" s="2"/>
      <c r="B26" s="84"/>
      <c r="C26" s="15"/>
      <c r="D26" s="162">
        <v>0</v>
      </c>
      <c r="E26" s="342"/>
      <c r="F26" s="70">
        <f t="shared" si="0"/>
        <v>0</v>
      </c>
      <c r="G26" s="71"/>
      <c r="H26" s="72"/>
      <c r="I26" s="235">
        <f t="shared" si="1"/>
        <v>1170.98</v>
      </c>
      <c r="J26" s="131">
        <f t="shared" si="2"/>
        <v>41</v>
      </c>
    </row>
    <row r="27" spans="1:11" x14ac:dyDescent="0.25">
      <c r="A27" s="2"/>
      <c r="B27" s="84"/>
      <c r="C27" s="15"/>
      <c r="D27" s="162">
        <v>0</v>
      </c>
      <c r="E27" s="342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2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2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2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2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2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2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2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2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104</v>
      </c>
      <c r="D37" s="162">
        <v>0</v>
      </c>
      <c r="E37" s="38"/>
      <c r="F37" s="5">
        <f>SUM(F10:F36)</f>
        <v>2928.23</v>
      </c>
    </row>
    <row r="38" spans="1:8" ht="15.75" thickBot="1" x14ac:dyDescent="0.3">
      <c r="A38" s="51"/>
      <c r="D38" s="162">
        <v>0</v>
      </c>
      <c r="E38" s="69">
        <f>F4+F5+F6-+C37</f>
        <v>41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94" t="s">
        <v>11</v>
      </c>
      <c r="D40" s="1195"/>
      <c r="E40" s="152">
        <f>E5+E4+E6+-F37</f>
        <v>1170.98</v>
      </c>
      <c r="F40" s="5"/>
    </row>
  </sheetData>
  <mergeCells count="6">
    <mergeCell ref="A1:G1"/>
    <mergeCell ref="I8:I9"/>
    <mergeCell ref="J8:J9"/>
    <mergeCell ref="C40:D40"/>
    <mergeCell ref="B5:B7"/>
    <mergeCell ref="A5:A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"/>
  <sheetViews>
    <sheetView workbookViewId="0">
      <selection activeCell="F11" sqref="F1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09" t="s">
        <v>246</v>
      </c>
      <c r="B1" s="1209"/>
      <c r="C1" s="1209"/>
      <c r="D1" s="1209"/>
      <c r="E1" s="1209"/>
      <c r="F1" s="1209"/>
      <c r="G1" s="1209"/>
      <c r="H1" s="100">
        <v>1</v>
      </c>
    </row>
    <row r="2" spans="1:11" ht="15.75" thickBot="1" x14ac:dyDescent="0.3">
      <c r="B2" s="674"/>
      <c r="D2" s="47"/>
      <c r="F2" s="5"/>
    </row>
    <row r="3" spans="1:11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5"/>
      <c r="D4" s="458"/>
      <c r="E4" s="359"/>
      <c r="F4" s="330"/>
      <c r="G4" s="74"/>
    </row>
    <row r="5" spans="1:11" ht="15" customHeight="1" x14ac:dyDescent="0.25">
      <c r="A5" s="1216" t="s">
        <v>68</v>
      </c>
      <c r="B5" s="1217" t="s">
        <v>571</v>
      </c>
      <c r="C5" s="305"/>
      <c r="D5" s="458"/>
      <c r="E5" s="359"/>
      <c r="F5" s="330"/>
      <c r="G5" s="317">
        <f>F37</f>
        <v>510</v>
      </c>
      <c r="H5" s="59">
        <f>E4+E5+E6-G5</f>
        <v>480</v>
      </c>
    </row>
    <row r="6" spans="1:11" ht="16.5" customHeight="1" x14ac:dyDescent="0.25">
      <c r="A6" s="1216"/>
      <c r="B6" s="1218"/>
      <c r="C6" s="305">
        <v>79</v>
      </c>
      <c r="D6" s="458">
        <v>44551</v>
      </c>
      <c r="E6" s="359">
        <v>990</v>
      </c>
      <c r="F6" s="330">
        <v>66</v>
      </c>
      <c r="G6" s="256"/>
      <c r="H6" s="253"/>
      <c r="I6" s="253"/>
    </row>
    <row r="7" spans="1:11" ht="15.75" customHeight="1" thickBot="1" x14ac:dyDescent="0.35">
      <c r="A7" s="1216"/>
      <c r="B7" s="1218"/>
      <c r="C7" s="305"/>
      <c r="D7" s="458"/>
      <c r="E7" s="359"/>
      <c r="F7" s="330"/>
      <c r="G7" s="256"/>
      <c r="H7" s="253"/>
      <c r="I7" s="743"/>
      <c r="J7" s="565"/>
    </row>
    <row r="8" spans="1:11" ht="16.5" customHeight="1" thickTop="1" thickBot="1" x14ac:dyDescent="0.3">
      <c r="A8" s="253"/>
      <c r="B8" s="675"/>
      <c r="C8" s="305"/>
      <c r="D8" s="326"/>
      <c r="E8" s="456"/>
      <c r="F8" s="457"/>
      <c r="G8" s="256"/>
      <c r="H8" s="253"/>
      <c r="I8" s="1210" t="s">
        <v>50</v>
      </c>
      <c r="J8" s="1212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44" t="s">
        <v>15</v>
      </c>
      <c r="H9" s="745"/>
      <c r="I9" s="1211"/>
      <c r="J9" s="1213"/>
    </row>
    <row r="10" spans="1:11" ht="15.75" thickTop="1" x14ac:dyDescent="0.25">
      <c r="A10" s="2"/>
      <c r="B10" s="84">
        <v>15</v>
      </c>
      <c r="C10" s="15">
        <v>10</v>
      </c>
      <c r="D10" s="162">
        <f>C10*B10</f>
        <v>150</v>
      </c>
      <c r="E10" s="341">
        <v>44551</v>
      </c>
      <c r="F10" s="70">
        <f t="shared" ref="F10:F36" si="0">D10</f>
        <v>150</v>
      </c>
      <c r="G10" s="278" t="s">
        <v>570</v>
      </c>
      <c r="H10" s="279">
        <v>85</v>
      </c>
      <c r="I10" s="280">
        <f>E4+E5+E6-F10+E7+E8</f>
        <v>840</v>
      </c>
      <c r="J10" s="281">
        <f>F4+F5+F6+F7-C10+F8</f>
        <v>56</v>
      </c>
      <c r="K10" s="253"/>
    </row>
    <row r="11" spans="1:11" x14ac:dyDescent="0.25">
      <c r="A11" s="2"/>
      <c r="B11" s="84">
        <v>15</v>
      </c>
      <c r="C11" s="15">
        <v>2</v>
      </c>
      <c r="D11" s="162">
        <f t="shared" ref="D11:D28" si="1">C11*B11</f>
        <v>30</v>
      </c>
      <c r="E11" s="861">
        <v>44552</v>
      </c>
      <c r="F11" s="277">
        <f t="shared" si="0"/>
        <v>30</v>
      </c>
      <c r="G11" s="278" t="s">
        <v>574</v>
      </c>
      <c r="H11" s="279">
        <v>85</v>
      </c>
      <c r="I11" s="280">
        <f>I10-F11</f>
        <v>810</v>
      </c>
      <c r="J11" s="281">
        <f>J10-C11</f>
        <v>54</v>
      </c>
      <c r="K11" s="253"/>
    </row>
    <row r="12" spans="1:11" x14ac:dyDescent="0.25">
      <c r="A12" s="81" t="s">
        <v>32</v>
      </c>
      <c r="B12" s="84">
        <v>15</v>
      </c>
      <c r="C12" s="15">
        <v>1</v>
      </c>
      <c r="D12" s="162">
        <f t="shared" si="1"/>
        <v>15</v>
      </c>
      <c r="E12" s="346">
        <v>44553</v>
      </c>
      <c r="F12" s="277">
        <f t="shared" si="0"/>
        <v>15</v>
      </c>
      <c r="G12" s="278" t="s">
        <v>593</v>
      </c>
      <c r="H12" s="279">
        <v>85</v>
      </c>
      <c r="I12" s="280">
        <f t="shared" ref="I12:I26" si="2">I11-F12</f>
        <v>795</v>
      </c>
      <c r="J12" s="281">
        <f t="shared" ref="J12:J26" si="3">J11-C12</f>
        <v>53</v>
      </c>
      <c r="K12" s="253"/>
    </row>
    <row r="13" spans="1:11" x14ac:dyDescent="0.25">
      <c r="A13" s="82"/>
      <c r="B13" s="84">
        <v>15</v>
      </c>
      <c r="C13" s="15">
        <v>10</v>
      </c>
      <c r="D13" s="162">
        <f t="shared" si="1"/>
        <v>150</v>
      </c>
      <c r="E13" s="545">
        <v>44553</v>
      </c>
      <c r="F13" s="277">
        <f t="shared" si="0"/>
        <v>150</v>
      </c>
      <c r="G13" s="278" t="s">
        <v>597</v>
      </c>
      <c r="H13" s="279">
        <v>85</v>
      </c>
      <c r="I13" s="280">
        <f t="shared" si="2"/>
        <v>645</v>
      </c>
      <c r="J13" s="281">
        <f t="shared" si="3"/>
        <v>43</v>
      </c>
      <c r="K13" s="253"/>
    </row>
    <row r="14" spans="1:11" x14ac:dyDescent="0.25">
      <c r="A14" s="84"/>
      <c r="B14" s="84">
        <v>15</v>
      </c>
      <c r="C14" s="15">
        <v>2</v>
      </c>
      <c r="D14" s="162">
        <f t="shared" si="1"/>
        <v>30</v>
      </c>
      <c r="E14" s="545">
        <v>44556</v>
      </c>
      <c r="F14" s="277">
        <f t="shared" si="0"/>
        <v>30</v>
      </c>
      <c r="G14" s="278" t="s">
        <v>615</v>
      </c>
      <c r="H14" s="279">
        <v>85</v>
      </c>
      <c r="I14" s="280">
        <f t="shared" si="2"/>
        <v>615</v>
      </c>
      <c r="J14" s="281">
        <f t="shared" si="3"/>
        <v>41</v>
      </c>
      <c r="K14" s="253"/>
    </row>
    <row r="15" spans="1:11" x14ac:dyDescent="0.25">
      <c r="A15" s="83" t="s">
        <v>33</v>
      </c>
      <c r="B15" s="84">
        <v>15</v>
      </c>
      <c r="C15" s="15">
        <v>1</v>
      </c>
      <c r="D15" s="162">
        <f t="shared" si="1"/>
        <v>15</v>
      </c>
      <c r="E15" s="545">
        <v>44557</v>
      </c>
      <c r="F15" s="277">
        <f t="shared" si="0"/>
        <v>15</v>
      </c>
      <c r="G15" s="278" t="s">
        <v>622</v>
      </c>
      <c r="H15" s="279">
        <v>85</v>
      </c>
      <c r="I15" s="280">
        <f t="shared" si="2"/>
        <v>600</v>
      </c>
      <c r="J15" s="281">
        <f t="shared" si="3"/>
        <v>40</v>
      </c>
      <c r="K15" s="253"/>
    </row>
    <row r="16" spans="1:11" x14ac:dyDescent="0.25">
      <c r="A16" s="82"/>
      <c r="B16" s="84">
        <v>15</v>
      </c>
      <c r="C16" s="15">
        <v>2</v>
      </c>
      <c r="D16" s="162">
        <f t="shared" si="1"/>
        <v>30</v>
      </c>
      <c r="E16" s="341">
        <v>44558</v>
      </c>
      <c r="F16" s="70">
        <f t="shared" si="0"/>
        <v>30</v>
      </c>
      <c r="G16" s="278" t="s">
        <v>641</v>
      </c>
      <c r="H16" s="279">
        <v>85</v>
      </c>
      <c r="I16" s="280">
        <f t="shared" si="2"/>
        <v>570</v>
      </c>
      <c r="J16" s="281">
        <f t="shared" si="3"/>
        <v>38</v>
      </c>
      <c r="K16" s="253"/>
    </row>
    <row r="17" spans="1:11" x14ac:dyDescent="0.25">
      <c r="A17" s="84"/>
      <c r="B17" s="84">
        <v>15</v>
      </c>
      <c r="C17" s="15">
        <v>5</v>
      </c>
      <c r="D17" s="162">
        <f t="shared" si="1"/>
        <v>75</v>
      </c>
      <c r="E17" s="357">
        <v>44559</v>
      </c>
      <c r="F17" s="70">
        <f t="shared" si="0"/>
        <v>75</v>
      </c>
      <c r="G17" s="278" t="s">
        <v>644</v>
      </c>
      <c r="H17" s="279">
        <v>85</v>
      </c>
      <c r="I17" s="280">
        <f t="shared" si="2"/>
        <v>495</v>
      </c>
      <c r="J17" s="281">
        <f t="shared" si="3"/>
        <v>33</v>
      </c>
      <c r="K17" s="253"/>
    </row>
    <row r="18" spans="1:11" x14ac:dyDescent="0.25">
      <c r="A18" s="2"/>
      <c r="B18" s="84">
        <v>15</v>
      </c>
      <c r="C18" s="15">
        <v>1</v>
      </c>
      <c r="D18" s="162">
        <f t="shared" si="1"/>
        <v>15</v>
      </c>
      <c r="E18" s="357">
        <v>46752</v>
      </c>
      <c r="F18" s="70">
        <f t="shared" si="0"/>
        <v>15</v>
      </c>
      <c r="G18" s="667" t="s">
        <v>670</v>
      </c>
      <c r="H18" s="279">
        <v>85</v>
      </c>
      <c r="I18" s="280">
        <f t="shared" si="2"/>
        <v>480</v>
      </c>
      <c r="J18" s="281">
        <f t="shared" si="3"/>
        <v>32</v>
      </c>
      <c r="K18" s="253"/>
    </row>
    <row r="19" spans="1:11" x14ac:dyDescent="0.25">
      <c r="A19" s="2"/>
      <c r="B19" s="84">
        <v>15</v>
      </c>
      <c r="C19" s="53"/>
      <c r="D19" s="162">
        <f t="shared" si="1"/>
        <v>0</v>
      </c>
      <c r="E19" s="357"/>
      <c r="F19" s="70">
        <f t="shared" si="0"/>
        <v>0</v>
      </c>
      <c r="G19" s="278"/>
      <c r="H19" s="279"/>
      <c r="I19" s="280">
        <f t="shared" si="2"/>
        <v>480</v>
      </c>
      <c r="J19" s="281">
        <f t="shared" si="3"/>
        <v>32</v>
      </c>
      <c r="K19" s="253"/>
    </row>
    <row r="20" spans="1:11" x14ac:dyDescent="0.25">
      <c r="A20" s="2"/>
      <c r="B20" s="84">
        <v>15</v>
      </c>
      <c r="C20" s="15"/>
      <c r="D20" s="162">
        <f t="shared" si="1"/>
        <v>0</v>
      </c>
      <c r="E20" s="341"/>
      <c r="F20" s="70">
        <f t="shared" si="0"/>
        <v>0</v>
      </c>
      <c r="G20" s="278"/>
      <c r="H20" s="279"/>
      <c r="I20" s="280">
        <f t="shared" si="2"/>
        <v>480</v>
      </c>
      <c r="J20" s="281">
        <f t="shared" si="3"/>
        <v>32</v>
      </c>
      <c r="K20" s="253"/>
    </row>
    <row r="21" spans="1:11" x14ac:dyDescent="0.25">
      <c r="A21" s="2"/>
      <c r="B21" s="84">
        <v>15</v>
      </c>
      <c r="C21" s="15"/>
      <c r="D21" s="162">
        <f t="shared" si="1"/>
        <v>0</v>
      </c>
      <c r="E21" s="341"/>
      <c r="F21" s="70">
        <f t="shared" si="0"/>
        <v>0</v>
      </c>
      <c r="G21" s="278"/>
      <c r="H21" s="279"/>
      <c r="I21" s="280">
        <f t="shared" si="2"/>
        <v>480</v>
      </c>
      <c r="J21" s="281">
        <f t="shared" si="3"/>
        <v>32</v>
      </c>
    </row>
    <row r="22" spans="1:11" x14ac:dyDescent="0.25">
      <c r="A22" s="2"/>
      <c r="B22" s="84">
        <v>15</v>
      </c>
      <c r="C22" s="15"/>
      <c r="D22" s="162">
        <f t="shared" si="1"/>
        <v>0</v>
      </c>
      <c r="E22" s="342"/>
      <c r="F22" s="70">
        <f t="shared" si="0"/>
        <v>0</v>
      </c>
      <c r="G22" s="71"/>
      <c r="H22" s="72"/>
      <c r="I22" s="280">
        <f t="shared" si="2"/>
        <v>480</v>
      </c>
      <c r="J22" s="281">
        <f t="shared" si="3"/>
        <v>32</v>
      </c>
    </row>
    <row r="23" spans="1:11" x14ac:dyDescent="0.25">
      <c r="A23" s="2"/>
      <c r="B23" s="84">
        <v>15</v>
      </c>
      <c r="C23" s="15"/>
      <c r="D23" s="162">
        <f t="shared" si="1"/>
        <v>0</v>
      </c>
      <c r="E23" s="342"/>
      <c r="F23" s="70">
        <f t="shared" si="0"/>
        <v>0</v>
      </c>
      <c r="G23" s="71"/>
      <c r="H23" s="72"/>
      <c r="I23" s="280">
        <f t="shared" si="2"/>
        <v>480</v>
      </c>
      <c r="J23" s="281">
        <f t="shared" si="3"/>
        <v>32</v>
      </c>
    </row>
    <row r="24" spans="1:11" x14ac:dyDescent="0.25">
      <c r="A24" s="2"/>
      <c r="B24" s="84">
        <v>15</v>
      </c>
      <c r="C24" s="15"/>
      <c r="D24" s="162">
        <f t="shared" si="1"/>
        <v>0</v>
      </c>
      <c r="E24" s="342"/>
      <c r="F24" s="70">
        <f t="shared" si="0"/>
        <v>0</v>
      </c>
      <c r="G24" s="71"/>
      <c r="H24" s="72"/>
      <c r="I24" s="280">
        <f t="shared" si="2"/>
        <v>480</v>
      </c>
      <c r="J24" s="131">
        <f t="shared" si="3"/>
        <v>32</v>
      </c>
    </row>
    <row r="25" spans="1:11" x14ac:dyDescent="0.25">
      <c r="A25" s="2"/>
      <c r="B25" s="84">
        <v>15</v>
      </c>
      <c r="C25" s="15"/>
      <c r="D25" s="162">
        <f t="shared" si="1"/>
        <v>0</v>
      </c>
      <c r="E25" s="342"/>
      <c r="F25" s="70">
        <f t="shared" si="0"/>
        <v>0</v>
      </c>
      <c r="G25" s="71"/>
      <c r="H25" s="72"/>
      <c r="I25" s="280">
        <f t="shared" si="2"/>
        <v>480</v>
      </c>
      <c r="J25" s="131">
        <f t="shared" si="3"/>
        <v>32</v>
      </c>
    </row>
    <row r="26" spans="1:11" x14ac:dyDescent="0.25">
      <c r="A26" s="2"/>
      <c r="B26" s="84">
        <v>15</v>
      </c>
      <c r="C26" s="15"/>
      <c r="D26" s="162">
        <f t="shared" si="1"/>
        <v>0</v>
      </c>
      <c r="E26" s="342"/>
      <c r="F26" s="70">
        <f t="shared" si="0"/>
        <v>0</v>
      </c>
      <c r="G26" s="71"/>
      <c r="H26" s="72"/>
      <c r="I26" s="235">
        <f t="shared" si="2"/>
        <v>480</v>
      </c>
      <c r="J26" s="131">
        <f t="shared" si="3"/>
        <v>32</v>
      </c>
    </row>
    <row r="27" spans="1:11" x14ac:dyDescent="0.25">
      <c r="A27" s="2"/>
      <c r="B27" s="84">
        <v>15</v>
      </c>
      <c r="C27" s="15"/>
      <c r="D27" s="162">
        <f t="shared" si="1"/>
        <v>0</v>
      </c>
      <c r="E27" s="342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f t="shared" si="1"/>
        <v>0</v>
      </c>
      <c r="E28" s="342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2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2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2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2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2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2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2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34</v>
      </c>
      <c r="D37" s="162">
        <v>0</v>
      </c>
      <c r="E37" s="38"/>
      <c r="F37" s="5">
        <f>SUM(F10:F36)</f>
        <v>510</v>
      </c>
    </row>
    <row r="38" spans="1:8" ht="15.75" thickBot="1" x14ac:dyDescent="0.3">
      <c r="A38" s="51"/>
      <c r="D38" s="162">
        <v>0</v>
      </c>
      <c r="E38" s="69">
        <f>F4+F5+F6-+C37</f>
        <v>32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94" t="s">
        <v>11</v>
      </c>
      <c r="D40" s="1195"/>
      <c r="E40" s="152">
        <f>E5+E4+E6+-F37</f>
        <v>480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1"/>
  <sheetViews>
    <sheetView topLeftCell="W1" workbookViewId="0">
      <pane ySplit="8" topLeftCell="A9" activePane="bottomLeft" state="frozen"/>
      <selection pane="bottomLeft" activeCell="X20" sqref="X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172" t="s">
        <v>258</v>
      </c>
      <c r="B1" s="1172"/>
      <c r="C1" s="1172"/>
      <c r="D1" s="1172"/>
      <c r="E1" s="1172"/>
      <c r="F1" s="1172"/>
      <c r="G1" s="1172"/>
      <c r="H1" s="100">
        <v>1</v>
      </c>
      <c r="L1" s="1172" t="str">
        <f>A1</f>
        <v>INVENTARIO     DEL MES DE    NOVIEMBRE    2021</v>
      </c>
      <c r="M1" s="1172"/>
      <c r="N1" s="1172"/>
      <c r="O1" s="1172"/>
      <c r="P1" s="1172"/>
      <c r="Q1" s="1172"/>
      <c r="R1" s="1172"/>
      <c r="S1" s="100">
        <v>2</v>
      </c>
      <c r="W1" s="1176" t="s">
        <v>265</v>
      </c>
      <c r="X1" s="1176"/>
      <c r="Y1" s="1176"/>
      <c r="Z1" s="1176"/>
      <c r="AA1" s="1176"/>
      <c r="AB1" s="1176"/>
      <c r="AC1" s="1176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T3" s="47">
        <v>531.34</v>
      </c>
      <c r="U3">
        <v>40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7.25" thickTop="1" thickBot="1" x14ac:dyDescent="0.3">
      <c r="A4" s="76"/>
      <c r="B4" s="151"/>
      <c r="C4" s="260">
        <v>60</v>
      </c>
      <c r="D4" s="326">
        <v>44448</v>
      </c>
      <c r="E4" s="327">
        <v>3412.85</v>
      </c>
      <c r="F4" s="328">
        <v>160</v>
      </c>
      <c r="L4" s="76"/>
      <c r="M4" s="151"/>
      <c r="N4" s="260">
        <v>60</v>
      </c>
      <c r="O4" s="326">
        <v>44517</v>
      </c>
      <c r="P4" s="937">
        <v>245.97</v>
      </c>
      <c r="Q4" s="328">
        <v>14</v>
      </c>
      <c r="W4" s="76"/>
      <c r="X4" s="151"/>
      <c r="Y4" s="260"/>
      <c r="Z4" s="326"/>
      <c r="AA4" s="937">
        <v>513.65</v>
      </c>
      <c r="AB4" s="328">
        <v>38</v>
      </c>
    </row>
    <row r="5" spans="1:32" ht="15" customHeight="1" x14ac:dyDescent="0.25">
      <c r="A5" s="1219" t="s">
        <v>67</v>
      </c>
      <c r="B5" s="1221" t="s">
        <v>101</v>
      </c>
      <c r="C5" s="260">
        <v>60</v>
      </c>
      <c r="D5" s="326">
        <v>44452</v>
      </c>
      <c r="E5" s="327">
        <v>6683.56</v>
      </c>
      <c r="F5" s="328">
        <v>265</v>
      </c>
      <c r="G5" s="317">
        <f>F98</f>
        <v>10096.41</v>
      </c>
      <c r="H5" s="59">
        <f>E4+E5+E7-G5</f>
        <v>0</v>
      </c>
      <c r="L5" s="1226" t="s">
        <v>67</v>
      </c>
      <c r="M5" s="1221" t="s">
        <v>101</v>
      </c>
      <c r="N5" s="260">
        <v>60</v>
      </c>
      <c r="O5" s="326">
        <v>44519</v>
      </c>
      <c r="P5" s="938">
        <v>307.74</v>
      </c>
      <c r="Q5" s="330">
        <v>15</v>
      </c>
      <c r="R5" s="317">
        <f>Q98</f>
        <v>2112.96</v>
      </c>
      <c r="S5" s="59">
        <f>P4+P5+P7-R5+P6</f>
        <v>0</v>
      </c>
      <c r="W5" s="1226" t="s">
        <v>266</v>
      </c>
      <c r="X5" s="1228" t="s">
        <v>267</v>
      </c>
      <c r="Y5" s="260">
        <v>64.56</v>
      </c>
      <c r="Z5" s="326">
        <v>44537</v>
      </c>
      <c r="AA5" s="938">
        <v>18003</v>
      </c>
      <c r="AB5" s="330">
        <v>709</v>
      </c>
      <c r="AC5" s="317">
        <f>AB98</f>
        <v>10559.140000000001</v>
      </c>
      <c r="AD5" s="59">
        <f>AA4+AA5+AA7-AC5</f>
        <v>7957.51</v>
      </c>
    </row>
    <row r="6" spans="1:32" ht="15" customHeight="1" thickBot="1" x14ac:dyDescent="0.3">
      <c r="A6" s="1219"/>
      <c r="B6" s="1222"/>
      <c r="C6" s="260"/>
      <c r="D6" s="326"/>
      <c r="E6" s="327"/>
      <c r="F6" s="328"/>
      <c r="G6" s="317"/>
      <c r="H6" s="59"/>
      <c r="L6" s="1226"/>
      <c r="M6" s="1222"/>
      <c r="N6" s="260">
        <v>62</v>
      </c>
      <c r="O6" s="326">
        <v>44526</v>
      </c>
      <c r="P6" s="937">
        <v>1027.9100000000001</v>
      </c>
      <c r="Q6" s="328">
        <v>37</v>
      </c>
      <c r="R6" s="317"/>
      <c r="S6" s="59"/>
      <c r="W6" s="1226"/>
      <c r="X6" s="1229"/>
      <c r="Y6" s="260"/>
      <c r="Z6" s="326"/>
      <c r="AA6" s="938"/>
      <c r="AB6" s="330"/>
      <c r="AC6" s="317"/>
      <c r="AD6" s="59"/>
    </row>
    <row r="7" spans="1:32" ht="17.25" thickTop="1" thickBot="1" x14ac:dyDescent="0.3">
      <c r="A7" s="1220"/>
      <c r="B7" s="1223"/>
      <c r="C7" s="260"/>
      <c r="D7" s="326"/>
      <c r="E7" s="329"/>
      <c r="F7" s="330"/>
      <c r="G7" s="253"/>
      <c r="I7" s="1224" t="s">
        <v>3</v>
      </c>
      <c r="J7" s="1231" t="s">
        <v>4</v>
      </c>
      <c r="L7" s="1227"/>
      <c r="M7" s="1223"/>
      <c r="N7" s="260"/>
      <c r="O7" s="326"/>
      <c r="P7" s="937">
        <v>531.34</v>
      </c>
      <c r="Q7" s="328">
        <v>40</v>
      </c>
      <c r="R7" s="253"/>
      <c r="T7" s="1224" t="s">
        <v>3</v>
      </c>
      <c r="U7" s="1231" t="s">
        <v>4</v>
      </c>
      <c r="W7" s="1227"/>
      <c r="X7" s="1230"/>
      <c r="Y7" s="260"/>
      <c r="Z7" s="326"/>
      <c r="AA7" s="937"/>
      <c r="AB7" s="328"/>
      <c r="AC7" s="253"/>
      <c r="AE7" s="1224" t="s">
        <v>3</v>
      </c>
      <c r="AF7" s="1231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25"/>
      <c r="J8" s="1232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225"/>
      <c r="U8" s="1232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225"/>
      <c r="AF8" s="1232"/>
    </row>
    <row r="9" spans="1:32" ht="15.75" thickTop="1" x14ac:dyDescent="0.25">
      <c r="A9" s="81" t="s">
        <v>32</v>
      </c>
      <c r="B9" s="84"/>
      <c r="C9" s="15">
        <v>1</v>
      </c>
      <c r="D9" s="196">
        <v>23.21</v>
      </c>
      <c r="E9" s="342">
        <v>44450</v>
      </c>
      <c r="F9" s="70">
        <f t="shared" ref="F9:F14" si="0">D9</f>
        <v>23.21</v>
      </c>
      <c r="G9" s="278" t="s">
        <v>105</v>
      </c>
      <c r="H9" s="262">
        <v>64</v>
      </c>
      <c r="I9" s="280">
        <f>E5+E4-F9+E7</f>
        <v>10073.200000000001</v>
      </c>
      <c r="J9" s="131">
        <f>F4+F5+F7-C9</f>
        <v>424</v>
      </c>
      <c r="L9" s="81" t="s">
        <v>32</v>
      </c>
      <c r="M9" s="84"/>
      <c r="N9" s="15">
        <v>36</v>
      </c>
      <c r="O9" s="813">
        <v>798.42</v>
      </c>
      <c r="P9" s="811">
        <v>44537</v>
      </c>
      <c r="Q9" s="705">
        <f t="shared" ref="Q9:Q13" si="1">O9</f>
        <v>798.42</v>
      </c>
      <c r="R9" s="706" t="s">
        <v>467</v>
      </c>
      <c r="S9" s="186">
        <v>68</v>
      </c>
      <c r="T9" s="280">
        <f>P5+P4-Q9+P7+P6</f>
        <v>1314.5400000000002</v>
      </c>
      <c r="U9" s="131">
        <f>Q4+Q5+Q7-N9+Q6</f>
        <v>70</v>
      </c>
      <c r="W9" s="81" t="s">
        <v>32</v>
      </c>
      <c r="X9" s="84"/>
      <c r="Y9" s="15">
        <v>32</v>
      </c>
      <c r="Z9" s="196">
        <v>783.23</v>
      </c>
      <c r="AA9" s="342">
        <v>44539</v>
      </c>
      <c r="AB9" s="70">
        <f t="shared" ref="AB9:AB11" si="2">Z9</f>
        <v>783.23</v>
      </c>
      <c r="AC9" s="71" t="s">
        <v>496</v>
      </c>
      <c r="AD9" s="400">
        <v>68</v>
      </c>
      <c r="AE9" s="280">
        <f>AA5+AA4-AB9+AA7</f>
        <v>17733.420000000002</v>
      </c>
      <c r="AF9" s="131">
        <f>AB4+AB5+AB7-Y9</f>
        <v>715</v>
      </c>
    </row>
    <row r="10" spans="1:32" x14ac:dyDescent="0.25">
      <c r="A10" s="217"/>
      <c r="B10" s="84"/>
      <c r="C10" s="15">
        <v>4</v>
      </c>
      <c r="D10" s="196">
        <v>102.93</v>
      </c>
      <c r="E10" s="342">
        <v>44450</v>
      </c>
      <c r="F10" s="70">
        <f t="shared" si="0"/>
        <v>102.93</v>
      </c>
      <c r="G10" s="278" t="s">
        <v>106</v>
      </c>
      <c r="H10" s="262">
        <v>64</v>
      </c>
      <c r="I10" s="280">
        <f>I9-F10</f>
        <v>9970.27</v>
      </c>
      <c r="J10" s="281">
        <f>J9-C10</f>
        <v>420</v>
      </c>
      <c r="L10" s="217"/>
      <c r="M10" s="84"/>
      <c r="N10" s="15">
        <v>32</v>
      </c>
      <c r="O10" s="813">
        <v>800.89</v>
      </c>
      <c r="P10" s="811">
        <v>44539</v>
      </c>
      <c r="Q10" s="705">
        <f t="shared" si="1"/>
        <v>800.89</v>
      </c>
      <c r="R10" s="706" t="s">
        <v>496</v>
      </c>
      <c r="S10" s="186">
        <v>68</v>
      </c>
      <c r="T10" s="280">
        <f>T9-Q10</f>
        <v>513.6500000000002</v>
      </c>
      <c r="U10" s="281">
        <f>U9-N10</f>
        <v>38</v>
      </c>
      <c r="W10" s="217"/>
      <c r="X10" s="84"/>
      <c r="Y10" s="15">
        <v>32</v>
      </c>
      <c r="Z10" s="196">
        <v>751.22</v>
      </c>
      <c r="AA10" s="342">
        <v>44539</v>
      </c>
      <c r="AB10" s="70">
        <f t="shared" si="2"/>
        <v>751.22</v>
      </c>
      <c r="AC10" s="71" t="s">
        <v>496</v>
      </c>
      <c r="AD10" s="400">
        <v>68</v>
      </c>
      <c r="AE10" s="280">
        <f>AE9-AB10</f>
        <v>16982.2</v>
      </c>
      <c r="AF10" s="281">
        <f>AF9-Y10</f>
        <v>683</v>
      </c>
    </row>
    <row r="11" spans="1:32" x14ac:dyDescent="0.25">
      <c r="A11" s="205"/>
      <c r="B11" s="84"/>
      <c r="C11" s="15">
        <v>1</v>
      </c>
      <c r="D11" s="196">
        <v>28.63</v>
      </c>
      <c r="E11" s="342">
        <v>44455</v>
      </c>
      <c r="F11" s="70">
        <f t="shared" si="0"/>
        <v>28.63</v>
      </c>
      <c r="G11" s="278" t="s">
        <v>107</v>
      </c>
      <c r="H11" s="262">
        <v>64</v>
      </c>
      <c r="I11" s="280">
        <f t="shared" ref="I11:I96" si="3">I10-F11</f>
        <v>9941.6400000000012</v>
      </c>
      <c r="J11" s="281">
        <f t="shared" ref="J11:J96" si="4">J10-C11</f>
        <v>419</v>
      </c>
      <c r="L11" s="205"/>
      <c r="M11" s="84"/>
      <c r="N11" s="15"/>
      <c r="O11" s="813"/>
      <c r="P11" s="811"/>
      <c r="Q11" s="705">
        <f t="shared" si="1"/>
        <v>0</v>
      </c>
      <c r="R11" s="706"/>
      <c r="S11" s="186"/>
      <c r="T11" s="280">
        <f t="shared" ref="T11:T41" si="5">T10-Q11</f>
        <v>513.6500000000002</v>
      </c>
      <c r="U11" s="281">
        <f t="shared" ref="U11:U95" si="6">U10-N11</f>
        <v>38</v>
      </c>
      <c r="W11" s="205"/>
      <c r="X11" s="84"/>
      <c r="Y11" s="15">
        <v>32</v>
      </c>
      <c r="Z11" s="196">
        <v>838.43</v>
      </c>
      <c r="AA11" s="342">
        <v>44539</v>
      </c>
      <c r="AB11" s="70">
        <f t="shared" si="2"/>
        <v>838.43</v>
      </c>
      <c r="AC11" s="71" t="s">
        <v>496</v>
      </c>
      <c r="AD11" s="400">
        <v>68</v>
      </c>
      <c r="AE11" s="280">
        <f t="shared" ref="AE11:AE41" si="7">AE10-AB11</f>
        <v>16143.77</v>
      </c>
      <c r="AF11" s="281">
        <f t="shared" ref="AF11:AF59" si="8">AF10-Y11</f>
        <v>651</v>
      </c>
    </row>
    <row r="12" spans="1:32" x14ac:dyDescent="0.25">
      <c r="A12" s="83" t="s">
        <v>33</v>
      </c>
      <c r="B12" s="84"/>
      <c r="C12" s="15">
        <v>4</v>
      </c>
      <c r="D12" s="196">
        <v>108.71</v>
      </c>
      <c r="E12" s="342">
        <v>44459</v>
      </c>
      <c r="F12" s="70">
        <f t="shared" si="0"/>
        <v>108.71</v>
      </c>
      <c r="G12" s="278" t="s">
        <v>109</v>
      </c>
      <c r="H12" s="262">
        <v>64</v>
      </c>
      <c r="I12" s="280">
        <f t="shared" si="3"/>
        <v>9832.9300000000021</v>
      </c>
      <c r="J12" s="281">
        <f t="shared" si="4"/>
        <v>415</v>
      </c>
      <c r="L12" s="83" t="s">
        <v>33</v>
      </c>
      <c r="M12" s="84"/>
      <c r="N12" s="15"/>
      <c r="O12" s="813"/>
      <c r="P12" s="811"/>
      <c r="Q12" s="705">
        <f t="shared" si="1"/>
        <v>0</v>
      </c>
      <c r="R12" s="706"/>
      <c r="S12" s="186"/>
      <c r="T12" s="280">
        <f t="shared" si="5"/>
        <v>513.6500000000002</v>
      </c>
      <c r="U12" s="281">
        <f t="shared" si="6"/>
        <v>38</v>
      </c>
      <c r="W12" s="83" t="s">
        <v>33</v>
      </c>
      <c r="X12" s="84"/>
      <c r="Y12" s="15">
        <v>32</v>
      </c>
      <c r="Z12" s="196">
        <v>780.47</v>
      </c>
      <c r="AA12" s="342">
        <v>44540</v>
      </c>
      <c r="AB12" s="70">
        <f t="shared" ref="AB12:AB14" si="9">Z12</f>
        <v>780.47</v>
      </c>
      <c r="AC12" s="278" t="s">
        <v>460</v>
      </c>
      <c r="AD12" s="1085">
        <v>68</v>
      </c>
      <c r="AE12" s="280">
        <f t="shared" si="7"/>
        <v>15363.300000000001</v>
      </c>
      <c r="AF12" s="281">
        <f t="shared" si="8"/>
        <v>619</v>
      </c>
    </row>
    <row r="13" spans="1:32" x14ac:dyDescent="0.25">
      <c r="A13" s="74"/>
      <c r="B13" s="84"/>
      <c r="C13" s="15">
        <v>1</v>
      </c>
      <c r="D13" s="196">
        <v>28.67</v>
      </c>
      <c r="E13" s="342">
        <v>44460</v>
      </c>
      <c r="F13" s="70">
        <f t="shared" si="0"/>
        <v>28.67</v>
      </c>
      <c r="G13" s="278" t="s">
        <v>110</v>
      </c>
      <c r="H13" s="262">
        <v>64</v>
      </c>
      <c r="I13" s="280">
        <f t="shared" si="3"/>
        <v>9804.260000000002</v>
      </c>
      <c r="J13" s="281">
        <f t="shared" si="4"/>
        <v>414</v>
      </c>
      <c r="L13" s="74"/>
      <c r="M13" s="84"/>
      <c r="N13" s="15"/>
      <c r="O13" s="813"/>
      <c r="P13" s="811"/>
      <c r="Q13" s="705">
        <f t="shared" si="1"/>
        <v>0</v>
      </c>
      <c r="R13" s="706"/>
      <c r="S13" s="186"/>
      <c r="T13" s="280">
        <f t="shared" si="5"/>
        <v>513.6500000000002</v>
      </c>
      <c r="U13" s="281">
        <f t="shared" si="6"/>
        <v>38</v>
      </c>
      <c r="W13" s="74"/>
      <c r="X13" s="84"/>
      <c r="Y13" s="15">
        <v>32</v>
      </c>
      <c r="Z13" s="196">
        <v>841.41</v>
      </c>
      <c r="AA13" s="342">
        <v>44541</v>
      </c>
      <c r="AB13" s="70">
        <f t="shared" si="9"/>
        <v>841.41</v>
      </c>
      <c r="AC13" s="278" t="s">
        <v>506</v>
      </c>
      <c r="AD13" s="1085">
        <v>68</v>
      </c>
      <c r="AE13" s="280">
        <f t="shared" si="7"/>
        <v>14521.890000000001</v>
      </c>
      <c r="AF13" s="281">
        <f t="shared" si="8"/>
        <v>587</v>
      </c>
    </row>
    <row r="14" spans="1:32" x14ac:dyDescent="0.25">
      <c r="A14" s="74"/>
      <c r="B14" s="84"/>
      <c r="C14" s="15">
        <v>1</v>
      </c>
      <c r="D14" s="196">
        <v>27.19</v>
      </c>
      <c r="E14" s="341">
        <v>44462</v>
      </c>
      <c r="F14" s="70">
        <f t="shared" si="0"/>
        <v>27.19</v>
      </c>
      <c r="G14" s="278" t="s">
        <v>111</v>
      </c>
      <c r="H14" s="262">
        <v>64</v>
      </c>
      <c r="I14" s="280">
        <f t="shared" si="3"/>
        <v>9777.0700000000015</v>
      </c>
      <c r="J14" s="281">
        <f t="shared" si="4"/>
        <v>413</v>
      </c>
      <c r="L14" s="74"/>
      <c r="M14" s="84"/>
      <c r="N14" s="15">
        <v>38</v>
      </c>
      <c r="O14" s="196"/>
      <c r="P14" s="341"/>
      <c r="Q14" s="70">
        <v>513.65</v>
      </c>
      <c r="R14" s="278"/>
      <c r="S14" s="1084"/>
      <c r="T14" s="1082">
        <f t="shared" si="5"/>
        <v>0</v>
      </c>
      <c r="U14" s="1083">
        <f t="shared" si="6"/>
        <v>0</v>
      </c>
      <c r="W14" s="74"/>
      <c r="X14" s="84"/>
      <c r="Y14" s="15">
        <f>32+32+32</f>
        <v>96</v>
      </c>
      <c r="Z14" s="196">
        <f>875.91+788.48+796.62</f>
        <v>2461.0099999999998</v>
      </c>
      <c r="AA14" s="341">
        <v>44543</v>
      </c>
      <c r="AB14" s="70">
        <f t="shared" si="9"/>
        <v>2461.0099999999998</v>
      </c>
      <c r="AC14" s="278" t="s">
        <v>515</v>
      </c>
      <c r="AD14" s="1085">
        <v>68</v>
      </c>
      <c r="AE14" s="280">
        <f t="shared" si="7"/>
        <v>12060.880000000001</v>
      </c>
      <c r="AF14" s="281">
        <f t="shared" si="8"/>
        <v>491</v>
      </c>
    </row>
    <row r="15" spans="1:32" x14ac:dyDescent="0.25">
      <c r="B15" s="84"/>
      <c r="C15" s="15">
        <v>4</v>
      </c>
      <c r="D15" s="196">
        <v>101.43</v>
      </c>
      <c r="E15" s="341">
        <v>44462</v>
      </c>
      <c r="F15" s="70">
        <f>D15</f>
        <v>101.43</v>
      </c>
      <c r="G15" s="278" t="s">
        <v>108</v>
      </c>
      <c r="H15" s="262">
        <v>64</v>
      </c>
      <c r="I15" s="280">
        <f t="shared" si="3"/>
        <v>9675.6400000000012</v>
      </c>
      <c r="J15" s="281">
        <f t="shared" si="4"/>
        <v>409</v>
      </c>
      <c r="M15" s="84"/>
      <c r="N15" s="15"/>
      <c r="O15" s="196"/>
      <c r="P15" s="341"/>
      <c r="Q15" s="70">
        <f>O15</f>
        <v>0</v>
      </c>
      <c r="R15" s="278"/>
      <c r="S15" s="1084"/>
      <c r="T15" s="1082">
        <f t="shared" si="5"/>
        <v>0</v>
      </c>
      <c r="U15" s="1083">
        <f t="shared" si="6"/>
        <v>0</v>
      </c>
      <c r="X15" s="84"/>
      <c r="Y15" s="15">
        <v>32</v>
      </c>
      <c r="Z15" s="196">
        <v>816.21</v>
      </c>
      <c r="AA15" s="341">
        <v>44553</v>
      </c>
      <c r="AB15" s="70">
        <f>Z15</f>
        <v>816.21</v>
      </c>
      <c r="AC15" s="1102" t="s">
        <v>589</v>
      </c>
      <c r="AD15" s="1085">
        <v>64</v>
      </c>
      <c r="AE15" s="280">
        <f t="shared" si="7"/>
        <v>11244.670000000002</v>
      </c>
      <c r="AF15" s="281">
        <f t="shared" si="8"/>
        <v>459</v>
      </c>
    </row>
    <row r="16" spans="1:32" x14ac:dyDescent="0.25">
      <c r="B16" s="84"/>
      <c r="C16" s="276">
        <v>4</v>
      </c>
      <c r="D16" s="196">
        <v>95.91</v>
      </c>
      <c r="E16" s="341">
        <v>44464</v>
      </c>
      <c r="F16" s="70">
        <f>D16</f>
        <v>95.91</v>
      </c>
      <c r="G16" s="278" t="s">
        <v>112</v>
      </c>
      <c r="H16" s="262">
        <v>64</v>
      </c>
      <c r="I16" s="280">
        <f t="shared" si="3"/>
        <v>9579.7300000000014</v>
      </c>
      <c r="J16" s="281">
        <f t="shared" si="4"/>
        <v>405</v>
      </c>
      <c r="M16" s="84"/>
      <c r="N16" s="276"/>
      <c r="O16" s="196"/>
      <c r="P16" s="341"/>
      <c r="Q16" s="70">
        <f>O16</f>
        <v>0</v>
      </c>
      <c r="R16" s="278"/>
      <c r="S16" s="1084"/>
      <c r="T16" s="1082">
        <f t="shared" si="5"/>
        <v>0</v>
      </c>
      <c r="U16" s="1083">
        <f t="shared" si="6"/>
        <v>0</v>
      </c>
      <c r="X16" s="84"/>
      <c r="Y16" s="276">
        <v>32</v>
      </c>
      <c r="Z16" s="196">
        <v>803.89</v>
      </c>
      <c r="AA16" s="341">
        <v>44553</v>
      </c>
      <c r="AB16" s="70">
        <f>Z16</f>
        <v>803.89</v>
      </c>
      <c r="AC16" s="1102" t="s">
        <v>589</v>
      </c>
      <c r="AD16" s="1085">
        <v>64</v>
      </c>
      <c r="AE16" s="280">
        <f t="shared" si="7"/>
        <v>10440.780000000002</v>
      </c>
      <c r="AF16" s="281">
        <f t="shared" si="8"/>
        <v>427</v>
      </c>
    </row>
    <row r="17" spans="1:32" x14ac:dyDescent="0.25">
      <c r="A17" s="82"/>
      <c r="B17" s="84"/>
      <c r="C17" s="15">
        <v>2</v>
      </c>
      <c r="D17" s="196">
        <v>42.71</v>
      </c>
      <c r="E17" s="357">
        <v>44466</v>
      </c>
      <c r="F17" s="70">
        <f>D17</f>
        <v>42.71</v>
      </c>
      <c r="G17" s="278" t="s">
        <v>113</v>
      </c>
      <c r="H17" s="262">
        <v>65</v>
      </c>
      <c r="I17" s="280">
        <f t="shared" si="3"/>
        <v>9537.0200000000023</v>
      </c>
      <c r="J17" s="281">
        <f t="shared" si="4"/>
        <v>403</v>
      </c>
      <c r="L17" s="82"/>
      <c r="M17" s="84"/>
      <c r="N17" s="15"/>
      <c r="O17" s="196"/>
      <c r="P17" s="357"/>
      <c r="Q17" s="70">
        <f>O17</f>
        <v>0</v>
      </c>
      <c r="R17" s="278"/>
      <c r="S17" s="1084"/>
      <c r="T17" s="1082">
        <f t="shared" si="5"/>
        <v>0</v>
      </c>
      <c r="U17" s="1083">
        <f t="shared" si="6"/>
        <v>0</v>
      </c>
      <c r="W17" s="82"/>
      <c r="X17" s="84"/>
      <c r="Y17" s="15">
        <v>32</v>
      </c>
      <c r="Z17" s="196">
        <v>806.08</v>
      </c>
      <c r="AA17" s="357">
        <v>44553</v>
      </c>
      <c r="AB17" s="70">
        <f>Z17</f>
        <v>806.08</v>
      </c>
      <c r="AC17" s="1102" t="s">
        <v>589</v>
      </c>
      <c r="AD17" s="1085">
        <v>64</v>
      </c>
      <c r="AE17" s="280">
        <f t="shared" si="7"/>
        <v>9634.7000000000025</v>
      </c>
      <c r="AF17" s="281">
        <f t="shared" si="8"/>
        <v>395</v>
      </c>
    </row>
    <row r="18" spans="1:32" x14ac:dyDescent="0.25">
      <c r="A18" s="84"/>
      <c r="B18" s="84"/>
      <c r="C18" s="15">
        <v>4</v>
      </c>
      <c r="D18" s="196">
        <v>97.15</v>
      </c>
      <c r="E18" s="357">
        <v>44468</v>
      </c>
      <c r="F18" s="70">
        <f t="shared" ref="F18:F97" si="10">D18</f>
        <v>97.15</v>
      </c>
      <c r="G18" s="667" t="s">
        <v>114</v>
      </c>
      <c r="H18" s="262">
        <v>64</v>
      </c>
      <c r="I18" s="280">
        <f t="shared" si="3"/>
        <v>9439.8700000000026</v>
      </c>
      <c r="J18" s="281">
        <f t="shared" si="4"/>
        <v>399</v>
      </c>
      <c r="L18" s="84"/>
      <c r="M18" s="84"/>
      <c r="N18" s="15"/>
      <c r="O18" s="196"/>
      <c r="P18" s="357"/>
      <c r="Q18" s="70">
        <f t="shared" ref="Q18:Q97" si="11">O18</f>
        <v>0</v>
      </c>
      <c r="R18" s="667"/>
      <c r="S18" s="262"/>
      <c r="T18" s="280">
        <f t="shared" si="5"/>
        <v>0</v>
      </c>
      <c r="U18" s="281">
        <f t="shared" si="6"/>
        <v>0</v>
      </c>
      <c r="W18" s="84"/>
      <c r="X18" s="84"/>
      <c r="Y18" s="15">
        <v>32</v>
      </c>
      <c r="Z18" s="196">
        <v>860.76</v>
      </c>
      <c r="AA18" s="357">
        <v>44553</v>
      </c>
      <c r="AB18" s="70">
        <f t="shared" ref="AB18:AB42" si="12">Z18</f>
        <v>860.76</v>
      </c>
      <c r="AC18" s="1103" t="s">
        <v>589</v>
      </c>
      <c r="AD18" s="1085">
        <v>64</v>
      </c>
      <c r="AE18" s="280">
        <f t="shared" si="7"/>
        <v>8773.9400000000023</v>
      </c>
      <c r="AF18" s="281">
        <f t="shared" si="8"/>
        <v>363</v>
      </c>
    </row>
    <row r="19" spans="1:32" x14ac:dyDescent="0.25">
      <c r="A19" s="2"/>
      <c r="B19" s="84"/>
      <c r="C19" s="15">
        <v>2</v>
      </c>
      <c r="D19" s="196">
        <v>50.53</v>
      </c>
      <c r="E19" s="357">
        <v>44468</v>
      </c>
      <c r="F19" s="70">
        <f t="shared" si="10"/>
        <v>50.53</v>
      </c>
      <c r="G19" s="278" t="s">
        <v>115</v>
      </c>
      <c r="H19" s="262">
        <v>64</v>
      </c>
      <c r="I19" s="280">
        <f t="shared" si="3"/>
        <v>9389.340000000002</v>
      </c>
      <c r="J19" s="281">
        <f t="shared" si="4"/>
        <v>397</v>
      </c>
      <c r="L19" s="2"/>
      <c r="M19" s="84"/>
      <c r="N19" s="15"/>
      <c r="O19" s="196"/>
      <c r="P19" s="357"/>
      <c r="Q19" s="70">
        <f t="shared" si="11"/>
        <v>0</v>
      </c>
      <c r="R19" s="278"/>
      <c r="S19" s="262"/>
      <c r="T19" s="280">
        <f t="shared" si="5"/>
        <v>0</v>
      </c>
      <c r="U19" s="281">
        <f t="shared" si="6"/>
        <v>0</v>
      </c>
      <c r="W19" s="2"/>
      <c r="X19" s="84"/>
      <c r="Y19" s="15">
        <v>31</v>
      </c>
      <c r="Z19" s="196">
        <v>816.43</v>
      </c>
      <c r="AA19" s="357">
        <v>44553</v>
      </c>
      <c r="AB19" s="70">
        <f t="shared" si="12"/>
        <v>816.43</v>
      </c>
      <c r="AC19" s="1102" t="s">
        <v>589</v>
      </c>
      <c r="AD19" s="1085">
        <v>64</v>
      </c>
      <c r="AE19" s="280">
        <f t="shared" si="7"/>
        <v>7957.510000000002</v>
      </c>
      <c r="AF19" s="281">
        <f t="shared" si="8"/>
        <v>332</v>
      </c>
    </row>
    <row r="20" spans="1:32" x14ac:dyDescent="0.25">
      <c r="A20" s="2"/>
      <c r="B20" s="84"/>
      <c r="C20" s="15">
        <v>5</v>
      </c>
      <c r="D20" s="196">
        <v>126.54</v>
      </c>
      <c r="E20" s="357">
        <v>44468</v>
      </c>
      <c r="F20" s="70">
        <f t="shared" si="10"/>
        <v>126.54</v>
      </c>
      <c r="G20" s="278" t="s">
        <v>116</v>
      </c>
      <c r="H20" s="262">
        <v>64</v>
      </c>
      <c r="I20" s="280">
        <f t="shared" si="3"/>
        <v>9262.8000000000011</v>
      </c>
      <c r="J20" s="281">
        <f t="shared" si="4"/>
        <v>392</v>
      </c>
      <c r="L20" s="2"/>
      <c r="M20" s="84"/>
      <c r="N20" s="15"/>
      <c r="O20" s="196"/>
      <c r="P20" s="357"/>
      <c r="Q20" s="70">
        <f t="shared" si="11"/>
        <v>0</v>
      </c>
      <c r="R20" s="278"/>
      <c r="S20" s="262"/>
      <c r="T20" s="280">
        <f t="shared" si="5"/>
        <v>0</v>
      </c>
      <c r="U20" s="281">
        <f t="shared" si="6"/>
        <v>0</v>
      </c>
      <c r="W20" s="2"/>
      <c r="X20" s="84"/>
      <c r="Y20" s="15"/>
      <c r="Z20" s="196"/>
      <c r="AA20" s="357"/>
      <c r="AB20" s="70">
        <f t="shared" si="12"/>
        <v>0</v>
      </c>
      <c r="AC20" s="278"/>
      <c r="AD20" s="1085"/>
      <c r="AE20" s="280">
        <f t="shared" si="7"/>
        <v>7957.510000000002</v>
      </c>
      <c r="AF20" s="281">
        <f t="shared" si="8"/>
        <v>332</v>
      </c>
    </row>
    <row r="21" spans="1:32" x14ac:dyDescent="0.25">
      <c r="A21" s="2"/>
      <c r="B21" s="84"/>
      <c r="C21" s="15">
        <v>3</v>
      </c>
      <c r="D21" s="196">
        <v>72.739999999999995</v>
      </c>
      <c r="E21" s="341">
        <v>44470</v>
      </c>
      <c r="F21" s="70">
        <f t="shared" si="10"/>
        <v>72.739999999999995</v>
      </c>
      <c r="G21" s="278" t="s">
        <v>117</v>
      </c>
      <c r="H21" s="262">
        <v>64</v>
      </c>
      <c r="I21" s="280">
        <f t="shared" si="3"/>
        <v>9190.0600000000013</v>
      </c>
      <c r="J21" s="281">
        <f t="shared" si="4"/>
        <v>389</v>
      </c>
      <c r="L21" s="2"/>
      <c r="M21" s="84"/>
      <c r="N21" s="15"/>
      <c r="O21" s="196"/>
      <c r="P21" s="341"/>
      <c r="Q21" s="70">
        <f t="shared" si="11"/>
        <v>0</v>
      </c>
      <c r="R21" s="278"/>
      <c r="S21" s="262"/>
      <c r="T21" s="280">
        <f t="shared" si="5"/>
        <v>0</v>
      </c>
      <c r="U21" s="281">
        <f t="shared" si="6"/>
        <v>0</v>
      </c>
      <c r="W21" s="2"/>
      <c r="X21" s="84"/>
      <c r="Y21" s="15"/>
      <c r="Z21" s="196"/>
      <c r="AA21" s="341"/>
      <c r="AB21" s="70">
        <f t="shared" si="12"/>
        <v>0</v>
      </c>
      <c r="AC21" s="278"/>
      <c r="AD21" s="1085"/>
      <c r="AE21" s="280">
        <f t="shared" si="7"/>
        <v>7957.510000000002</v>
      </c>
      <c r="AF21" s="281">
        <f t="shared" si="8"/>
        <v>332</v>
      </c>
    </row>
    <row r="22" spans="1:32" x14ac:dyDescent="0.25">
      <c r="A22" s="2"/>
      <c r="B22" s="84"/>
      <c r="C22" s="15">
        <v>5</v>
      </c>
      <c r="D22" s="813">
        <v>111.29</v>
      </c>
      <c r="E22" s="810">
        <v>44474</v>
      </c>
      <c r="F22" s="705">
        <f t="shared" si="10"/>
        <v>111.29</v>
      </c>
      <c r="G22" s="706" t="s">
        <v>125</v>
      </c>
      <c r="H22" s="862">
        <v>64</v>
      </c>
      <c r="I22" s="235">
        <f t="shared" si="3"/>
        <v>9078.77</v>
      </c>
      <c r="J22" s="131">
        <f t="shared" si="4"/>
        <v>384</v>
      </c>
      <c r="L22" s="2"/>
      <c r="M22" s="84"/>
      <c r="N22" s="15"/>
      <c r="O22" s="196"/>
      <c r="P22" s="341"/>
      <c r="Q22" s="70">
        <f t="shared" si="11"/>
        <v>0</v>
      </c>
      <c r="R22" s="71"/>
      <c r="S22" s="132"/>
      <c r="T22" s="235">
        <f t="shared" si="5"/>
        <v>0</v>
      </c>
      <c r="U22" s="131">
        <f t="shared" si="6"/>
        <v>0</v>
      </c>
      <c r="W22" s="2"/>
      <c r="X22" s="84"/>
      <c r="Y22" s="15"/>
      <c r="Z22" s="196"/>
      <c r="AA22" s="341"/>
      <c r="AB22" s="70">
        <f t="shared" si="12"/>
        <v>0</v>
      </c>
      <c r="AC22" s="71"/>
      <c r="AD22" s="400"/>
      <c r="AE22" s="235">
        <f t="shared" si="7"/>
        <v>7957.510000000002</v>
      </c>
      <c r="AF22" s="131">
        <f t="shared" si="8"/>
        <v>332</v>
      </c>
    </row>
    <row r="23" spans="1:32" x14ac:dyDescent="0.25">
      <c r="A23" s="2"/>
      <c r="B23" s="84"/>
      <c r="C23" s="15">
        <v>5</v>
      </c>
      <c r="D23" s="813">
        <v>111.1</v>
      </c>
      <c r="E23" s="810">
        <v>44477</v>
      </c>
      <c r="F23" s="705">
        <f t="shared" si="10"/>
        <v>111.1</v>
      </c>
      <c r="G23" s="706" t="s">
        <v>126</v>
      </c>
      <c r="H23" s="862">
        <v>64</v>
      </c>
      <c r="I23" s="235">
        <f t="shared" si="3"/>
        <v>8967.67</v>
      </c>
      <c r="J23" s="131">
        <f t="shared" si="4"/>
        <v>379</v>
      </c>
      <c r="L23" s="2"/>
      <c r="M23" s="84"/>
      <c r="N23" s="15"/>
      <c r="O23" s="196"/>
      <c r="P23" s="341"/>
      <c r="Q23" s="70">
        <f t="shared" si="11"/>
        <v>0</v>
      </c>
      <c r="R23" s="71"/>
      <c r="S23" s="132"/>
      <c r="T23" s="235">
        <f t="shared" si="5"/>
        <v>0</v>
      </c>
      <c r="U23" s="131">
        <f t="shared" si="6"/>
        <v>0</v>
      </c>
      <c r="W23" s="2"/>
      <c r="X23" s="84"/>
      <c r="Y23" s="15"/>
      <c r="Z23" s="196"/>
      <c r="AA23" s="341"/>
      <c r="AB23" s="70">
        <f t="shared" si="12"/>
        <v>0</v>
      </c>
      <c r="AC23" s="71"/>
      <c r="AD23" s="400"/>
      <c r="AE23" s="235">
        <f t="shared" si="7"/>
        <v>7957.510000000002</v>
      </c>
      <c r="AF23" s="131">
        <f t="shared" si="8"/>
        <v>332</v>
      </c>
    </row>
    <row r="24" spans="1:32" x14ac:dyDescent="0.25">
      <c r="A24" s="2"/>
      <c r="B24" s="84"/>
      <c r="C24" s="15">
        <v>1</v>
      </c>
      <c r="D24" s="813">
        <v>23.29</v>
      </c>
      <c r="E24" s="810">
        <v>44480</v>
      </c>
      <c r="F24" s="705">
        <f t="shared" si="10"/>
        <v>23.29</v>
      </c>
      <c r="G24" s="706" t="s">
        <v>127</v>
      </c>
      <c r="H24" s="862">
        <v>64</v>
      </c>
      <c r="I24" s="235">
        <f t="shared" si="3"/>
        <v>8944.3799999999992</v>
      </c>
      <c r="J24" s="131">
        <f t="shared" si="4"/>
        <v>378</v>
      </c>
      <c r="L24" s="2"/>
      <c r="M24" s="84"/>
      <c r="N24" s="15"/>
      <c r="O24" s="196"/>
      <c r="P24" s="341"/>
      <c r="Q24" s="70">
        <f t="shared" si="11"/>
        <v>0</v>
      </c>
      <c r="R24" s="71"/>
      <c r="S24" s="132"/>
      <c r="T24" s="235">
        <f t="shared" si="5"/>
        <v>0</v>
      </c>
      <c r="U24" s="131">
        <f t="shared" si="6"/>
        <v>0</v>
      </c>
      <c r="W24" s="2"/>
      <c r="X24" s="84"/>
      <c r="Y24" s="15"/>
      <c r="Z24" s="196"/>
      <c r="AA24" s="341"/>
      <c r="AB24" s="70">
        <f t="shared" si="12"/>
        <v>0</v>
      </c>
      <c r="AC24" s="71"/>
      <c r="AD24" s="400"/>
      <c r="AE24" s="235">
        <f t="shared" si="7"/>
        <v>7957.510000000002</v>
      </c>
      <c r="AF24" s="131">
        <f t="shared" si="8"/>
        <v>332</v>
      </c>
    </row>
    <row r="25" spans="1:32" x14ac:dyDescent="0.25">
      <c r="A25" s="2"/>
      <c r="B25" s="84"/>
      <c r="C25" s="15">
        <v>2</v>
      </c>
      <c r="D25" s="813">
        <v>48.57</v>
      </c>
      <c r="E25" s="812">
        <v>44482</v>
      </c>
      <c r="F25" s="705">
        <f t="shared" si="10"/>
        <v>48.57</v>
      </c>
      <c r="G25" s="706" t="s">
        <v>128</v>
      </c>
      <c r="H25" s="862">
        <v>64</v>
      </c>
      <c r="I25" s="235">
        <f t="shared" si="3"/>
        <v>8895.81</v>
      </c>
      <c r="J25" s="131">
        <f t="shared" si="4"/>
        <v>376</v>
      </c>
      <c r="L25" s="2"/>
      <c r="M25" s="84"/>
      <c r="N25" s="15"/>
      <c r="O25" s="196"/>
      <c r="P25" s="357"/>
      <c r="Q25" s="70">
        <f t="shared" si="11"/>
        <v>0</v>
      </c>
      <c r="R25" s="71"/>
      <c r="S25" s="132"/>
      <c r="T25" s="235">
        <f t="shared" si="5"/>
        <v>0</v>
      </c>
      <c r="U25" s="131">
        <f t="shared" si="6"/>
        <v>0</v>
      </c>
      <c r="W25" s="2"/>
      <c r="X25" s="84"/>
      <c r="Y25" s="15"/>
      <c r="Z25" s="196"/>
      <c r="AA25" s="357"/>
      <c r="AB25" s="70">
        <f t="shared" si="12"/>
        <v>0</v>
      </c>
      <c r="AC25" s="71"/>
      <c r="AD25" s="400"/>
      <c r="AE25" s="235">
        <f t="shared" si="7"/>
        <v>7957.510000000002</v>
      </c>
      <c r="AF25" s="131">
        <f t="shared" si="8"/>
        <v>332</v>
      </c>
    </row>
    <row r="26" spans="1:32" x14ac:dyDescent="0.25">
      <c r="A26" s="2"/>
      <c r="B26" s="84"/>
      <c r="C26" s="15">
        <v>2</v>
      </c>
      <c r="D26" s="813">
        <v>48.01</v>
      </c>
      <c r="E26" s="812">
        <v>44482</v>
      </c>
      <c r="F26" s="705">
        <f t="shared" si="10"/>
        <v>48.01</v>
      </c>
      <c r="G26" s="706" t="s">
        <v>129</v>
      </c>
      <c r="H26" s="862">
        <v>64</v>
      </c>
      <c r="I26" s="235">
        <f t="shared" si="3"/>
        <v>8847.7999999999993</v>
      </c>
      <c r="J26" s="131">
        <f t="shared" si="4"/>
        <v>374</v>
      </c>
      <c r="L26" s="2"/>
      <c r="M26" s="84"/>
      <c r="N26" s="15"/>
      <c r="O26" s="196"/>
      <c r="P26" s="357"/>
      <c r="Q26" s="70">
        <f t="shared" si="11"/>
        <v>0</v>
      </c>
      <c r="R26" s="71"/>
      <c r="S26" s="132"/>
      <c r="T26" s="235">
        <f t="shared" si="5"/>
        <v>0</v>
      </c>
      <c r="U26" s="131">
        <f t="shared" si="6"/>
        <v>0</v>
      </c>
      <c r="W26" s="2"/>
      <c r="X26" s="84"/>
      <c r="Y26" s="15"/>
      <c r="Z26" s="196"/>
      <c r="AA26" s="357"/>
      <c r="AB26" s="70">
        <f t="shared" si="12"/>
        <v>0</v>
      </c>
      <c r="AC26" s="71"/>
      <c r="AD26" s="400"/>
      <c r="AE26" s="235">
        <f t="shared" si="7"/>
        <v>7957.510000000002</v>
      </c>
      <c r="AF26" s="131">
        <f t="shared" si="8"/>
        <v>332</v>
      </c>
    </row>
    <row r="27" spans="1:32" x14ac:dyDescent="0.25">
      <c r="A27" s="2"/>
      <c r="B27" s="84"/>
      <c r="C27" s="15">
        <v>1</v>
      </c>
      <c r="D27" s="813">
        <v>22.83</v>
      </c>
      <c r="E27" s="812">
        <v>44483</v>
      </c>
      <c r="F27" s="705">
        <f t="shared" si="10"/>
        <v>22.83</v>
      </c>
      <c r="G27" s="706" t="s">
        <v>130</v>
      </c>
      <c r="H27" s="862">
        <v>64</v>
      </c>
      <c r="I27" s="235">
        <f t="shared" si="3"/>
        <v>8824.9699999999993</v>
      </c>
      <c r="J27" s="131">
        <f t="shared" si="4"/>
        <v>373</v>
      </c>
      <c r="L27" s="2"/>
      <c r="M27" s="84"/>
      <c r="N27" s="15"/>
      <c r="O27" s="196"/>
      <c r="P27" s="357"/>
      <c r="Q27" s="70">
        <f t="shared" si="11"/>
        <v>0</v>
      </c>
      <c r="R27" s="71"/>
      <c r="S27" s="132"/>
      <c r="T27" s="235">
        <f t="shared" si="5"/>
        <v>0</v>
      </c>
      <c r="U27" s="131">
        <f t="shared" si="6"/>
        <v>0</v>
      </c>
      <c r="W27" s="2"/>
      <c r="X27" s="84"/>
      <c r="Y27" s="15"/>
      <c r="Z27" s="196"/>
      <c r="AA27" s="357"/>
      <c r="AB27" s="70">
        <f t="shared" si="12"/>
        <v>0</v>
      </c>
      <c r="AC27" s="71"/>
      <c r="AD27" s="400"/>
      <c r="AE27" s="235">
        <f t="shared" si="7"/>
        <v>7957.510000000002</v>
      </c>
      <c r="AF27" s="131">
        <f t="shared" si="8"/>
        <v>332</v>
      </c>
    </row>
    <row r="28" spans="1:32" x14ac:dyDescent="0.25">
      <c r="A28" s="197"/>
      <c r="B28" s="84"/>
      <c r="C28" s="15">
        <v>4</v>
      </c>
      <c r="D28" s="813">
        <v>106.01</v>
      </c>
      <c r="E28" s="812">
        <v>44485</v>
      </c>
      <c r="F28" s="705">
        <f t="shared" si="10"/>
        <v>106.01</v>
      </c>
      <c r="G28" s="706" t="s">
        <v>132</v>
      </c>
      <c r="H28" s="862">
        <v>64</v>
      </c>
      <c r="I28" s="235">
        <f t="shared" si="3"/>
        <v>8718.9599999999991</v>
      </c>
      <c r="J28" s="131">
        <f t="shared" si="4"/>
        <v>369</v>
      </c>
      <c r="L28" s="197"/>
      <c r="M28" s="84"/>
      <c r="N28" s="15"/>
      <c r="O28" s="196"/>
      <c r="P28" s="357"/>
      <c r="Q28" s="70">
        <f t="shared" si="11"/>
        <v>0</v>
      </c>
      <c r="R28" s="71"/>
      <c r="S28" s="132"/>
      <c r="T28" s="235">
        <f t="shared" si="5"/>
        <v>0</v>
      </c>
      <c r="U28" s="131">
        <f t="shared" si="6"/>
        <v>0</v>
      </c>
      <c r="W28" s="197"/>
      <c r="X28" s="84"/>
      <c r="Y28" s="15"/>
      <c r="Z28" s="196"/>
      <c r="AA28" s="357"/>
      <c r="AB28" s="70">
        <f t="shared" si="12"/>
        <v>0</v>
      </c>
      <c r="AC28" s="71"/>
      <c r="AD28" s="400"/>
      <c r="AE28" s="235">
        <f t="shared" si="7"/>
        <v>7957.510000000002</v>
      </c>
      <c r="AF28" s="131">
        <f t="shared" si="8"/>
        <v>332</v>
      </c>
    </row>
    <row r="29" spans="1:32" x14ac:dyDescent="0.25">
      <c r="A29" s="197"/>
      <c r="B29" s="84"/>
      <c r="C29" s="15">
        <v>1</v>
      </c>
      <c r="D29" s="813">
        <v>23.66</v>
      </c>
      <c r="E29" s="810">
        <v>44490</v>
      </c>
      <c r="F29" s="705">
        <f t="shared" si="10"/>
        <v>23.66</v>
      </c>
      <c r="G29" s="687" t="s">
        <v>131</v>
      </c>
      <c r="H29" s="863">
        <v>64</v>
      </c>
      <c r="I29" s="280">
        <f t="shared" si="3"/>
        <v>8695.2999999999993</v>
      </c>
      <c r="J29" s="281">
        <f t="shared" si="4"/>
        <v>368</v>
      </c>
      <c r="L29" s="197"/>
      <c r="M29" s="84"/>
      <c r="N29" s="15"/>
      <c r="O29" s="196"/>
      <c r="P29" s="341"/>
      <c r="Q29" s="70">
        <f t="shared" si="11"/>
        <v>0</v>
      </c>
      <c r="R29" s="278"/>
      <c r="S29" s="262"/>
      <c r="T29" s="280">
        <f t="shared" si="5"/>
        <v>0</v>
      </c>
      <c r="U29" s="281">
        <f t="shared" si="6"/>
        <v>0</v>
      </c>
      <c r="W29" s="197"/>
      <c r="X29" s="84"/>
      <c r="Y29" s="15"/>
      <c r="Z29" s="196"/>
      <c r="AA29" s="341"/>
      <c r="AB29" s="70">
        <f t="shared" si="12"/>
        <v>0</v>
      </c>
      <c r="AC29" s="278"/>
      <c r="AD29" s="1085"/>
      <c r="AE29" s="280">
        <f t="shared" si="7"/>
        <v>7957.510000000002</v>
      </c>
      <c r="AF29" s="281">
        <f t="shared" si="8"/>
        <v>332</v>
      </c>
    </row>
    <row r="30" spans="1:32" x14ac:dyDescent="0.25">
      <c r="A30" s="197"/>
      <c r="B30" s="84"/>
      <c r="C30" s="15">
        <v>4</v>
      </c>
      <c r="D30" s="813">
        <v>97.92</v>
      </c>
      <c r="E30" s="810">
        <v>44491</v>
      </c>
      <c r="F30" s="705">
        <f t="shared" si="10"/>
        <v>97.92</v>
      </c>
      <c r="G30" s="687" t="s">
        <v>133</v>
      </c>
      <c r="H30" s="863">
        <v>64</v>
      </c>
      <c r="I30" s="280">
        <f t="shared" si="3"/>
        <v>8597.3799999999992</v>
      </c>
      <c r="J30" s="281">
        <f t="shared" si="4"/>
        <v>364</v>
      </c>
      <c r="L30" s="197"/>
      <c r="M30" s="84"/>
      <c r="N30" s="15"/>
      <c r="O30" s="196"/>
      <c r="P30" s="341"/>
      <c r="Q30" s="70">
        <f t="shared" si="11"/>
        <v>0</v>
      </c>
      <c r="R30" s="278"/>
      <c r="S30" s="262"/>
      <c r="T30" s="280">
        <f t="shared" si="5"/>
        <v>0</v>
      </c>
      <c r="U30" s="281">
        <f t="shared" si="6"/>
        <v>0</v>
      </c>
      <c r="W30" s="197"/>
      <c r="X30" s="84"/>
      <c r="Y30" s="15"/>
      <c r="Z30" s="196"/>
      <c r="AA30" s="341"/>
      <c r="AB30" s="70">
        <f t="shared" si="12"/>
        <v>0</v>
      </c>
      <c r="AC30" s="278"/>
      <c r="AD30" s="1085"/>
      <c r="AE30" s="280">
        <f t="shared" si="7"/>
        <v>7957.510000000002</v>
      </c>
      <c r="AF30" s="281">
        <f t="shared" si="8"/>
        <v>332</v>
      </c>
    </row>
    <row r="31" spans="1:32" x14ac:dyDescent="0.25">
      <c r="A31" s="197"/>
      <c r="B31" s="84"/>
      <c r="C31" s="15">
        <v>1</v>
      </c>
      <c r="D31" s="813">
        <v>24.87</v>
      </c>
      <c r="E31" s="810">
        <v>44495</v>
      </c>
      <c r="F31" s="705">
        <f t="shared" si="10"/>
        <v>24.87</v>
      </c>
      <c r="G31" s="687" t="s">
        <v>134</v>
      </c>
      <c r="H31" s="863">
        <v>64</v>
      </c>
      <c r="I31" s="280">
        <f t="shared" si="3"/>
        <v>8572.5099999999984</v>
      </c>
      <c r="J31" s="281">
        <f t="shared" si="4"/>
        <v>363</v>
      </c>
      <c r="L31" s="197"/>
      <c r="M31" s="84"/>
      <c r="N31" s="15"/>
      <c r="O31" s="196"/>
      <c r="P31" s="341"/>
      <c r="Q31" s="70">
        <f t="shared" si="11"/>
        <v>0</v>
      </c>
      <c r="R31" s="278"/>
      <c r="S31" s="262"/>
      <c r="T31" s="280">
        <f t="shared" si="5"/>
        <v>0</v>
      </c>
      <c r="U31" s="281">
        <f t="shared" si="6"/>
        <v>0</v>
      </c>
      <c r="W31" s="197"/>
      <c r="X31" s="84"/>
      <c r="Y31" s="15"/>
      <c r="Z31" s="196"/>
      <c r="AA31" s="341"/>
      <c r="AB31" s="70">
        <f t="shared" si="12"/>
        <v>0</v>
      </c>
      <c r="AC31" s="278"/>
      <c r="AD31" s="1085"/>
      <c r="AE31" s="280">
        <f t="shared" si="7"/>
        <v>7957.510000000002</v>
      </c>
      <c r="AF31" s="281">
        <f t="shared" si="8"/>
        <v>332</v>
      </c>
    </row>
    <row r="32" spans="1:32" x14ac:dyDescent="0.25">
      <c r="A32" s="197"/>
      <c r="B32" s="84"/>
      <c r="C32" s="15">
        <v>5</v>
      </c>
      <c r="D32" s="813">
        <v>118.77</v>
      </c>
      <c r="E32" s="810">
        <v>44496</v>
      </c>
      <c r="F32" s="705">
        <f t="shared" si="10"/>
        <v>118.77</v>
      </c>
      <c r="G32" s="687" t="s">
        <v>136</v>
      </c>
      <c r="H32" s="863">
        <v>64</v>
      </c>
      <c r="I32" s="280">
        <f t="shared" si="3"/>
        <v>8453.739999999998</v>
      </c>
      <c r="J32" s="281">
        <f t="shared" si="4"/>
        <v>358</v>
      </c>
      <c r="L32" s="197"/>
      <c r="M32" s="84"/>
      <c r="N32" s="15"/>
      <c r="O32" s="196"/>
      <c r="P32" s="341"/>
      <c r="Q32" s="70">
        <f t="shared" si="11"/>
        <v>0</v>
      </c>
      <c r="R32" s="278"/>
      <c r="S32" s="262"/>
      <c r="T32" s="280">
        <f t="shared" si="5"/>
        <v>0</v>
      </c>
      <c r="U32" s="281">
        <f t="shared" si="6"/>
        <v>0</v>
      </c>
      <c r="W32" s="197"/>
      <c r="X32" s="84"/>
      <c r="Y32" s="15"/>
      <c r="Z32" s="196"/>
      <c r="AA32" s="341"/>
      <c r="AB32" s="70">
        <f t="shared" si="12"/>
        <v>0</v>
      </c>
      <c r="AC32" s="278"/>
      <c r="AD32" s="1085"/>
      <c r="AE32" s="280">
        <f t="shared" si="7"/>
        <v>7957.510000000002</v>
      </c>
      <c r="AF32" s="281">
        <f t="shared" si="8"/>
        <v>332</v>
      </c>
    </row>
    <row r="33" spans="1:32" x14ac:dyDescent="0.25">
      <c r="A33" s="2"/>
      <c r="B33" s="84"/>
      <c r="C33" s="15">
        <v>4</v>
      </c>
      <c r="D33" s="813">
        <v>99.52</v>
      </c>
      <c r="E33" s="810">
        <v>44501</v>
      </c>
      <c r="F33" s="705">
        <f t="shared" si="10"/>
        <v>99.52</v>
      </c>
      <c r="G33" s="687" t="s">
        <v>141</v>
      </c>
      <c r="H33" s="863">
        <v>64</v>
      </c>
      <c r="I33" s="280">
        <f t="shared" si="3"/>
        <v>8354.2199999999975</v>
      </c>
      <c r="J33" s="281">
        <f t="shared" si="4"/>
        <v>354</v>
      </c>
      <c r="L33" s="2"/>
      <c r="M33" s="84"/>
      <c r="N33" s="15"/>
      <c r="O33" s="196"/>
      <c r="P33" s="341"/>
      <c r="Q33" s="70">
        <f t="shared" si="11"/>
        <v>0</v>
      </c>
      <c r="R33" s="278"/>
      <c r="S33" s="262"/>
      <c r="T33" s="280">
        <f t="shared" si="5"/>
        <v>0</v>
      </c>
      <c r="U33" s="281">
        <f t="shared" si="6"/>
        <v>0</v>
      </c>
      <c r="W33" s="2"/>
      <c r="X33" s="84"/>
      <c r="Y33" s="15"/>
      <c r="Z33" s="196"/>
      <c r="AA33" s="341"/>
      <c r="AB33" s="70">
        <f t="shared" si="12"/>
        <v>0</v>
      </c>
      <c r="AC33" s="278"/>
      <c r="AD33" s="1085"/>
      <c r="AE33" s="280">
        <f t="shared" si="7"/>
        <v>7957.510000000002</v>
      </c>
      <c r="AF33" s="281">
        <f t="shared" si="8"/>
        <v>332</v>
      </c>
    </row>
    <row r="34" spans="1:32" x14ac:dyDescent="0.25">
      <c r="A34" s="2"/>
      <c r="B34" s="84"/>
      <c r="C34" s="15">
        <v>4</v>
      </c>
      <c r="D34" s="813">
        <v>106.22</v>
      </c>
      <c r="E34" s="810">
        <v>44501</v>
      </c>
      <c r="F34" s="705">
        <f t="shared" si="10"/>
        <v>106.22</v>
      </c>
      <c r="G34" s="706" t="s">
        <v>143</v>
      </c>
      <c r="H34" s="862">
        <v>64</v>
      </c>
      <c r="I34" s="235">
        <f t="shared" si="3"/>
        <v>8247.9999999999982</v>
      </c>
      <c r="J34" s="131">
        <f t="shared" si="4"/>
        <v>350</v>
      </c>
      <c r="L34" s="2"/>
      <c r="M34" s="84"/>
      <c r="N34" s="15"/>
      <c r="O34" s="196"/>
      <c r="P34" s="341"/>
      <c r="Q34" s="70">
        <f t="shared" si="11"/>
        <v>0</v>
      </c>
      <c r="R34" s="71"/>
      <c r="S34" s="132"/>
      <c r="T34" s="235">
        <f t="shared" si="5"/>
        <v>0</v>
      </c>
      <c r="U34" s="131">
        <f t="shared" si="6"/>
        <v>0</v>
      </c>
      <c r="W34" s="2"/>
      <c r="X34" s="84"/>
      <c r="Y34" s="15"/>
      <c r="Z34" s="196"/>
      <c r="AA34" s="341"/>
      <c r="AB34" s="70">
        <f t="shared" si="12"/>
        <v>0</v>
      </c>
      <c r="AC34" s="71"/>
      <c r="AD34" s="400"/>
      <c r="AE34" s="235">
        <f t="shared" si="7"/>
        <v>7957.510000000002</v>
      </c>
      <c r="AF34" s="131">
        <f t="shared" si="8"/>
        <v>332</v>
      </c>
    </row>
    <row r="35" spans="1:32" x14ac:dyDescent="0.25">
      <c r="A35" s="2"/>
      <c r="B35" s="84"/>
      <c r="C35" s="15">
        <v>2</v>
      </c>
      <c r="D35" s="813">
        <v>51.43</v>
      </c>
      <c r="E35" s="810">
        <v>44501</v>
      </c>
      <c r="F35" s="705">
        <f t="shared" si="10"/>
        <v>51.43</v>
      </c>
      <c r="G35" s="706" t="s">
        <v>143</v>
      </c>
      <c r="H35" s="862">
        <v>64</v>
      </c>
      <c r="I35" s="235">
        <f t="shared" si="3"/>
        <v>8196.5699999999979</v>
      </c>
      <c r="J35" s="131">
        <f t="shared" si="4"/>
        <v>348</v>
      </c>
      <c r="L35" s="2"/>
      <c r="M35" s="84"/>
      <c r="N35" s="15"/>
      <c r="O35" s="196"/>
      <c r="P35" s="341"/>
      <c r="Q35" s="70">
        <f t="shared" si="11"/>
        <v>0</v>
      </c>
      <c r="R35" s="71"/>
      <c r="S35" s="132"/>
      <c r="T35" s="235">
        <f t="shared" si="5"/>
        <v>0</v>
      </c>
      <c r="U35" s="131">
        <f t="shared" si="6"/>
        <v>0</v>
      </c>
      <c r="W35" s="2"/>
      <c r="X35" s="84"/>
      <c r="Y35" s="15"/>
      <c r="Z35" s="196"/>
      <c r="AA35" s="341"/>
      <c r="AB35" s="70">
        <f t="shared" si="12"/>
        <v>0</v>
      </c>
      <c r="AC35" s="71"/>
      <c r="AD35" s="400"/>
      <c r="AE35" s="235">
        <f t="shared" si="7"/>
        <v>7957.510000000002</v>
      </c>
      <c r="AF35" s="131">
        <f t="shared" si="8"/>
        <v>332</v>
      </c>
    </row>
    <row r="36" spans="1:32" x14ac:dyDescent="0.25">
      <c r="A36" s="2"/>
      <c r="B36" s="84"/>
      <c r="C36" s="15">
        <v>2</v>
      </c>
      <c r="D36" s="813">
        <v>39.68</v>
      </c>
      <c r="E36" s="811">
        <v>44501</v>
      </c>
      <c r="F36" s="705">
        <f t="shared" si="10"/>
        <v>39.68</v>
      </c>
      <c r="G36" s="706" t="s">
        <v>144</v>
      </c>
      <c r="H36" s="862">
        <v>64</v>
      </c>
      <c r="I36" s="235">
        <f t="shared" si="3"/>
        <v>8156.8899999999976</v>
      </c>
      <c r="J36" s="131">
        <f t="shared" si="4"/>
        <v>346</v>
      </c>
      <c r="L36" s="2"/>
      <c r="M36" s="84"/>
      <c r="N36" s="15"/>
      <c r="O36" s="196"/>
      <c r="P36" s="342"/>
      <c r="Q36" s="70">
        <f t="shared" si="11"/>
        <v>0</v>
      </c>
      <c r="R36" s="71"/>
      <c r="S36" s="132"/>
      <c r="T36" s="235">
        <f t="shared" si="5"/>
        <v>0</v>
      </c>
      <c r="U36" s="131">
        <f t="shared" si="6"/>
        <v>0</v>
      </c>
      <c r="W36" s="2"/>
      <c r="X36" s="84"/>
      <c r="Y36" s="15"/>
      <c r="Z36" s="196"/>
      <c r="AA36" s="342"/>
      <c r="AB36" s="70">
        <f t="shared" si="12"/>
        <v>0</v>
      </c>
      <c r="AC36" s="71"/>
      <c r="AD36" s="400"/>
      <c r="AE36" s="235">
        <f t="shared" si="7"/>
        <v>7957.510000000002</v>
      </c>
      <c r="AF36" s="131">
        <f t="shared" si="8"/>
        <v>332</v>
      </c>
    </row>
    <row r="37" spans="1:32" x14ac:dyDescent="0.25">
      <c r="A37" s="2"/>
      <c r="B37" s="84"/>
      <c r="C37" s="15">
        <v>3</v>
      </c>
      <c r="D37" s="813">
        <v>62.83</v>
      </c>
      <c r="E37" s="811">
        <v>44503</v>
      </c>
      <c r="F37" s="705">
        <f t="shared" si="10"/>
        <v>62.83</v>
      </c>
      <c r="G37" s="706" t="s">
        <v>148</v>
      </c>
      <c r="H37" s="862">
        <v>64</v>
      </c>
      <c r="I37" s="235">
        <f t="shared" si="3"/>
        <v>8094.0599999999977</v>
      </c>
      <c r="J37" s="131">
        <f t="shared" si="4"/>
        <v>343</v>
      </c>
      <c r="L37" s="2"/>
      <c r="M37" s="84"/>
      <c r="N37" s="15"/>
      <c r="O37" s="196"/>
      <c r="P37" s="342"/>
      <c r="Q37" s="70">
        <f t="shared" si="11"/>
        <v>0</v>
      </c>
      <c r="R37" s="71"/>
      <c r="S37" s="132"/>
      <c r="T37" s="235">
        <f t="shared" si="5"/>
        <v>0</v>
      </c>
      <c r="U37" s="131">
        <f t="shared" si="6"/>
        <v>0</v>
      </c>
      <c r="W37" s="2"/>
      <c r="X37" s="84"/>
      <c r="Y37" s="15"/>
      <c r="Z37" s="196"/>
      <c r="AA37" s="342"/>
      <c r="AB37" s="70">
        <f t="shared" si="12"/>
        <v>0</v>
      </c>
      <c r="AC37" s="71"/>
      <c r="AD37" s="400"/>
      <c r="AE37" s="235">
        <f t="shared" si="7"/>
        <v>7957.510000000002</v>
      </c>
      <c r="AF37" s="131">
        <f t="shared" si="8"/>
        <v>332</v>
      </c>
    </row>
    <row r="38" spans="1:32" x14ac:dyDescent="0.25">
      <c r="A38" s="2"/>
      <c r="B38" s="84"/>
      <c r="C38" s="15">
        <v>5</v>
      </c>
      <c r="D38" s="813">
        <v>122.57</v>
      </c>
      <c r="E38" s="811">
        <v>44505</v>
      </c>
      <c r="F38" s="705">
        <f t="shared" si="10"/>
        <v>122.57</v>
      </c>
      <c r="G38" s="706" t="s">
        <v>151</v>
      </c>
      <c r="H38" s="862">
        <v>64</v>
      </c>
      <c r="I38" s="235">
        <f t="shared" si="3"/>
        <v>7971.489999999998</v>
      </c>
      <c r="J38" s="131">
        <f t="shared" si="4"/>
        <v>338</v>
      </c>
      <c r="L38" s="2"/>
      <c r="M38" s="84"/>
      <c r="N38" s="15"/>
      <c r="O38" s="196"/>
      <c r="P38" s="342"/>
      <c r="Q38" s="70">
        <f t="shared" si="11"/>
        <v>0</v>
      </c>
      <c r="R38" s="71"/>
      <c r="S38" s="132"/>
      <c r="T38" s="235">
        <f t="shared" si="5"/>
        <v>0</v>
      </c>
      <c r="U38" s="131">
        <f t="shared" si="6"/>
        <v>0</v>
      </c>
      <c r="W38" s="2"/>
      <c r="X38" s="84"/>
      <c r="Y38" s="15"/>
      <c r="Z38" s="196"/>
      <c r="AA38" s="342"/>
      <c r="AB38" s="70">
        <f t="shared" si="12"/>
        <v>0</v>
      </c>
      <c r="AC38" s="71"/>
      <c r="AD38" s="400"/>
      <c r="AE38" s="235">
        <f t="shared" si="7"/>
        <v>7957.510000000002</v>
      </c>
      <c r="AF38" s="131">
        <f t="shared" si="8"/>
        <v>332</v>
      </c>
    </row>
    <row r="39" spans="1:32" x14ac:dyDescent="0.25">
      <c r="A39" s="2"/>
      <c r="B39" s="84"/>
      <c r="C39" s="15">
        <v>21</v>
      </c>
      <c r="D39" s="813">
        <v>487.32</v>
      </c>
      <c r="E39" s="811">
        <v>44506</v>
      </c>
      <c r="F39" s="705">
        <f t="shared" si="10"/>
        <v>487.32</v>
      </c>
      <c r="G39" s="706" t="s">
        <v>154</v>
      </c>
      <c r="H39" s="862">
        <v>64</v>
      </c>
      <c r="I39" s="235">
        <f t="shared" si="3"/>
        <v>7484.1699999999983</v>
      </c>
      <c r="J39" s="131">
        <f t="shared" si="4"/>
        <v>317</v>
      </c>
      <c r="L39" s="2"/>
      <c r="M39" s="84"/>
      <c r="N39" s="15"/>
      <c r="O39" s="196"/>
      <c r="P39" s="342"/>
      <c r="Q39" s="70">
        <f t="shared" si="11"/>
        <v>0</v>
      </c>
      <c r="R39" s="71"/>
      <c r="S39" s="132"/>
      <c r="T39" s="235">
        <f t="shared" si="5"/>
        <v>0</v>
      </c>
      <c r="U39" s="131">
        <f t="shared" si="6"/>
        <v>0</v>
      </c>
      <c r="W39" s="2"/>
      <c r="X39" s="84"/>
      <c r="Y39" s="15"/>
      <c r="Z39" s="196"/>
      <c r="AA39" s="342"/>
      <c r="AB39" s="70">
        <f t="shared" si="12"/>
        <v>0</v>
      </c>
      <c r="AC39" s="71"/>
      <c r="AD39" s="400"/>
      <c r="AE39" s="235">
        <f t="shared" si="7"/>
        <v>7957.510000000002</v>
      </c>
      <c r="AF39" s="131">
        <f t="shared" si="8"/>
        <v>332</v>
      </c>
    </row>
    <row r="40" spans="1:32" x14ac:dyDescent="0.25">
      <c r="A40" s="2"/>
      <c r="B40" s="84"/>
      <c r="C40" s="15">
        <v>18</v>
      </c>
      <c r="D40" s="913">
        <v>461.89</v>
      </c>
      <c r="E40" s="344">
        <v>44511</v>
      </c>
      <c r="F40" s="240">
        <f t="shared" si="10"/>
        <v>461.89</v>
      </c>
      <c r="G40" s="183" t="s">
        <v>175</v>
      </c>
      <c r="H40" s="957">
        <v>64</v>
      </c>
      <c r="I40" s="235">
        <f t="shared" si="3"/>
        <v>7022.2799999999979</v>
      </c>
      <c r="J40" s="131">
        <f t="shared" si="4"/>
        <v>299</v>
      </c>
      <c r="L40" s="2"/>
      <c r="M40" s="84"/>
      <c r="N40" s="15"/>
      <c r="O40" s="196">
        <f t="shared" ref="O40:O96" si="13">N40*M40</f>
        <v>0</v>
      </c>
      <c r="P40" s="342"/>
      <c r="Q40" s="70">
        <f t="shared" si="11"/>
        <v>0</v>
      </c>
      <c r="R40" s="71"/>
      <c r="S40" s="132"/>
      <c r="T40" s="235">
        <f t="shared" si="5"/>
        <v>0</v>
      </c>
      <c r="U40" s="131">
        <f t="shared" si="6"/>
        <v>0</v>
      </c>
      <c r="W40" s="2"/>
      <c r="X40" s="84"/>
      <c r="Y40" s="15"/>
      <c r="Z40" s="196">
        <f t="shared" ref="Z40:Z42" si="14">Y40*X40</f>
        <v>0</v>
      </c>
      <c r="AA40" s="342"/>
      <c r="AB40" s="70">
        <f t="shared" si="12"/>
        <v>0</v>
      </c>
      <c r="AC40" s="71"/>
      <c r="AD40" s="132"/>
      <c r="AE40" s="235">
        <f t="shared" si="7"/>
        <v>7957.510000000002</v>
      </c>
      <c r="AF40" s="131">
        <f t="shared" si="8"/>
        <v>332</v>
      </c>
    </row>
    <row r="41" spans="1:32" x14ac:dyDescent="0.25">
      <c r="A41" s="2"/>
      <c r="B41" s="84"/>
      <c r="C41" s="15">
        <v>40</v>
      </c>
      <c r="D41" s="913">
        <v>1001.41</v>
      </c>
      <c r="E41" s="344">
        <v>44515</v>
      </c>
      <c r="F41" s="240">
        <f t="shared" si="10"/>
        <v>1001.41</v>
      </c>
      <c r="G41" s="183" t="s">
        <v>179</v>
      </c>
      <c r="H41" s="121">
        <v>64</v>
      </c>
      <c r="I41" s="235">
        <f t="shared" si="3"/>
        <v>6020.8699999999981</v>
      </c>
      <c r="J41" s="131">
        <f t="shared" si="4"/>
        <v>259</v>
      </c>
      <c r="L41" s="2"/>
      <c r="M41" s="84"/>
      <c r="N41" s="15"/>
      <c r="O41" s="196">
        <f t="shared" si="13"/>
        <v>0</v>
      </c>
      <c r="P41" s="342"/>
      <c r="Q41" s="70">
        <f t="shared" si="11"/>
        <v>0</v>
      </c>
      <c r="R41" s="71"/>
      <c r="S41" s="72"/>
      <c r="T41" s="235">
        <f t="shared" si="5"/>
        <v>0</v>
      </c>
      <c r="U41" s="131">
        <f t="shared" si="6"/>
        <v>0</v>
      </c>
      <c r="W41" s="2"/>
      <c r="X41" s="84"/>
      <c r="Y41" s="15"/>
      <c r="Z41" s="196">
        <f t="shared" si="14"/>
        <v>0</v>
      </c>
      <c r="AA41" s="342"/>
      <c r="AB41" s="70">
        <f t="shared" si="12"/>
        <v>0</v>
      </c>
      <c r="AC41" s="71"/>
      <c r="AD41" s="72"/>
      <c r="AE41" s="235">
        <f t="shared" si="7"/>
        <v>7957.510000000002</v>
      </c>
      <c r="AF41" s="131">
        <f t="shared" si="8"/>
        <v>332</v>
      </c>
    </row>
    <row r="42" spans="1:32" x14ac:dyDescent="0.25">
      <c r="A42" s="2"/>
      <c r="B42" s="84"/>
      <c r="C42" s="15">
        <v>2</v>
      </c>
      <c r="D42" s="913">
        <v>57.07</v>
      </c>
      <c r="E42" s="344">
        <v>44516</v>
      </c>
      <c r="F42" s="240">
        <f t="shared" si="10"/>
        <v>57.07</v>
      </c>
      <c r="G42" s="183" t="s">
        <v>186</v>
      </c>
      <c r="H42" s="121">
        <v>64</v>
      </c>
      <c r="I42" s="235">
        <f t="shared" si="3"/>
        <v>5963.7999999999984</v>
      </c>
      <c r="J42" s="131">
        <f t="shared" si="4"/>
        <v>257</v>
      </c>
      <c r="L42" s="2"/>
      <c r="M42" s="84"/>
      <c r="N42" s="15"/>
      <c r="O42" s="196">
        <f t="shared" si="13"/>
        <v>0</v>
      </c>
      <c r="P42" s="342"/>
      <c r="Q42" s="70">
        <f t="shared" si="11"/>
        <v>0</v>
      </c>
      <c r="R42" s="71"/>
      <c r="S42" s="72"/>
      <c r="T42" s="235">
        <f>T41-Q42</f>
        <v>0</v>
      </c>
      <c r="U42" s="131">
        <f t="shared" si="6"/>
        <v>0</v>
      </c>
      <c r="W42" s="2"/>
      <c r="X42" s="84"/>
      <c r="Y42" s="15"/>
      <c r="Z42" s="196">
        <f t="shared" si="14"/>
        <v>0</v>
      </c>
      <c r="AA42" s="342"/>
      <c r="AB42" s="70">
        <f t="shared" si="12"/>
        <v>0</v>
      </c>
      <c r="AC42" s="71"/>
      <c r="AD42" s="72"/>
      <c r="AE42" s="235">
        <f>AE41-AB42</f>
        <v>7957.510000000002</v>
      </c>
      <c r="AF42" s="131">
        <f t="shared" si="8"/>
        <v>332</v>
      </c>
    </row>
    <row r="43" spans="1:32" x14ac:dyDescent="0.25">
      <c r="A43" s="2"/>
      <c r="B43" s="84"/>
      <c r="C43" s="15">
        <v>5</v>
      </c>
      <c r="D43" s="913">
        <v>135.05000000000001</v>
      </c>
      <c r="E43" s="344">
        <v>44516</v>
      </c>
      <c r="F43" s="240">
        <f t="shared" si="10"/>
        <v>135.05000000000001</v>
      </c>
      <c r="G43" s="183" t="s">
        <v>188</v>
      </c>
      <c r="H43" s="121">
        <v>64</v>
      </c>
      <c r="I43" s="235">
        <f t="shared" si="3"/>
        <v>5828.7499999999982</v>
      </c>
      <c r="J43" s="131">
        <f t="shared" si="4"/>
        <v>252</v>
      </c>
      <c r="L43" s="2"/>
      <c r="M43" s="84"/>
      <c r="N43" s="15"/>
      <c r="O43" s="196"/>
      <c r="P43" s="342"/>
      <c r="Q43" s="70"/>
      <c r="R43" s="71"/>
      <c r="S43" s="72"/>
      <c r="T43" s="235">
        <f t="shared" ref="T43:T96" si="15">T42-Q43</f>
        <v>0</v>
      </c>
      <c r="U43" s="131">
        <f t="shared" si="6"/>
        <v>0</v>
      </c>
      <c r="W43" s="2"/>
      <c r="X43" s="84"/>
      <c r="Y43" s="15"/>
      <c r="Z43" s="196"/>
      <c r="AA43" s="342"/>
      <c r="AB43" s="70"/>
      <c r="AC43" s="71"/>
      <c r="AD43" s="72"/>
      <c r="AE43" s="235">
        <f t="shared" ref="AE43:AE59" si="16">AE42-AB43</f>
        <v>7957.510000000002</v>
      </c>
      <c r="AF43" s="131">
        <f t="shared" si="8"/>
        <v>332</v>
      </c>
    </row>
    <row r="44" spans="1:32" x14ac:dyDescent="0.25">
      <c r="A44" s="2"/>
      <c r="B44" s="84"/>
      <c r="C44" s="15">
        <v>2</v>
      </c>
      <c r="D44" s="913">
        <v>36.01</v>
      </c>
      <c r="E44" s="344">
        <v>44518</v>
      </c>
      <c r="F44" s="240">
        <f t="shared" si="10"/>
        <v>36.01</v>
      </c>
      <c r="G44" s="183" t="s">
        <v>194</v>
      </c>
      <c r="H44" s="121">
        <v>64</v>
      </c>
      <c r="I44" s="235">
        <f t="shared" si="3"/>
        <v>5792.739999999998</v>
      </c>
      <c r="J44" s="131">
        <f t="shared" si="4"/>
        <v>250</v>
      </c>
      <c r="L44" s="2"/>
      <c r="M44" s="84"/>
      <c r="N44" s="15"/>
      <c r="O44" s="196"/>
      <c r="P44" s="342"/>
      <c r="Q44" s="70"/>
      <c r="R44" s="71"/>
      <c r="S44" s="72"/>
      <c r="T44" s="235">
        <f t="shared" si="15"/>
        <v>0</v>
      </c>
      <c r="U44" s="131">
        <f t="shared" si="6"/>
        <v>0</v>
      </c>
      <c r="W44" s="2"/>
      <c r="X44" s="84"/>
      <c r="Y44" s="15"/>
      <c r="Z44" s="196"/>
      <c r="AA44" s="342"/>
      <c r="AB44" s="70"/>
      <c r="AC44" s="71"/>
      <c r="AD44" s="72"/>
      <c r="AE44" s="235">
        <f t="shared" si="16"/>
        <v>7957.510000000002</v>
      </c>
      <c r="AF44" s="131">
        <f t="shared" si="8"/>
        <v>332</v>
      </c>
    </row>
    <row r="45" spans="1:32" x14ac:dyDescent="0.25">
      <c r="A45" s="2"/>
      <c r="B45" s="84"/>
      <c r="C45" s="15">
        <v>4</v>
      </c>
      <c r="D45" s="913">
        <v>113.18</v>
      </c>
      <c r="E45" s="344">
        <v>44519</v>
      </c>
      <c r="F45" s="240">
        <f t="shared" si="10"/>
        <v>113.18</v>
      </c>
      <c r="G45" s="183" t="s">
        <v>196</v>
      </c>
      <c r="H45" s="121">
        <v>64</v>
      </c>
      <c r="I45" s="235">
        <f t="shared" si="3"/>
        <v>5679.5599999999977</v>
      </c>
      <c r="J45" s="131">
        <f t="shared" si="4"/>
        <v>246</v>
      </c>
      <c r="L45" s="2"/>
      <c r="M45" s="84"/>
      <c r="N45" s="15"/>
      <c r="O45" s="196"/>
      <c r="P45" s="342"/>
      <c r="Q45" s="70"/>
      <c r="R45" s="71"/>
      <c r="S45" s="72"/>
      <c r="T45" s="235">
        <f t="shared" si="15"/>
        <v>0</v>
      </c>
      <c r="U45" s="131">
        <f t="shared" si="6"/>
        <v>0</v>
      </c>
      <c r="W45" s="2"/>
      <c r="X45" s="84"/>
      <c r="Y45" s="15"/>
      <c r="Z45" s="196"/>
      <c r="AA45" s="342"/>
      <c r="AB45" s="70"/>
      <c r="AC45" s="71"/>
      <c r="AD45" s="72"/>
      <c r="AE45" s="235">
        <f t="shared" si="16"/>
        <v>7957.510000000002</v>
      </c>
      <c r="AF45" s="131">
        <f t="shared" si="8"/>
        <v>332</v>
      </c>
    </row>
    <row r="46" spans="1:32" x14ac:dyDescent="0.25">
      <c r="A46" s="2"/>
      <c r="B46" s="84"/>
      <c r="C46" s="15">
        <v>7</v>
      </c>
      <c r="D46" s="913">
        <v>115.1</v>
      </c>
      <c r="E46" s="344">
        <v>44522</v>
      </c>
      <c r="F46" s="240">
        <f t="shared" si="10"/>
        <v>115.1</v>
      </c>
      <c r="G46" s="183" t="s">
        <v>203</v>
      </c>
      <c r="H46" s="121">
        <v>64</v>
      </c>
      <c r="I46" s="235">
        <f t="shared" si="3"/>
        <v>5564.4599999999973</v>
      </c>
      <c r="J46" s="131">
        <f t="shared" si="4"/>
        <v>239</v>
      </c>
      <c r="L46" s="2"/>
      <c r="M46" s="84"/>
      <c r="N46" s="15"/>
      <c r="O46" s="196"/>
      <c r="P46" s="342"/>
      <c r="Q46" s="70"/>
      <c r="R46" s="71"/>
      <c r="S46" s="72"/>
      <c r="T46" s="235">
        <f t="shared" si="15"/>
        <v>0</v>
      </c>
      <c r="U46" s="131">
        <f t="shared" si="6"/>
        <v>0</v>
      </c>
      <c r="W46" s="2"/>
      <c r="X46" s="84"/>
      <c r="Y46" s="15"/>
      <c r="Z46" s="196"/>
      <c r="AA46" s="342"/>
      <c r="AB46" s="70"/>
      <c r="AC46" s="71"/>
      <c r="AD46" s="72"/>
      <c r="AE46" s="235">
        <f t="shared" si="16"/>
        <v>7957.510000000002</v>
      </c>
      <c r="AF46" s="131">
        <f t="shared" si="8"/>
        <v>332</v>
      </c>
    </row>
    <row r="47" spans="1:32" x14ac:dyDescent="0.25">
      <c r="A47" s="2"/>
      <c r="B47" s="84"/>
      <c r="C47" s="276">
        <v>1</v>
      </c>
      <c r="D47" s="573">
        <v>16.45</v>
      </c>
      <c r="E47" s="958">
        <v>44522</v>
      </c>
      <c r="F47" s="455">
        <f t="shared" si="10"/>
        <v>16.45</v>
      </c>
      <c r="G47" s="447" t="s">
        <v>204</v>
      </c>
      <c r="H47" s="121">
        <v>64</v>
      </c>
      <c r="I47" s="235">
        <f t="shared" si="3"/>
        <v>5548.0099999999975</v>
      </c>
      <c r="J47" s="131">
        <f t="shared" si="4"/>
        <v>238</v>
      </c>
      <c r="L47" s="2"/>
      <c r="M47" s="84"/>
      <c r="N47" s="15"/>
      <c r="O47" s="196"/>
      <c r="P47" s="342"/>
      <c r="Q47" s="70"/>
      <c r="R47" s="71"/>
      <c r="S47" s="72"/>
      <c r="T47" s="235">
        <f t="shared" si="15"/>
        <v>0</v>
      </c>
      <c r="U47" s="131">
        <f t="shared" si="6"/>
        <v>0</v>
      </c>
      <c r="W47" s="2"/>
      <c r="X47" s="84"/>
      <c r="Y47" s="15"/>
      <c r="Z47" s="196"/>
      <c r="AA47" s="342"/>
      <c r="AB47" s="70"/>
      <c r="AC47" s="71"/>
      <c r="AD47" s="72"/>
      <c r="AE47" s="235">
        <f t="shared" si="16"/>
        <v>7957.510000000002</v>
      </c>
      <c r="AF47" s="131">
        <f t="shared" si="8"/>
        <v>332</v>
      </c>
    </row>
    <row r="48" spans="1:32" x14ac:dyDescent="0.25">
      <c r="A48" s="2"/>
      <c r="B48" s="84"/>
      <c r="C48" s="276">
        <v>3</v>
      </c>
      <c r="D48" s="573">
        <v>64.540000000000006</v>
      </c>
      <c r="E48" s="958">
        <v>44522</v>
      </c>
      <c r="F48" s="455">
        <f t="shared" si="10"/>
        <v>64.540000000000006</v>
      </c>
      <c r="G48" s="447" t="s">
        <v>206</v>
      </c>
      <c r="H48" s="121">
        <v>64</v>
      </c>
      <c r="I48" s="235">
        <f t="shared" si="3"/>
        <v>5483.4699999999975</v>
      </c>
      <c r="J48" s="131">
        <f t="shared" si="4"/>
        <v>235</v>
      </c>
      <c r="L48" s="2"/>
      <c r="M48" s="84"/>
      <c r="N48" s="15"/>
      <c r="O48" s="196"/>
      <c r="P48" s="342"/>
      <c r="Q48" s="70"/>
      <c r="R48" s="71"/>
      <c r="S48" s="72"/>
      <c r="T48" s="235">
        <f t="shared" si="15"/>
        <v>0</v>
      </c>
      <c r="U48" s="131">
        <f t="shared" si="6"/>
        <v>0</v>
      </c>
      <c r="W48" s="2"/>
      <c r="X48" s="84"/>
      <c r="Y48" s="15"/>
      <c r="Z48" s="196"/>
      <c r="AA48" s="342"/>
      <c r="AB48" s="70"/>
      <c r="AC48" s="71"/>
      <c r="AD48" s="72"/>
      <c r="AE48" s="235">
        <f t="shared" si="16"/>
        <v>7957.510000000002</v>
      </c>
      <c r="AF48" s="131">
        <f t="shared" si="8"/>
        <v>332</v>
      </c>
    </row>
    <row r="49" spans="1:32" x14ac:dyDescent="0.25">
      <c r="A49" s="2"/>
      <c r="B49" s="84"/>
      <c r="C49" s="15">
        <v>4</v>
      </c>
      <c r="D49" s="913">
        <v>77.78</v>
      </c>
      <c r="E49" s="344">
        <v>44522</v>
      </c>
      <c r="F49" s="240">
        <f t="shared" si="10"/>
        <v>77.78</v>
      </c>
      <c r="G49" s="183" t="s">
        <v>207</v>
      </c>
      <c r="H49" s="121">
        <v>64</v>
      </c>
      <c r="I49" s="235">
        <f t="shared" si="3"/>
        <v>5405.6899999999978</v>
      </c>
      <c r="J49" s="131">
        <f t="shared" si="4"/>
        <v>231</v>
      </c>
      <c r="L49" s="2"/>
      <c r="M49" s="84"/>
      <c r="N49" s="15"/>
      <c r="O49" s="196"/>
      <c r="P49" s="342"/>
      <c r="Q49" s="70"/>
      <c r="R49" s="71"/>
      <c r="S49" s="72"/>
      <c r="T49" s="235">
        <f t="shared" si="15"/>
        <v>0</v>
      </c>
      <c r="U49" s="131">
        <f t="shared" si="6"/>
        <v>0</v>
      </c>
      <c r="W49" s="2"/>
      <c r="X49" s="84"/>
      <c r="Y49" s="15"/>
      <c r="Z49" s="196"/>
      <c r="AA49" s="342"/>
      <c r="AB49" s="70"/>
      <c r="AC49" s="71"/>
      <c r="AD49" s="72"/>
      <c r="AE49" s="235">
        <f t="shared" si="16"/>
        <v>7957.510000000002</v>
      </c>
      <c r="AF49" s="131">
        <f t="shared" si="8"/>
        <v>332</v>
      </c>
    </row>
    <row r="50" spans="1:32" x14ac:dyDescent="0.25">
      <c r="A50" s="2"/>
      <c r="B50" s="84"/>
      <c r="C50" s="15">
        <v>6</v>
      </c>
      <c r="D50" s="913">
        <v>127.11</v>
      </c>
      <c r="E50" s="344">
        <v>44525</v>
      </c>
      <c r="F50" s="240">
        <f t="shared" si="10"/>
        <v>127.11</v>
      </c>
      <c r="G50" s="183" t="s">
        <v>218</v>
      </c>
      <c r="H50" s="121">
        <v>64</v>
      </c>
      <c r="I50" s="235">
        <f t="shared" si="3"/>
        <v>5278.5799999999981</v>
      </c>
      <c r="J50" s="131">
        <f t="shared" si="4"/>
        <v>225</v>
      </c>
      <c r="L50" s="2"/>
      <c r="M50" s="84"/>
      <c r="N50" s="15"/>
      <c r="O50" s="196"/>
      <c r="P50" s="342"/>
      <c r="Q50" s="70"/>
      <c r="R50" s="71"/>
      <c r="S50" s="72"/>
      <c r="T50" s="235">
        <f t="shared" si="15"/>
        <v>0</v>
      </c>
      <c r="U50" s="131">
        <f t="shared" si="6"/>
        <v>0</v>
      </c>
      <c r="W50" s="2"/>
      <c r="X50" s="84"/>
      <c r="Y50" s="15"/>
      <c r="Z50" s="196"/>
      <c r="AA50" s="342"/>
      <c r="AB50" s="70"/>
      <c r="AC50" s="71"/>
      <c r="AD50" s="72"/>
      <c r="AE50" s="235">
        <f t="shared" si="16"/>
        <v>7957.510000000002</v>
      </c>
      <c r="AF50" s="131">
        <f t="shared" si="8"/>
        <v>332</v>
      </c>
    </row>
    <row r="51" spans="1:32" ht="15.75" thickBot="1" x14ac:dyDescent="0.3">
      <c r="A51" s="2"/>
      <c r="B51" s="84"/>
      <c r="C51" s="15">
        <v>11</v>
      </c>
      <c r="D51" s="913">
        <v>305.42</v>
      </c>
      <c r="E51" s="344">
        <v>44527</v>
      </c>
      <c r="F51" s="240">
        <f t="shared" si="10"/>
        <v>305.42</v>
      </c>
      <c r="G51" s="183" t="s">
        <v>228</v>
      </c>
      <c r="H51" s="121">
        <v>64</v>
      </c>
      <c r="I51" s="235">
        <f t="shared" si="3"/>
        <v>4973.159999999998</v>
      </c>
      <c r="J51" s="131">
        <f t="shared" si="4"/>
        <v>214</v>
      </c>
      <c r="L51" s="2"/>
      <c r="M51" s="84"/>
      <c r="N51" s="15"/>
      <c r="O51" s="196"/>
      <c r="P51" s="342"/>
      <c r="Q51" s="70"/>
      <c r="R51" s="71"/>
      <c r="S51" s="72"/>
      <c r="T51" s="235">
        <f t="shared" si="15"/>
        <v>0</v>
      </c>
      <c r="U51" s="131">
        <f t="shared" si="6"/>
        <v>0</v>
      </c>
      <c r="W51" s="2"/>
      <c r="X51" s="84"/>
      <c r="Y51" s="15"/>
      <c r="Z51" s="196"/>
      <c r="AA51" s="342"/>
      <c r="AB51" s="70"/>
      <c r="AC51" s="71"/>
      <c r="AD51" s="72"/>
      <c r="AE51" s="235">
        <f t="shared" si="16"/>
        <v>7957.510000000002</v>
      </c>
      <c r="AF51" s="131">
        <f t="shared" si="8"/>
        <v>332</v>
      </c>
    </row>
    <row r="52" spans="1:32" x14ac:dyDescent="0.25">
      <c r="A52" s="2"/>
      <c r="B52" s="84"/>
      <c r="C52" s="15">
        <v>4</v>
      </c>
      <c r="D52" s="913">
        <v>114.6</v>
      </c>
      <c r="E52" s="344">
        <v>44529</v>
      </c>
      <c r="F52" s="240">
        <f t="shared" si="10"/>
        <v>114.6</v>
      </c>
      <c r="G52" s="959" t="s">
        <v>230</v>
      </c>
      <c r="H52" s="121">
        <v>64</v>
      </c>
      <c r="I52" s="235">
        <f t="shared" si="3"/>
        <v>4858.5599999999977</v>
      </c>
      <c r="J52" s="131">
        <f t="shared" si="4"/>
        <v>210</v>
      </c>
      <c r="L52" s="2"/>
      <c r="M52" s="84"/>
      <c r="N52" s="15"/>
      <c r="O52" s="196"/>
      <c r="P52" s="342"/>
      <c r="Q52" s="70"/>
      <c r="R52" s="71"/>
      <c r="S52" s="72"/>
      <c r="T52" s="235">
        <f t="shared" si="15"/>
        <v>0</v>
      </c>
      <c r="U52" s="131">
        <f t="shared" si="6"/>
        <v>0</v>
      </c>
      <c r="W52" s="2"/>
      <c r="X52" s="84"/>
      <c r="Y52" s="15"/>
      <c r="Z52" s="196"/>
      <c r="AA52" s="342"/>
      <c r="AB52" s="70"/>
      <c r="AC52" s="71"/>
      <c r="AD52" s="72"/>
      <c r="AE52" s="235">
        <f t="shared" si="16"/>
        <v>7957.510000000002</v>
      </c>
      <c r="AF52" s="131">
        <f t="shared" si="8"/>
        <v>332</v>
      </c>
    </row>
    <row r="53" spans="1:32" ht="15.75" thickBot="1" x14ac:dyDescent="0.3">
      <c r="A53" s="2"/>
      <c r="B53" s="84"/>
      <c r="C53" s="15">
        <v>7</v>
      </c>
      <c r="D53" s="913">
        <v>210.66</v>
      </c>
      <c r="E53" s="344">
        <v>44529</v>
      </c>
      <c r="F53" s="240">
        <f t="shared" si="10"/>
        <v>210.66</v>
      </c>
      <c r="G53" s="960" t="s">
        <v>230</v>
      </c>
      <c r="H53" s="121">
        <v>64</v>
      </c>
      <c r="I53" s="235">
        <f t="shared" si="3"/>
        <v>4647.8999999999978</v>
      </c>
      <c r="J53" s="131">
        <f t="shared" si="4"/>
        <v>203</v>
      </c>
      <c r="L53" s="2"/>
      <c r="M53" s="84"/>
      <c r="N53" s="15"/>
      <c r="O53" s="196"/>
      <c r="P53" s="342"/>
      <c r="Q53" s="70"/>
      <c r="R53" s="71"/>
      <c r="S53" s="72"/>
      <c r="T53" s="235">
        <f t="shared" si="15"/>
        <v>0</v>
      </c>
      <c r="U53" s="131">
        <f t="shared" si="6"/>
        <v>0</v>
      </c>
      <c r="W53" s="2"/>
      <c r="X53" s="84"/>
      <c r="Y53" s="15"/>
      <c r="Z53" s="196"/>
      <c r="AA53" s="342"/>
      <c r="AB53" s="70"/>
      <c r="AC53" s="71"/>
      <c r="AD53" s="72"/>
      <c r="AE53" s="235">
        <f t="shared" si="16"/>
        <v>7957.510000000002</v>
      </c>
      <c r="AF53" s="131">
        <f t="shared" si="8"/>
        <v>332</v>
      </c>
    </row>
    <row r="54" spans="1:32" x14ac:dyDescent="0.25">
      <c r="A54" s="2"/>
      <c r="B54" s="84"/>
      <c r="C54" s="15">
        <v>2</v>
      </c>
      <c r="D54" s="913">
        <v>50.19</v>
      </c>
      <c r="E54" s="344">
        <v>44529</v>
      </c>
      <c r="F54" s="240">
        <f t="shared" ref="F54:F95" si="17">D54</f>
        <v>50.19</v>
      </c>
      <c r="G54" s="183" t="s">
        <v>231</v>
      </c>
      <c r="H54" s="121">
        <v>64</v>
      </c>
      <c r="I54" s="235">
        <f t="shared" si="3"/>
        <v>4597.7099999999982</v>
      </c>
      <c r="J54" s="131">
        <f t="shared" si="4"/>
        <v>201</v>
      </c>
      <c r="L54" s="2"/>
      <c r="M54" s="84"/>
      <c r="N54" s="15"/>
      <c r="O54" s="196"/>
      <c r="P54" s="342"/>
      <c r="Q54" s="70"/>
      <c r="R54" s="71"/>
      <c r="S54" s="72"/>
      <c r="T54" s="235">
        <f t="shared" si="15"/>
        <v>0</v>
      </c>
      <c r="U54" s="131">
        <f t="shared" si="6"/>
        <v>0</v>
      </c>
      <c r="W54" s="2"/>
      <c r="X54" s="84"/>
      <c r="Y54" s="15"/>
      <c r="Z54" s="196"/>
      <c r="AA54" s="342"/>
      <c r="AB54" s="70"/>
      <c r="AC54" s="71"/>
      <c r="AD54" s="72"/>
      <c r="AE54" s="235">
        <f t="shared" si="16"/>
        <v>7957.510000000002</v>
      </c>
      <c r="AF54" s="131">
        <f t="shared" si="8"/>
        <v>332</v>
      </c>
    </row>
    <row r="55" spans="1:32" x14ac:dyDescent="0.25">
      <c r="A55" s="2"/>
      <c r="B55" s="84"/>
      <c r="C55" s="15">
        <v>6</v>
      </c>
      <c r="D55" s="913">
        <v>162.79</v>
      </c>
      <c r="E55" s="344">
        <v>44530</v>
      </c>
      <c r="F55" s="240">
        <f t="shared" si="17"/>
        <v>162.79</v>
      </c>
      <c r="G55" s="183" t="s">
        <v>234</v>
      </c>
      <c r="H55" s="121">
        <v>64</v>
      </c>
      <c r="I55" s="235">
        <f t="shared" si="3"/>
        <v>4434.9199999999983</v>
      </c>
      <c r="J55" s="131">
        <f t="shared" si="4"/>
        <v>195</v>
      </c>
      <c r="L55" s="2"/>
      <c r="M55" s="84"/>
      <c r="N55" s="15"/>
      <c r="O55" s="196"/>
      <c r="P55" s="342"/>
      <c r="Q55" s="70"/>
      <c r="R55" s="71"/>
      <c r="S55" s="72"/>
      <c r="T55" s="235">
        <f t="shared" si="15"/>
        <v>0</v>
      </c>
      <c r="U55" s="131">
        <f t="shared" si="6"/>
        <v>0</v>
      </c>
      <c r="W55" s="2"/>
      <c r="X55" s="84"/>
      <c r="Y55" s="15"/>
      <c r="Z55" s="196"/>
      <c r="AA55" s="342"/>
      <c r="AB55" s="70"/>
      <c r="AC55" s="71"/>
      <c r="AD55" s="72"/>
      <c r="AE55" s="235">
        <f t="shared" si="16"/>
        <v>7957.510000000002</v>
      </c>
      <c r="AF55" s="131">
        <f t="shared" si="8"/>
        <v>332</v>
      </c>
    </row>
    <row r="56" spans="1:32" x14ac:dyDescent="0.25">
      <c r="A56" s="2"/>
      <c r="B56" s="84"/>
      <c r="C56" s="15">
        <v>4</v>
      </c>
      <c r="D56" s="913">
        <v>110.9</v>
      </c>
      <c r="E56" s="344">
        <v>44531</v>
      </c>
      <c r="F56" s="240">
        <f t="shared" si="17"/>
        <v>110.9</v>
      </c>
      <c r="G56" s="183" t="s">
        <v>237</v>
      </c>
      <c r="H56" s="121">
        <v>64</v>
      </c>
      <c r="I56" s="235">
        <f t="shared" si="3"/>
        <v>4324.0199999999986</v>
      </c>
      <c r="J56" s="131">
        <f t="shared" si="4"/>
        <v>191</v>
      </c>
      <c r="L56" s="2"/>
      <c r="M56" s="84"/>
      <c r="N56" s="15"/>
      <c r="O56" s="196"/>
      <c r="P56" s="342"/>
      <c r="Q56" s="70"/>
      <c r="R56" s="71"/>
      <c r="S56" s="72"/>
      <c r="T56" s="235">
        <f t="shared" si="15"/>
        <v>0</v>
      </c>
      <c r="U56" s="131">
        <f t="shared" si="6"/>
        <v>0</v>
      </c>
      <c r="W56" s="2"/>
      <c r="X56" s="84"/>
      <c r="Y56" s="15"/>
      <c r="Z56" s="196"/>
      <c r="AA56" s="342"/>
      <c r="AB56" s="70"/>
      <c r="AC56" s="71"/>
      <c r="AD56" s="72"/>
      <c r="AE56" s="235">
        <f t="shared" si="16"/>
        <v>7957.510000000002</v>
      </c>
      <c r="AF56" s="131">
        <f t="shared" si="8"/>
        <v>332</v>
      </c>
    </row>
    <row r="57" spans="1:32" x14ac:dyDescent="0.25">
      <c r="A57" s="2"/>
      <c r="B57" s="84"/>
      <c r="C57" s="15">
        <v>4</v>
      </c>
      <c r="D57" s="913">
        <v>94.29</v>
      </c>
      <c r="E57" s="344">
        <v>44533</v>
      </c>
      <c r="F57" s="240">
        <f t="shared" si="17"/>
        <v>94.29</v>
      </c>
      <c r="G57" s="183" t="s">
        <v>238</v>
      </c>
      <c r="H57" s="121">
        <v>64</v>
      </c>
      <c r="I57" s="235">
        <f t="shared" si="3"/>
        <v>4229.7299999999987</v>
      </c>
      <c r="J57" s="131">
        <f t="shared" si="4"/>
        <v>187</v>
      </c>
      <c r="L57" s="2"/>
      <c r="M57" s="84"/>
      <c r="N57" s="15"/>
      <c r="O57" s="196"/>
      <c r="P57" s="342"/>
      <c r="Q57" s="70"/>
      <c r="R57" s="71"/>
      <c r="S57" s="72"/>
      <c r="T57" s="235">
        <f t="shared" si="15"/>
        <v>0</v>
      </c>
      <c r="U57" s="131">
        <f t="shared" si="6"/>
        <v>0</v>
      </c>
      <c r="W57" s="2"/>
      <c r="X57" s="84"/>
      <c r="Y57" s="15"/>
      <c r="Z57" s="196"/>
      <c r="AA57" s="342"/>
      <c r="AB57" s="70"/>
      <c r="AC57" s="71"/>
      <c r="AD57" s="72"/>
      <c r="AE57" s="235">
        <f t="shared" si="16"/>
        <v>7957.510000000002</v>
      </c>
      <c r="AF57" s="131">
        <f t="shared" si="8"/>
        <v>332</v>
      </c>
    </row>
    <row r="58" spans="1:32" x14ac:dyDescent="0.25">
      <c r="A58" s="2"/>
      <c r="B58" s="84"/>
      <c r="C58" s="15">
        <v>9</v>
      </c>
      <c r="D58" s="913">
        <v>187.77</v>
      </c>
      <c r="E58" s="344">
        <v>44533</v>
      </c>
      <c r="F58" s="240">
        <f t="shared" si="17"/>
        <v>187.77</v>
      </c>
      <c r="G58" s="183" t="s">
        <v>243</v>
      </c>
      <c r="H58" s="121">
        <v>64</v>
      </c>
      <c r="I58" s="235">
        <f t="shared" si="3"/>
        <v>4041.9599999999987</v>
      </c>
      <c r="J58" s="131">
        <f t="shared" si="4"/>
        <v>178</v>
      </c>
      <c r="L58" s="2"/>
      <c r="M58" s="84"/>
      <c r="N58" s="15"/>
      <c r="O58" s="196"/>
      <c r="P58" s="342"/>
      <c r="Q58" s="70"/>
      <c r="R58" s="71"/>
      <c r="S58" s="72"/>
      <c r="T58" s="235">
        <f t="shared" si="15"/>
        <v>0</v>
      </c>
      <c r="U58" s="131">
        <f t="shared" si="6"/>
        <v>0</v>
      </c>
      <c r="W58" s="2"/>
      <c r="X58" s="84"/>
      <c r="Y58" s="15"/>
      <c r="Z58" s="196"/>
      <c r="AA58" s="342"/>
      <c r="AB58" s="70"/>
      <c r="AC58" s="71"/>
      <c r="AD58" s="72"/>
      <c r="AE58" s="235">
        <f t="shared" si="16"/>
        <v>7957.510000000002</v>
      </c>
      <c r="AF58" s="131">
        <f t="shared" si="8"/>
        <v>332</v>
      </c>
    </row>
    <row r="59" spans="1:32" ht="14.25" customHeight="1" x14ac:dyDescent="0.25">
      <c r="A59" s="2"/>
      <c r="B59" s="84"/>
      <c r="C59" s="15">
        <v>10</v>
      </c>
      <c r="D59" s="813">
        <v>274.69</v>
      </c>
      <c r="E59" s="811">
        <v>44537</v>
      </c>
      <c r="F59" s="705">
        <f t="shared" si="17"/>
        <v>274.69</v>
      </c>
      <c r="G59" s="706" t="s">
        <v>449</v>
      </c>
      <c r="H59" s="186">
        <v>68</v>
      </c>
      <c r="I59" s="235">
        <f t="shared" si="3"/>
        <v>3767.2699999999986</v>
      </c>
      <c r="J59" s="131">
        <f t="shared" si="4"/>
        <v>168</v>
      </c>
      <c r="L59" s="2"/>
      <c r="M59" s="84"/>
      <c r="N59" s="15"/>
      <c r="O59" s="196"/>
      <c r="P59" s="342"/>
      <c r="Q59" s="70"/>
      <c r="R59" s="71"/>
      <c r="S59" s="72"/>
      <c r="T59" s="235">
        <f t="shared" si="15"/>
        <v>0</v>
      </c>
      <c r="U59" s="131">
        <f t="shared" si="6"/>
        <v>0</v>
      </c>
      <c r="W59" s="2"/>
      <c r="X59" s="84"/>
      <c r="Y59" s="15"/>
      <c r="Z59" s="196"/>
      <c r="AA59" s="342"/>
      <c r="AB59" s="70"/>
      <c r="AC59" s="71"/>
      <c r="AD59" s="72"/>
      <c r="AE59" s="235">
        <f t="shared" si="16"/>
        <v>7957.510000000002</v>
      </c>
      <c r="AF59" s="131">
        <f t="shared" si="8"/>
        <v>332</v>
      </c>
    </row>
    <row r="60" spans="1:32" ht="14.25" customHeight="1" x14ac:dyDescent="0.25">
      <c r="A60" s="2"/>
      <c r="B60" s="84"/>
      <c r="C60" s="15">
        <v>32</v>
      </c>
      <c r="D60" s="813">
        <v>744.15</v>
      </c>
      <c r="E60" s="811">
        <v>44537</v>
      </c>
      <c r="F60" s="705">
        <f t="shared" si="17"/>
        <v>744.15</v>
      </c>
      <c r="G60" s="706" t="s">
        <v>466</v>
      </c>
      <c r="H60" s="186">
        <v>68</v>
      </c>
      <c r="I60" s="235">
        <f t="shared" si="3"/>
        <v>3023.1199999999985</v>
      </c>
      <c r="J60" s="131">
        <f t="shared" si="4"/>
        <v>136</v>
      </c>
      <c r="L60" s="2"/>
      <c r="M60" s="84"/>
      <c r="N60" s="15"/>
      <c r="O60" s="196"/>
      <c r="P60" s="342"/>
      <c r="Q60" s="70"/>
      <c r="R60" s="71"/>
      <c r="S60" s="72"/>
      <c r="T60" s="235"/>
      <c r="U60" s="131"/>
      <c r="W60" s="2"/>
      <c r="X60" s="84"/>
      <c r="Y60" s="15"/>
      <c r="Z60" s="196"/>
      <c r="AA60" s="342"/>
      <c r="AB60" s="70"/>
      <c r="AC60" s="71"/>
      <c r="AD60" s="72"/>
      <c r="AE60" s="235"/>
      <c r="AF60" s="131"/>
    </row>
    <row r="61" spans="1:32" ht="14.25" customHeight="1" x14ac:dyDescent="0.25">
      <c r="A61" s="2"/>
      <c r="B61" s="84"/>
      <c r="C61" s="15">
        <v>32</v>
      </c>
      <c r="D61" s="813">
        <v>822.39</v>
      </c>
      <c r="E61" s="811">
        <v>44537</v>
      </c>
      <c r="F61" s="705">
        <f t="shared" si="17"/>
        <v>822.39</v>
      </c>
      <c r="G61" s="706" t="s">
        <v>466</v>
      </c>
      <c r="H61" s="186">
        <v>68</v>
      </c>
      <c r="I61" s="235">
        <f t="shared" si="3"/>
        <v>2200.7299999999987</v>
      </c>
      <c r="J61" s="131">
        <f t="shared" si="4"/>
        <v>104</v>
      </c>
      <c r="L61" s="2"/>
      <c r="M61" s="84"/>
      <c r="N61" s="15"/>
      <c r="O61" s="196"/>
      <c r="P61" s="342"/>
      <c r="Q61" s="70"/>
      <c r="R61" s="71"/>
      <c r="S61" s="72"/>
      <c r="T61" s="235"/>
      <c r="U61" s="131"/>
      <c r="W61" s="2"/>
      <c r="X61" s="84"/>
      <c r="Y61" s="15"/>
      <c r="Z61" s="196"/>
      <c r="AA61" s="342"/>
      <c r="AB61" s="70"/>
      <c r="AC61" s="71"/>
      <c r="AD61" s="72"/>
      <c r="AE61" s="235"/>
      <c r="AF61" s="131"/>
    </row>
    <row r="62" spans="1:32" ht="14.25" customHeight="1" x14ac:dyDescent="0.25">
      <c r="A62" s="2"/>
      <c r="B62" s="84"/>
      <c r="C62" s="15">
        <v>32</v>
      </c>
      <c r="D62" s="813">
        <v>834.3</v>
      </c>
      <c r="E62" s="811">
        <v>44537</v>
      </c>
      <c r="F62" s="705">
        <f t="shared" si="17"/>
        <v>834.3</v>
      </c>
      <c r="G62" s="706" t="s">
        <v>467</v>
      </c>
      <c r="H62" s="186">
        <v>68</v>
      </c>
      <c r="I62" s="235">
        <f t="shared" si="3"/>
        <v>1366.4299999999987</v>
      </c>
      <c r="J62" s="131">
        <f t="shared" si="4"/>
        <v>72</v>
      </c>
      <c r="L62" s="2"/>
      <c r="M62" s="84"/>
      <c r="N62" s="15"/>
      <c r="O62" s="196"/>
      <c r="P62" s="342"/>
      <c r="Q62" s="70"/>
      <c r="R62" s="71"/>
      <c r="S62" s="72"/>
      <c r="T62" s="235"/>
      <c r="U62" s="131"/>
      <c r="W62" s="2"/>
      <c r="X62" s="84"/>
      <c r="Y62" s="15"/>
      <c r="Z62" s="196"/>
      <c r="AA62" s="342"/>
      <c r="AB62" s="70"/>
      <c r="AC62" s="71"/>
      <c r="AD62" s="72"/>
      <c r="AE62" s="235"/>
      <c r="AF62" s="131"/>
    </row>
    <row r="63" spans="1:32" ht="14.25" customHeight="1" x14ac:dyDescent="0.25">
      <c r="A63" s="2"/>
      <c r="B63" s="84"/>
      <c r="C63" s="15">
        <v>32</v>
      </c>
      <c r="D63" s="813">
        <v>835.09</v>
      </c>
      <c r="E63" s="811">
        <v>44537</v>
      </c>
      <c r="F63" s="705">
        <f t="shared" si="17"/>
        <v>835.09</v>
      </c>
      <c r="G63" s="706" t="s">
        <v>467</v>
      </c>
      <c r="H63" s="186">
        <v>68</v>
      </c>
      <c r="I63" s="235">
        <f t="shared" si="3"/>
        <v>531.33999999999867</v>
      </c>
      <c r="J63" s="131">
        <f t="shared" si="4"/>
        <v>40</v>
      </c>
      <c r="L63" s="2"/>
      <c r="M63" s="84"/>
      <c r="N63" s="15"/>
      <c r="O63" s="196"/>
      <c r="P63" s="342"/>
      <c r="Q63" s="70"/>
      <c r="R63" s="71"/>
      <c r="S63" s="72"/>
      <c r="T63" s="235"/>
      <c r="U63" s="131"/>
      <c r="W63" s="2"/>
      <c r="X63" s="84"/>
      <c r="Y63" s="15"/>
      <c r="Z63" s="196"/>
      <c r="AA63" s="342"/>
      <c r="AB63" s="70"/>
      <c r="AC63" s="71"/>
      <c r="AD63" s="72"/>
      <c r="AE63" s="235"/>
      <c r="AF63" s="131"/>
    </row>
    <row r="64" spans="1:32" ht="14.25" customHeight="1" x14ac:dyDescent="0.25">
      <c r="A64" s="2"/>
      <c r="B64" s="84"/>
      <c r="C64" s="15"/>
      <c r="D64" s="813"/>
      <c r="E64" s="811"/>
      <c r="F64" s="705">
        <f t="shared" si="17"/>
        <v>0</v>
      </c>
      <c r="G64" s="706"/>
      <c r="H64" s="186"/>
      <c r="I64" s="235">
        <f t="shared" si="3"/>
        <v>531.33999999999867</v>
      </c>
      <c r="J64" s="131">
        <f t="shared" si="4"/>
        <v>40</v>
      </c>
      <c r="L64" s="2"/>
      <c r="M64" s="84"/>
      <c r="N64" s="15"/>
      <c r="O64" s="196"/>
      <c r="P64" s="342"/>
      <c r="Q64" s="70"/>
      <c r="R64" s="71"/>
      <c r="S64" s="72"/>
      <c r="T64" s="235"/>
      <c r="U64" s="131"/>
      <c r="W64" s="2"/>
      <c r="X64" s="84"/>
      <c r="Y64" s="15"/>
      <c r="Z64" s="196"/>
      <c r="AA64" s="342"/>
      <c r="AB64" s="70"/>
      <c r="AC64" s="71"/>
      <c r="AD64" s="72"/>
      <c r="AE64" s="235"/>
      <c r="AF64" s="131"/>
    </row>
    <row r="65" spans="1:32" ht="14.25" customHeight="1" x14ac:dyDescent="0.25">
      <c r="A65" s="2"/>
      <c r="B65" s="84"/>
      <c r="C65" s="15"/>
      <c r="D65" s="813"/>
      <c r="E65" s="811"/>
      <c r="F65" s="705">
        <f t="shared" si="17"/>
        <v>0</v>
      </c>
      <c r="G65" s="706"/>
      <c r="H65" s="186"/>
      <c r="I65" s="235">
        <f t="shared" si="3"/>
        <v>531.33999999999867</v>
      </c>
      <c r="J65" s="131">
        <f t="shared" si="4"/>
        <v>40</v>
      </c>
      <c r="L65" s="2"/>
      <c r="M65" s="84"/>
      <c r="N65" s="15"/>
      <c r="O65" s="196"/>
      <c r="P65" s="342"/>
      <c r="Q65" s="70"/>
      <c r="R65" s="71"/>
      <c r="S65" s="72"/>
      <c r="T65" s="235"/>
      <c r="U65" s="131"/>
      <c r="W65" s="2"/>
      <c r="X65" s="84"/>
      <c r="Y65" s="15"/>
      <c r="Z65" s="196"/>
      <c r="AA65" s="342"/>
      <c r="AB65" s="70"/>
      <c r="AC65" s="71"/>
      <c r="AD65" s="72"/>
      <c r="AE65" s="235"/>
      <c r="AF65" s="131"/>
    </row>
    <row r="66" spans="1:32" ht="14.25" customHeight="1" x14ac:dyDescent="0.25">
      <c r="A66" s="2"/>
      <c r="B66" s="84"/>
      <c r="C66" s="15"/>
      <c r="D66" s="813"/>
      <c r="E66" s="811"/>
      <c r="F66" s="705">
        <f t="shared" si="17"/>
        <v>0</v>
      </c>
      <c r="G66" s="706"/>
      <c r="H66" s="186"/>
      <c r="I66" s="235">
        <f t="shared" si="3"/>
        <v>531.33999999999867</v>
      </c>
      <c r="J66" s="131">
        <f t="shared" si="4"/>
        <v>40</v>
      </c>
      <c r="L66" s="2"/>
      <c r="M66" s="84"/>
      <c r="N66" s="15"/>
      <c r="O66" s="196"/>
      <c r="P66" s="342"/>
      <c r="Q66" s="70"/>
      <c r="R66" s="71"/>
      <c r="S66" s="72"/>
      <c r="T66" s="235"/>
      <c r="U66" s="131"/>
      <c r="W66" s="2"/>
      <c r="X66" s="84"/>
      <c r="Y66" s="15"/>
      <c r="Z66" s="196"/>
      <c r="AA66" s="342"/>
      <c r="AB66" s="70"/>
      <c r="AC66" s="71"/>
      <c r="AD66" s="72"/>
      <c r="AE66" s="235"/>
      <c r="AF66" s="131"/>
    </row>
    <row r="67" spans="1:32" ht="14.25" customHeight="1" x14ac:dyDescent="0.25">
      <c r="A67" s="2"/>
      <c r="B67" s="84"/>
      <c r="C67" s="15"/>
      <c r="D67" s="813"/>
      <c r="E67" s="811"/>
      <c r="F67" s="705">
        <f t="shared" si="17"/>
        <v>0</v>
      </c>
      <c r="G67" s="706"/>
      <c r="H67" s="186"/>
      <c r="I67" s="235">
        <f t="shared" si="3"/>
        <v>531.33999999999867</v>
      </c>
      <c r="J67" s="131">
        <f t="shared" si="4"/>
        <v>40</v>
      </c>
      <c r="L67" s="2"/>
      <c r="M67" s="84"/>
      <c r="N67" s="15"/>
      <c r="O67" s="196"/>
      <c r="P67" s="342"/>
      <c r="Q67" s="70"/>
      <c r="R67" s="71"/>
      <c r="S67" s="72"/>
      <c r="T67" s="235"/>
      <c r="U67" s="131"/>
      <c r="W67" s="2"/>
      <c r="X67" s="84"/>
      <c r="Y67" s="15"/>
      <c r="Z67" s="196"/>
      <c r="AA67" s="342"/>
      <c r="AB67" s="70"/>
      <c r="AC67" s="71"/>
      <c r="AD67" s="72"/>
      <c r="AE67" s="235"/>
      <c r="AF67" s="131"/>
    </row>
    <row r="68" spans="1:32" ht="14.25" customHeight="1" x14ac:dyDescent="0.25">
      <c r="A68" s="2"/>
      <c r="B68" s="84"/>
      <c r="C68" s="15"/>
      <c r="D68" s="813"/>
      <c r="E68" s="811"/>
      <c r="F68" s="705">
        <f t="shared" si="17"/>
        <v>0</v>
      </c>
      <c r="G68" s="706"/>
      <c r="H68" s="186"/>
      <c r="I68" s="235">
        <f t="shared" si="3"/>
        <v>531.33999999999867</v>
      </c>
      <c r="J68" s="131">
        <f t="shared" si="4"/>
        <v>40</v>
      </c>
      <c r="L68" s="2"/>
      <c r="M68" s="84"/>
      <c r="N68" s="15"/>
      <c r="O68" s="196"/>
      <c r="P68" s="342"/>
      <c r="Q68" s="70"/>
      <c r="R68" s="71"/>
      <c r="S68" s="72"/>
      <c r="T68" s="235"/>
      <c r="U68" s="131"/>
      <c r="W68" s="2"/>
      <c r="X68" s="84"/>
      <c r="Y68" s="15"/>
      <c r="Z68" s="196"/>
      <c r="AA68" s="342"/>
      <c r="AB68" s="70"/>
      <c r="AC68" s="71"/>
      <c r="AD68" s="72"/>
      <c r="AE68" s="235"/>
      <c r="AF68" s="131"/>
    </row>
    <row r="69" spans="1:32" ht="14.25" customHeight="1" x14ac:dyDescent="0.25">
      <c r="A69" s="2"/>
      <c r="B69" s="84"/>
      <c r="C69" s="15">
        <v>40</v>
      </c>
      <c r="D69" s="813">
        <v>531.34</v>
      </c>
      <c r="E69" s="811"/>
      <c r="F69" s="705">
        <f t="shared" si="17"/>
        <v>531.34</v>
      </c>
      <c r="G69" s="1069"/>
      <c r="H69" s="1070"/>
      <c r="I69" s="1082">
        <f t="shared" si="3"/>
        <v>-1.3642420526593924E-12</v>
      </c>
      <c r="J69" s="1083">
        <f t="shared" si="4"/>
        <v>0</v>
      </c>
      <c r="L69" s="2"/>
      <c r="M69" s="84"/>
      <c r="N69" s="15"/>
      <c r="O69" s="196"/>
      <c r="P69" s="342"/>
      <c r="Q69" s="70"/>
      <c r="R69" s="71"/>
      <c r="S69" s="72"/>
      <c r="T69" s="235"/>
      <c r="U69" s="131"/>
      <c r="W69" s="2"/>
      <c r="X69" s="84"/>
      <c r="Y69" s="15"/>
      <c r="Z69" s="196"/>
      <c r="AA69" s="342"/>
      <c r="AB69" s="70"/>
      <c r="AC69" s="71"/>
      <c r="AD69" s="72"/>
      <c r="AE69" s="235"/>
      <c r="AF69" s="131"/>
    </row>
    <row r="70" spans="1:32" ht="14.25" customHeight="1" x14ac:dyDescent="0.25">
      <c r="A70" s="2"/>
      <c r="B70" s="84"/>
      <c r="C70" s="15"/>
      <c r="D70" s="813"/>
      <c r="E70" s="811"/>
      <c r="F70" s="705">
        <f t="shared" si="17"/>
        <v>0</v>
      </c>
      <c r="G70" s="1069"/>
      <c r="H70" s="1070"/>
      <c r="I70" s="1082">
        <f t="shared" si="3"/>
        <v>-1.3642420526593924E-12</v>
      </c>
      <c r="J70" s="1083">
        <f t="shared" si="4"/>
        <v>0</v>
      </c>
      <c r="L70" s="2"/>
      <c r="M70" s="84"/>
      <c r="N70" s="15"/>
      <c r="O70" s="196"/>
      <c r="P70" s="342"/>
      <c r="Q70" s="70"/>
      <c r="R70" s="71"/>
      <c r="S70" s="72"/>
      <c r="T70" s="235"/>
      <c r="U70" s="131"/>
      <c r="W70" s="2"/>
      <c r="X70" s="84"/>
      <c r="Y70" s="15"/>
      <c r="Z70" s="196"/>
      <c r="AA70" s="342"/>
      <c r="AB70" s="70"/>
      <c r="AC70" s="71"/>
      <c r="AD70" s="72"/>
      <c r="AE70" s="235"/>
      <c r="AF70" s="131"/>
    </row>
    <row r="71" spans="1:32" ht="14.25" customHeight="1" x14ac:dyDescent="0.25">
      <c r="A71" s="2"/>
      <c r="B71" s="84"/>
      <c r="C71" s="15"/>
      <c r="D71" s="813"/>
      <c r="E71" s="811"/>
      <c r="F71" s="705">
        <f t="shared" si="17"/>
        <v>0</v>
      </c>
      <c r="G71" s="1069"/>
      <c r="H71" s="1070"/>
      <c r="I71" s="1082">
        <f t="shared" si="3"/>
        <v>-1.3642420526593924E-12</v>
      </c>
      <c r="J71" s="1083">
        <f t="shared" si="4"/>
        <v>0</v>
      </c>
      <c r="L71" s="2"/>
      <c r="M71" s="84"/>
      <c r="N71" s="15"/>
      <c r="O71" s="196"/>
      <c r="P71" s="342"/>
      <c r="Q71" s="70"/>
      <c r="R71" s="71"/>
      <c r="S71" s="72"/>
      <c r="T71" s="235"/>
      <c r="U71" s="131"/>
      <c r="W71" s="2"/>
      <c r="X71" s="84"/>
      <c r="Y71" s="15"/>
      <c r="Z71" s="196"/>
      <c r="AA71" s="342"/>
      <c r="AB71" s="70"/>
      <c r="AC71" s="71"/>
      <c r="AD71" s="72"/>
      <c r="AE71" s="235"/>
      <c r="AF71" s="131"/>
    </row>
    <row r="72" spans="1:32" ht="14.25" customHeight="1" x14ac:dyDescent="0.25">
      <c r="A72" s="2"/>
      <c r="B72" s="84"/>
      <c r="C72" s="15"/>
      <c r="D72" s="813"/>
      <c r="E72" s="811"/>
      <c r="F72" s="705">
        <f t="shared" si="17"/>
        <v>0</v>
      </c>
      <c r="G72" s="1069"/>
      <c r="H72" s="1070"/>
      <c r="I72" s="1082">
        <f t="shared" si="3"/>
        <v>-1.3642420526593924E-12</v>
      </c>
      <c r="J72" s="1083">
        <f t="shared" si="4"/>
        <v>0</v>
      </c>
      <c r="L72" s="2"/>
      <c r="M72" s="84"/>
      <c r="N72" s="15"/>
      <c r="O72" s="196"/>
      <c r="P72" s="342"/>
      <c r="Q72" s="70"/>
      <c r="R72" s="71"/>
      <c r="S72" s="72"/>
      <c r="T72" s="235"/>
      <c r="U72" s="131"/>
      <c r="W72" s="2"/>
      <c r="X72" s="84"/>
      <c r="Y72" s="15"/>
      <c r="Z72" s="196"/>
      <c r="AA72" s="342"/>
      <c r="AB72" s="70"/>
      <c r="AC72" s="71"/>
      <c r="AD72" s="72"/>
      <c r="AE72" s="235"/>
      <c r="AF72" s="131"/>
    </row>
    <row r="73" spans="1:32" ht="14.25" customHeight="1" x14ac:dyDescent="0.25">
      <c r="A73" s="2"/>
      <c r="B73" s="84"/>
      <c r="C73" s="15"/>
      <c r="D73" s="813"/>
      <c r="E73" s="811"/>
      <c r="F73" s="705">
        <f t="shared" si="17"/>
        <v>0</v>
      </c>
      <c r="G73" s="1069"/>
      <c r="H73" s="1070"/>
      <c r="I73" s="1082">
        <f t="shared" si="3"/>
        <v>-1.3642420526593924E-12</v>
      </c>
      <c r="J73" s="1083">
        <f t="shared" si="4"/>
        <v>0</v>
      </c>
      <c r="L73" s="2"/>
      <c r="M73" s="84"/>
      <c r="N73" s="15"/>
      <c r="O73" s="196"/>
      <c r="P73" s="342"/>
      <c r="Q73" s="70"/>
      <c r="R73" s="71"/>
      <c r="S73" s="72"/>
      <c r="T73" s="235"/>
      <c r="U73" s="131"/>
      <c r="W73" s="2"/>
      <c r="X73" s="84"/>
      <c r="Y73" s="15"/>
      <c r="Z73" s="196"/>
      <c r="AA73" s="342"/>
      <c r="AB73" s="70"/>
      <c r="AC73" s="71"/>
      <c r="AD73" s="72"/>
      <c r="AE73" s="235"/>
      <c r="AF73" s="131"/>
    </row>
    <row r="74" spans="1:32" ht="14.25" customHeight="1" x14ac:dyDescent="0.25">
      <c r="A74" s="2"/>
      <c r="B74" s="84"/>
      <c r="C74" s="15"/>
      <c r="D74" s="813"/>
      <c r="E74" s="811"/>
      <c r="F74" s="705">
        <f t="shared" si="17"/>
        <v>0</v>
      </c>
      <c r="G74" s="706"/>
      <c r="H74" s="186"/>
      <c r="I74" s="235">
        <f t="shared" si="3"/>
        <v>-1.3642420526593924E-12</v>
      </c>
      <c r="J74" s="131">
        <f t="shared" si="4"/>
        <v>0</v>
      </c>
      <c r="L74" s="2"/>
      <c r="M74" s="84"/>
      <c r="N74" s="15"/>
      <c r="O74" s="196"/>
      <c r="P74" s="342"/>
      <c r="Q74" s="70"/>
      <c r="R74" s="71"/>
      <c r="S74" s="72"/>
      <c r="T74" s="235"/>
      <c r="U74" s="131"/>
      <c r="W74" s="2"/>
      <c r="X74" s="84"/>
      <c r="Y74" s="15"/>
      <c r="Z74" s="196"/>
      <c r="AA74" s="342"/>
      <c r="AB74" s="70"/>
      <c r="AC74" s="71"/>
      <c r="AD74" s="72"/>
      <c r="AE74" s="235"/>
      <c r="AF74" s="131"/>
    </row>
    <row r="75" spans="1:32" ht="14.25" customHeight="1" x14ac:dyDescent="0.25">
      <c r="A75" s="2"/>
      <c r="B75" s="84"/>
      <c r="C75" s="15"/>
      <c r="D75" s="813"/>
      <c r="E75" s="811"/>
      <c r="F75" s="705">
        <f t="shared" si="17"/>
        <v>0</v>
      </c>
      <c r="G75" s="706"/>
      <c r="H75" s="186"/>
      <c r="I75" s="235">
        <f t="shared" si="3"/>
        <v>-1.3642420526593924E-12</v>
      </c>
      <c r="J75" s="131">
        <f t="shared" si="4"/>
        <v>0</v>
      </c>
      <c r="L75" s="2"/>
      <c r="M75" s="84"/>
      <c r="N75" s="15"/>
      <c r="O75" s="196"/>
      <c r="P75" s="342"/>
      <c r="Q75" s="70"/>
      <c r="R75" s="71"/>
      <c r="S75" s="72"/>
      <c r="T75" s="235"/>
      <c r="U75" s="131"/>
      <c r="W75" s="2"/>
      <c r="X75" s="84"/>
      <c r="Y75" s="15"/>
      <c r="Z75" s="196"/>
      <c r="AA75" s="342"/>
      <c r="AB75" s="70"/>
      <c r="AC75" s="71"/>
      <c r="AD75" s="72"/>
      <c r="AE75" s="235"/>
      <c r="AF75" s="131"/>
    </row>
    <row r="76" spans="1:32" ht="14.25" customHeight="1" x14ac:dyDescent="0.25">
      <c r="A76" s="2"/>
      <c r="B76" s="84"/>
      <c r="C76" s="15"/>
      <c r="D76" s="813"/>
      <c r="E76" s="811"/>
      <c r="F76" s="705">
        <f t="shared" si="17"/>
        <v>0</v>
      </c>
      <c r="G76" s="706"/>
      <c r="H76" s="186"/>
      <c r="I76" s="235">
        <f t="shared" si="3"/>
        <v>-1.3642420526593924E-12</v>
      </c>
      <c r="J76" s="131">
        <f t="shared" si="4"/>
        <v>0</v>
      </c>
      <c r="L76" s="2"/>
      <c r="M76" s="84"/>
      <c r="N76" s="15"/>
      <c r="O76" s="196"/>
      <c r="P76" s="342"/>
      <c r="Q76" s="70"/>
      <c r="R76" s="71"/>
      <c r="S76" s="72"/>
      <c r="T76" s="235"/>
      <c r="U76" s="131"/>
      <c r="W76" s="2"/>
      <c r="X76" s="84"/>
      <c r="Y76" s="15"/>
      <c r="Z76" s="196"/>
      <c r="AA76" s="342"/>
      <c r="AB76" s="70"/>
      <c r="AC76" s="71"/>
      <c r="AD76" s="72"/>
      <c r="AE76" s="235"/>
      <c r="AF76" s="131"/>
    </row>
    <row r="77" spans="1:32" ht="14.25" customHeight="1" x14ac:dyDescent="0.25">
      <c r="A77" s="2"/>
      <c r="B77" s="84"/>
      <c r="C77" s="15"/>
      <c r="D77" s="813"/>
      <c r="E77" s="811"/>
      <c r="F77" s="705">
        <f t="shared" si="17"/>
        <v>0</v>
      </c>
      <c r="G77" s="706"/>
      <c r="H77" s="186"/>
      <c r="I77" s="235">
        <f t="shared" si="3"/>
        <v>-1.3642420526593924E-12</v>
      </c>
      <c r="J77" s="131">
        <f t="shared" si="4"/>
        <v>0</v>
      </c>
      <c r="L77" s="2"/>
      <c r="M77" s="84"/>
      <c r="N77" s="15"/>
      <c r="O77" s="196"/>
      <c r="P77" s="342"/>
      <c r="Q77" s="70"/>
      <c r="R77" s="71"/>
      <c r="S77" s="72"/>
      <c r="T77" s="235"/>
      <c r="U77" s="131"/>
      <c r="W77" s="2"/>
      <c r="X77" s="84"/>
      <c r="Y77" s="15"/>
      <c r="Z77" s="196"/>
      <c r="AA77" s="342"/>
      <c r="AB77" s="70"/>
      <c r="AC77" s="71"/>
      <c r="AD77" s="72"/>
      <c r="AE77" s="235"/>
      <c r="AF77" s="131"/>
    </row>
    <row r="78" spans="1:32" ht="14.25" customHeight="1" x14ac:dyDescent="0.25">
      <c r="A78" s="2"/>
      <c r="B78" s="84"/>
      <c r="C78" s="15"/>
      <c r="D78" s="813"/>
      <c r="E78" s="811"/>
      <c r="F78" s="705">
        <f t="shared" si="17"/>
        <v>0</v>
      </c>
      <c r="G78" s="706"/>
      <c r="H78" s="186"/>
      <c r="I78" s="235">
        <f t="shared" si="3"/>
        <v>-1.3642420526593924E-12</v>
      </c>
      <c r="J78" s="131">
        <f t="shared" si="4"/>
        <v>0</v>
      </c>
      <c r="L78" s="2"/>
      <c r="M78" s="84"/>
      <c r="N78" s="15"/>
      <c r="O78" s="196"/>
      <c r="P78" s="342"/>
      <c r="Q78" s="70"/>
      <c r="R78" s="71"/>
      <c r="S78" s="72"/>
      <c r="T78" s="235"/>
      <c r="U78" s="131"/>
      <c r="W78" s="2"/>
      <c r="X78" s="84"/>
      <c r="Y78" s="15"/>
      <c r="Z78" s="196"/>
      <c r="AA78" s="342"/>
      <c r="AB78" s="70"/>
      <c r="AC78" s="71"/>
      <c r="AD78" s="72"/>
      <c r="AE78" s="235"/>
      <c r="AF78" s="131"/>
    </row>
    <row r="79" spans="1:32" ht="14.25" customHeight="1" x14ac:dyDescent="0.25">
      <c r="A79" s="2"/>
      <c r="B79" s="84"/>
      <c r="C79" s="15"/>
      <c r="D79" s="813"/>
      <c r="E79" s="811"/>
      <c r="F79" s="705">
        <f t="shared" si="17"/>
        <v>0</v>
      </c>
      <c r="G79" s="706"/>
      <c r="H79" s="186"/>
      <c r="I79" s="235">
        <f t="shared" si="3"/>
        <v>-1.3642420526593924E-12</v>
      </c>
      <c r="J79" s="131">
        <f t="shared" si="4"/>
        <v>0</v>
      </c>
      <c r="L79" s="2"/>
      <c r="M79" s="84"/>
      <c r="N79" s="15"/>
      <c r="O79" s="196"/>
      <c r="P79" s="342"/>
      <c r="Q79" s="70"/>
      <c r="R79" s="71"/>
      <c r="S79" s="72"/>
      <c r="T79" s="235"/>
      <c r="U79" s="131"/>
      <c r="W79" s="2"/>
      <c r="X79" s="84"/>
      <c r="Y79" s="15"/>
      <c r="Z79" s="196"/>
      <c r="AA79" s="342"/>
      <c r="AB79" s="70"/>
      <c r="AC79" s="71"/>
      <c r="AD79" s="72"/>
      <c r="AE79" s="235"/>
      <c r="AF79" s="131"/>
    </row>
    <row r="80" spans="1:32" ht="14.25" customHeight="1" x14ac:dyDescent="0.25">
      <c r="A80" s="2"/>
      <c r="B80" s="84"/>
      <c r="C80" s="15"/>
      <c r="D80" s="813"/>
      <c r="E80" s="811"/>
      <c r="F80" s="705">
        <f t="shared" si="17"/>
        <v>0</v>
      </c>
      <c r="G80" s="706"/>
      <c r="H80" s="186"/>
      <c r="I80" s="235">
        <f t="shared" si="3"/>
        <v>-1.3642420526593924E-12</v>
      </c>
      <c r="J80" s="131">
        <f t="shared" si="4"/>
        <v>0</v>
      </c>
      <c r="L80" s="2"/>
      <c r="M80" s="84"/>
      <c r="N80" s="15"/>
      <c r="O80" s="196"/>
      <c r="P80" s="342"/>
      <c r="Q80" s="70"/>
      <c r="R80" s="71"/>
      <c r="S80" s="72"/>
      <c r="T80" s="235"/>
      <c r="U80" s="131"/>
      <c r="W80" s="2"/>
      <c r="X80" s="84"/>
      <c r="Y80" s="15"/>
      <c r="Z80" s="196"/>
      <c r="AA80" s="342"/>
      <c r="AB80" s="70"/>
      <c r="AC80" s="71"/>
      <c r="AD80" s="72"/>
      <c r="AE80" s="235"/>
      <c r="AF80" s="131"/>
    </row>
    <row r="81" spans="1:32" ht="14.25" customHeight="1" x14ac:dyDescent="0.25">
      <c r="A81" s="2"/>
      <c r="B81" s="84"/>
      <c r="C81" s="15"/>
      <c r="D81" s="813"/>
      <c r="E81" s="811"/>
      <c r="F81" s="705">
        <f t="shared" si="17"/>
        <v>0</v>
      </c>
      <c r="G81" s="706"/>
      <c r="H81" s="186"/>
      <c r="I81" s="235">
        <f t="shared" si="3"/>
        <v>-1.3642420526593924E-12</v>
      </c>
      <c r="J81" s="131">
        <f t="shared" si="4"/>
        <v>0</v>
      </c>
      <c r="L81" s="2"/>
      <c r="M81" s="84"/>
      <c r="N81" s="15"/>
      <c r="O81" s="196"/>
      <c r="P81" s="342"/>
      <c r="Q81" s="70"/>
      <c r="R81" s="71"/>
      <c r="S81" s="72"/>
      <c r="T81" s="235"/>
      <c r="U81" s="131"/>
      <c r="W81" s="2"/>
      <c r="X81" s="84"/>
      <c r="Y81" s="15"/>
      <c r="Z81" s="196"/>
      <c r="AA81" s="342"/>
      <c r="AB81" s="70"/>
      <c r="AC81" s="71"/>
      <c r="AD81" s="72"/>
      <c r="AE81" s="235"/>
      <c r="AF81" s="131"/>
    </row>
    <row r="82" spans="1:32" ht="14.25" customHeight="1" x14ac:dyDescent="0.25">
      <c r="A82" s="2"/>
      <c r="B82" s="84"/>
      <c r="C82" s="15"/>
      <c r="D82" s="813"/>
      <c r="E82" s="811"/>
      <c r="F82" s="705">
        <f t="shared" si="17"/>
        <v>0</v>
      </c>
      <c r="G82" s="706"/>
      <c r="H82" s="186"/>
      <c r="I82" s="235">
        <f t="shared" si="3"/>
        <v>-1.3642420526593924E-12</v>
      </c>
      <c r="J82" s="131">
        <f t="shared" si="4"/>
        <v>0</v>
      </c>
      <c r="L82" s="2"/>
      <c r="M82" s="84"/>
      <c r="N82" s="15"/>
      <c r="O82" s="196"/>
      <c r="P82" s="342"/>
      <c r="Q82" s="70"/>
      <c r="R82" s="71"/>
      <c r="S82" s="72"/>
      <c r="T82" s="235"/>
      <c r="U82" s="131"/>
      <c r="W82" s="2"/>
      <c r="X82" s="84"/>
      <c r="Y82" s="15"/>
      <c r="Z82" s="196"/>
      <c r="AA82" s="342"/>
      <c r="AB82" s="70"/>
      <c r="AC82" s="71"/>
      <c r="AD82" s="72"/>
      <c r="AE82" s="235"/>
      <c r="AF82" s="131"/>
    </row>
    <row r="83" spans="1:32" ht="14.25" customHeight="1" x14ac:dyDescent="0.25">
      <c r="A83" s="2"/>
      <c r="B83" s="84"/>
      <c r="C83" s="15"/>
      <c r="D83" s="813"/>
      <c r="E83" s="811"/>
      <c r="F83" s="705">
        <f t="shared" si="17"/>
        <v>0</v>
      </c>
      <c r="G83" s="706"/>
      <c r="H83" s="186"/>
      <c r="I83" s="235">
        <f t="shared" si="3"/>
        <v>-1.3642420526593924E-12</v>
      </c>
      <c r="J83" s="131">
        <f t="shared" si="4"/>
        <v>0</v>
      </c>
      <c r="L83" s="2"/>
      <c r="M83" s="84"/>
      <c r="N83" s="15"/>
      <c r="O83" s="196"/>
      <c r="P83" s="342"/>
      <c r="Q83" s="70"/>
      <c r="R83" s="71"/>
      <c r="S83" s="72"/>
      <c r="T83" s="235"/>
      <c r="U83" s="131"/>
      <c r="W83" s="2"/>
      <c r="X83" s="84"/>
      <c r="Y83" s="15"/>
      <c r="Z83" s="196"/>
      <c r="AA83" s="342"/>
      <c r="AB83" s="70"/>
      <c r="AC83" s="71"/>
      <c r="AD83" s="72"/>
      <c r="AE83" s="235"/>
      <c r="AF83" s="131"/>
    </row>
    <row r="84" spans="1:32" ht="14.25" customHeight="1" x14ac:dyDescent="0.25">
      <c r="A84" s="2"/>
      <c r="B84" s="84"/>
      <c r="C84" s="15"/>
      <c r="D84" s="813"/>
      <c r="E84" s="811"/>
      <c r="F84" s="705">
        <f t="shared" si="17"/>
        <v>0</v>
      </c>
      <c r="G84" s="706"/>
      <c r="H84" s="186"/>
      <c r="I84" s="235">
        <f t="shared" si="3"/>
        <v>-1.3642420526593924E-12</v>
      </c>
      <c r="J84" s="131">
        <f t="shared" si="4"/>
        <v>0</v>
      </c>
      <c r="L84" s="2"/>
      <c r="M84" s="84"/>
      <c r="N84" s="15"/>
      <c r="O84" s="196"/>
      <c r="P84" s="342"/>
      <c r="Q84" s="70"/>
      <c r="R84" s="71"/>
      <c r="S84" s="72"/>
      <c r="T84" s="235"/>
      <c r="U84" s="131"/>
      <c r="W84" s="2"/>
      <c r="X84" s="84"/>
      <c r="Y84" s="15"/>
      <c r="Z84" s="196"/>
      <c r="AA84" s="342"/>
      <c r="AB84" s="70"/>
      <c r="AC84" s="71"/>
      <c r="AD84" s="72"/>
      <c r="AE84" s="235"/>
      <c r="AF84" s="131"/>
    </row>
    <row r="85" spans="1:32" ht="14.25" customHeight="1" x14ac:dyDescent="0.25">
      <c r="A85" s="2"/>
      <c r="B85" s="84"/>
      <c r="C85" s="15"/>
      <c r="D85" s="813"/>
      <c r="E85" s="811"/>
      <c r="F85" s="705">
        <f t="shared" si="17"/>
        <v>0</v>
      </c>
      <c r="G85" s="706"/>
      <c r="H85" s="186"/>
      <c r="I85" s="235">
        <f t="shared" si="3"/>
        <v>-1.3642420526593924E-12</v>
      </c>
      <c r="J85" s="131">
        <f t="shared" si="4"/>
        <v>0</v>
      </c>
      <c r="L85" s="2"/>
      <c r="M85" s="84"/>
      <c r="N85" s="15"/>
      <c r="O85" s="196"/>
      <c r="P85" s="342"/>
      <c r="Q85" s="70"/>
      <c r="R85" s="71"/>
      <c r="S85" s="72"/>
      <c r="T85" s="235"/>
      <c r="U85" s="131"/>
      <c r="W85" s="2"/>
      <c r="X85" s="84"/>
      <c r="Y85" s="15"/>
      <c r="Z85" s="196"/>
      <c r="AA85" s="342"/>
      <c r="AB85" s="70"/>
      <c r="AC85" s="71"/>
      <c r="AD85" s="72"/>
      <c r="AE85" s="235"/>
      <c r="AF85" s="131"/>
    </row>
    <row r="86" spans="1:32" ht="14.25" customHeight="1" x14ac:dyDescent="0.25">
      <c r="A86" s="2"/>
      <c r="B86" s="84"/>
      <c r="C86" s="15"/>
      <c r="D86" s="813"/>
      <c r="E86" s="811"/>
      <c r="F86" s="705">
        <f t="shared" si="17"/>
        <v>0</v>
      </c>
      <c r="G86" s="706"/>
      <c r="H86" s="186"/>
      <c r="I86" s="235">
        <f t="shared" si="3"/>
        <v>-1.3642420526593924E-12</v>
      </c>
      <c r="J86" s="131">
        <f t="shared" si="4"/>
        <v>0</v>
      </c>
      <c r="L86" s="2"/>
      <c r="M86" s="84"/>
      <c r="N86" s="15"/>
      <c r="O86" s="196"/>
      <c r="P86" s="342"/>
      <c r="Q86" s="70"/>
      <c r="R86" s="71"/>
      <c r="S86" s="72"/>
      <c r="T86" s="235"/>
      <c r="U86" s="131"/>
      <c r="W86" s="2"/>
      <c r="X86" s="84"/>
      <c r="Y86" s="15"/>
      <c r="Z86" s="196"/>
      <c r="AA86" s="342"/>
      <c r="AB86" s="70"/>
      <c r="AC86" s="71"/>
      <c r="AD86" s="72"/>
      <c r="AE86" s="235"/>
      <c r="AF86" s="131"/>
    </row>
    <row r="87" spans="1:32" ht="14.25" customHeight="1" x14ac:dyDescent="0.25">
      <c r="A87" s="2"/>
      <c r="B87" s="84"/>
      <c r="C87" s="15"/>
      <c r="D87" s="813"/>
      <c r="E87" s="811"/>
      <c r="F87" s="705">
        <f t="shared" si="17"/>
        <v>0</v>
      </c>
      <c r="G87" s="706"/>
      <c r="H87" s="186"/>
      <c r="I87" s="235">
        <f t="shared" si="3"/>
        <v>-1.3642420526593924E-12</v>
      </c>
      <c r="J87" s="131">
        <f t="shared" si="4"/>
        <v>0</v>
      </c>
      <c r="L87" s="2"/>
      <c r="M87" s="84"/>
      <c r="N87" s="15"/>
      <c r="O87" s="196"/>
      <c r="P87" s="342"/>
      <c r="Q87" s="70"/>
      <c r="R87" s="71"/>
      <c r="S87" s="72"/>
      <c r="T87" s="235"/>
      <c r="U87" s="131"/>
      <c r="W87" s="2"/>
      <c r="X87" s="84"/>
      <c r="Y87" s="15"/>
      <c r="Z87" s="196"/>
      <c r="AA87" s="342"/>
      <c r="AB87" s="70"/>
      <c r="AC87" s="71"/>
      <c r="AD87" s="72"/>
      <c r="AE87" s="235"/>
      <c r="AF87" s="131"/>
    </row>
    <row r="88" spans="1:32" ht="14.25" customHeight="1" x14ac:dyDescent="0.25">
      <c r="A88" s="2"/>
      <c r="B88" s="84"/>
      <c r="C88" s="15"/>
      <c r="D88" s="813"/>
      <c r="E88" s="811"/>
      <c r="F88" s="705">
        <f t="shared" si="17"/>
        <v>0</v>
      </c>
      <c r="G88" s="706"/>
      <c r="H88" s="186"/>
      <c r="I88" s="235">
        <f t="shared" si="3"/>
        <v>-1.3642420526593924E-12</v>
      </c>
      <c r="J88" s="131">
        <f t="shared" si="4"/>
        <v>0</v>
      </c>
      <c r="L88" s="2"/>
      <c r="M88" s="84"/>
      <c r="N88" s="15"/>
      <c r="O88" s="196"/>
      <c r="P88" s="342"/>
      <c r="Q88" s="70"/>
      <c r="R88" s="71"/>
      <c r="S88" s="72"/>
      <c r="T88" s="235"/>
      <c r="U88" s="131"/>
      <c r="W88" s="2"/>
      <c r="X88" s="84"/>
      <c r="Y88" s="15"/>
      <c r="Z88" s="196"/>
      <c r="AA88" s="342"/>
      <c r="AB88" s="70"/>
      <c r="AC88" s="71"/>
      <c r="AD88" s="72"/>
      <c r="AE88" s="235"/>
      <c r="AF88" s="131"/>
    </row>
    <row r="89" spans="1:32" ht="14.25" customHeight="1" x14ac:dyDescent="0.25">
      <c r="A89" s="2"/>
      <c r="B89" s="84"/>
      <c r="C89" s="15"/>
      <c r="D89" s="813"/>
      <c r="E89" s="811"/>
      <c r="F89" s="705">
        <f t="shared" si="17"/>
        <v>0</v>
      </c>
      <c r="G89" s="706"/>
      <c r="H89" s="186"/>
      <c r="I89" s="235">
        <f t="shared" si="3"/>
        <v>-1.3642420526593924E-12</v>
      </c>
      <c r="J89" s="131">
        <f t="shared" si="4"/>
        <v>0</v>
      </c>
      <c r="L89" s="2"/>
      <c r="M89" s="84"/>
      <c r="N89" s="15"/>
      <c r="O89" s="196"/>
      <c r="P89" s="342"/>
      <c r="Q89" s="70"/>
      <c r="R89" s="71"/>
      <c r="S89" s="72"/>
      <c r="T89" s="235"/>
      <c r="U89" s="131"/>
      <c r="W89" s="2"/>
      <c r="X89" s="84"/>
      <c r="Y89" s="15"/>
      <c r="Z89" s="196"/>
      <c r="AA89" s="342"/>
      <c r="AB89" s="70"/>
      <c r="AC89" s="71"/>
      <c r="AD89" s="72"/>
      <c r="AE89" s="235"/>
      <c r="AF89" s="131"/>
    </row>
    <row r="90" spans="1:32" ht="14.25" customHeight="1" x14ac:dyDescent="0.25">
      <c r="A90" s="2"/>
      <c r="B90" s="84"/>
      <c r="C90" s="15"/>
      <c r="D90" s="813"/>
      <c r="E90" s="811"/>
      <c r="F90" s="705">
        <f t="shared" si="17"/>
        <v>0</v>
      </c>
      <c r="G90" s="706"/>
      <c r="H90" s="186"/>
      <c r="I90" s="235">
        <f t="shared" si="3"/>
        <v>-1.3642420526593924E-12</v>
      </c>
      <c r="J90" s="131">
        <f t="shared" si="4"/>
        <v>0</v>
      </c>
      <c r="L90" s="2"/>
      <c r="M90" s="84"/>
      <c r="N90" s="15"/>
      <c r="O90" s="196"/>
      <c r="P90" s="342"/>
      <c r="Q90" s="70"/>
      <c r="R90" s="71"/>
      <c r="S90" s="72"/>
      <c r="T90" s="235"/>
      <c r="U90" s="131"/>
      <c r="W90" s="2"/>
      <c r="X90" s="84"/>
      <c r="Y90" s="15"/>
      <c r="Z90" s="196"/>
      <c r="AA90" s="342"/>
      <c r="AB90" s="70"/>
      <c r="AC90" s="71"/>
      <c r="AD90" s="72"/>
      <c r="AE90" s="235"/>
      <c r="AF90" s="131"/>
    </row>
    <row r="91" spans="1:32" ht="14.25" customHeight="1" x14ac:dyDescent="0.25">
      <c r="A91" s="2"/>
      <c r="B91" s="84"/>
      <c r="C91" s="15"/>
      <c r="D91" s="813"/>
      <c r="E91" s="811"/>
      <c r="F91" s="705">
        <f t="shared" si="17"/>
        <v>0</v>
      </c>
      <c r="G91" s="706"/>
      <c r="H91" s="186"/>
      <c r="I91" s="235">
        <f t="shared" si="3"/>
        <v>-1.3642420526593924E-12</v>
      </c>
      <c r="J91" s="131">
        <f t="shared" si="4"/>
        <v>0</v>
      </c>
      <c r="L91" s="2"/>
      <c r="M91" s="84"/>
      <c r="N91" s="15"/>
      <c r="O91" s="196"/>
      <c r="P91" s="342"/>
      <c r="Q91" s="70"/>
      <c r="R91" s="71"/>
      <c r="S91" s="72"/>
      <c r="T91" s="235"/>
      <c r="U91" s="131"/>
      <c r="W91" s="2"/>
      <c r="X91" s="84"/>
      <c r="Y91" s="15"/>
      <c r="Z91" s="196"/>
      <c r="AA91" s="342"/>
      <c r="AB91" s="70"/>
      <c r="AC91" s="71"/>
      <c r="AD91" s="72"/>
      <c r="AE91" s="235"/>
      <c r="AF91" s="131"/>
    </row>
    <row r="92" spans="1:32" ht="14.25" customHeight="1" x14ac:dyDescent="0.25">
      <c r="A92" s="2"/>
      <c r="B92" s="84"/>
      <c r="C92" s="15"/>
      <c r="D92" s="813"/>
      <c r="E92" s="811"/>
      <c r="F92" s="705">
        <f t="shared" si="17"/>
        <v>0</v>
      </c>
      <c r="G92" s="706"/>
      <c r="H92" s="186"/>
      <c r="I92" s="235">
        <f t="shared" si="3"/>
        <v>-1.3642420526593924E-12</v>
      </c>
      <c r="J92" s="131">
        <f t="shared" si="4"/>
        <v>0</v>
      </c>
      <c r="L92" s="2"/>
      <c r="M92" s="84"/>
      <c r="N92" s="15"/>
      <c r="O92" s="196"/>
      <c r="P92" s="342"/>
      <c r="Q92" s="70"/>
      <c r="R92" s="71"/>
      <c r="S92" s="72"/>
      <c r="T92" s="235"/>
      <c r="U92" s="131"/>
      <c r="W92" s="2"/>
      <c r="X92" s="84"/>
      <c r="Y92" s="15"/>
      <c r="Z92" s="196"/>
      <c r="AA92" s="342"/>
      <c r="AB92" s="70"/>
      <c r="AC92" s="71"/>
      <c r="AD92" s="72"/>
      <c r="AE92" s="235"/>
      <c r="AF92" s="131"/>
    </row>
    <row r="93" spans="1:32" ht="14.25" customHeight="1" x14ac:dyDescent="0.25">
      <c r="A93" s="2"/>
      <c r="B93" s="84"/>
      <c r="C93" s="15"/>
      <c r="D93" s="913"/>
      <c r="E93" s="344"/>
      <c r="F93" s="240">
        <f t="shared" si="17"/>
        <v>0</v>
      </c>
      <c r="G93" s="183"/>
      <c r="H93" s="121"/>
      <c r="I93" s="235">
        <f t="shared" si="3"/>
        <v>-1.3642420526593924E-12</v>
      </c>
      <c r="J93" s="131">
        <f t="shared" si="4"/>
        <v>0</v>
      </c>
      <c r="L93" s="2"/>
      <c r="M93" s="84"/>
      <c r="N93" s="15"/>
      <c r="O93" s="196"/>
      <c r="P93" s="342"/>
      <c r="Q93" s="70"/>
      <c r="R93" s="71"/>
      <c r="S93" s="72"/>
      <c r="T93" s="235"/>
      <c r="U93" s="131"/>
      <c r="W93" s="2"/>
      <c r="X93" s="84"/>
      <c r="Y93" s="15"/>
      <c r="Z93" s="196"/>
      <c r="AA93" s="342"/>
      <c r="AB93" s="70"/>
      <c r="AC93" s="71"/>
      <c r="AD93" s="72"/>
      <c r="AE93" s="235"/>
      <c r="AF93" s="131"/>
    </row>
    <row r="94" spans="1:32" x14ac:dyDescent="0.25">
      <c r="A94" s="2"/>
      <c r="B94" s="84"/>
      <c r="C94" s="15"/>
      <c r="D94" s="913"/>
      <c r="E94" s="344"/>
      <c r="F94" s="240">
        <f t="shared" si="17"/>
        <v>0</v>
      </c>
      <c r="G94" s="183"/>
      <c r="H94" s="121"/>
      <c r="I94" s="235">
        <f>I59-F94</f>
        <v>3767.2699999999986</v>
      </c>
      <c r="J94" s="131">
        <f>J59-C94</f>
        <v>168</v>
      </c>
      <c r="L94" s="2"/>
      <c r="M94" s="84"/>
      <c r="N94" s="15"/>
      <c r="O94" s="196"/>
      <c r="P94" s="342"/>
      <c r="Q94" s="70"/>
      <c r="R94" s="71"/>
      <c r="S94" s="72"/>
      <c r="T94" s="235">
        <f>T59-Q94</f>
        <v>0</v>
      </c>
      <c r="U94" s="131">
        <f>U59-N94</f>
        <v>0</v>
      </c>
      <c r="W94" s="2"/>
      <c r="X94" s="84"/>
      <c r="Y94" s="15"/>
      <c r="Z94" s="196"/>
      <c r="AA94" s="342"/>
      <c r="AB94" s="70"/>
      <c r="AC94" s="71"/>
      <c r="AD94" s="72"/>
      <c r="AE94" s="235">
        <f>AE59-AB94</f>
        <v>7957.510000000002</v>
      </c>
      <c r="AF94" s="131">
        <f>AF59-Y94</f>
        <v>332</v>
      </c>
    </row>
    <row r="95" spans="1:32" x14ac:dyDescent="0.25">
      <c r="A95" s="2"/>
      <c r="B95" s="84"/>
      <c r="C95" s="15"/>
      <c r="D95" s="913"/>
      <c r="E95" s="344"/>
      <c r="F95" s="240">
        <f t="shared" si="17"/>
        <v>0</v>
      </c>
      <c r="G95" s="183"/>
      <c r="H95" s="121"/>
      <c r="I95" s="235">
        <f t="shared" si="3"/>
        <v>3767.2699999999986</v>
      </c>
      <c r="J95" s="131">
        <f t="shared" si="4"/>
        <v>168</v>
      </c>
      <c r="L95" s="2"/>
      <c r="M95" s="84"/>
      <c r="N95" s="15"/>
      <c r="O95" s="196"/>
      <c r="P95" s="342"/>
      <c r="Q95" s="70"/>
      <c r="R95" s="71"/>
      <c r="S95" s="72"/>
      <c r="T95" s="235">
        <f t="shared" si="15"/>
        <v>0</v>
      </c>
      <c r="U95" s="131">
        <f t="shared" si="6"/>
        <v>0</v>
      </c>
      <c r="W95" s="2"/>
      <c r="X95" s="84"/>
      <c r="Y95" s="15"/>
      <c r="Z95" s="196"/>
      <c r="AA95" s="342"/>
      <c r="AB95" s="70"/>
      <c r="AC95" s="71"/>
      <c r="AD95" s="72"/>
      <c r="AE95" s="235">
        <f t="shared" ref="AE95:AE96" si="18">AE94-AB95</f>
        <v>7957.510000000002</v>
      </c>
      <c r="AF95" s="131">
        <f t="shared" ref="AF95" si="19">AF94-Y95</f>
        <v>332</v>
      </c>
    </row>
    <row r="96" spans="1:32" x14ac:dyDescent="0.25">
      <c r="A96" s="2"/>
      <c r="B96" s="84"/>
      <c r="C96" s="15"/>
      <c r="D96" s="913">
        <f t="shared" ref="D96" si="20">C96*B96</f>
        <v>0</v>
      </c>
      <c r="E96" s="344"/>
      <c r="F96" s="240">
        <f t="shared" si="10"/>
        <v>0</v>
      </c>
      <c r="G96" s="183"/>
      <c r="H96" s="121"/>
      <c r="I96" s="235">
        <f t="shared" si="3"/>
        <v>3767.2699999999986</v>
      </c>
      <c r="J96" s="131">
        <f t="shared" si="4"/>
        <v>168</v>
      </c>
      <c r="L96" s="2"/>
      <c r="M96" s="84"/>
      <c r="N96" s="15"/>
      <c r="O96" s="196">
        <f t="shared" si="13"/>
        <v>0</v>
      </c>
      <c r="P96" s="342"/>
      <c r="Q96" s="70">
        <f t="shared" si="11"/>
        <v>0</v>
      </c>
      <c r="R96" s="71"/>
      <c r="S96" s="72"/>
      <c r="T96" s="235">
        <f t="shared" si="15"/>
        <v>0</v>
      </c>
      <c r="U96" s="131">
        <f>U42-N96</f>
        <v>0</v>
      </c>
      <c r="W96" s="2"/>
      <c r="X96" s="84"/>
      <c r="Y96" s="15"/>
      <c r="Z96" s="196">
        <f t="shared" ref="Z96" si="21">Y96*X96</f>
        <v>0</v>
      </c>
      <c r="AA96" s="342"/>
      <c r="AB96" s="70">
        <f t="shared" ref="AB96:AB97" si="22">Z96</f>
        <v>0</v>
      </c>
      <c r="AC96" s="71"/>
      <c r="AD96" s="72"/>
      <c r="AE96" s="235">
        <f t="shared" si="18"/>
        <v>7957.510000000002</v>
      </c>
      <c r="AF96" s="131">
        <f>AF42-Y96</f>
        <v>332</v>
      </c>
    </row>
    <row r="97" spans="1:32" ht="15.75" thickBot="1" x14ac:dyDescent="0.3">
      <c r="A97" s="4"/>
      <c r="B97" s="84"/>
      <c r="C97" s="37"/>
      <c r="D97" s="914">
        <f>C97*B34</f>
        <v>0</v>
      </c>
      <c r="E97" s="915"/>
      <c r="F97" s="916">
        <f t="shared" si="10"/>
        <v>0</v>
      </c>
      <c r="G97" s="917"/>
      <c r="H97" s="121"/>
      <c r="J97" s="74"/>
      <c r="L97" s="4"/>
      <c r="M97" s="84"/>
      <c r="N97" s="37"/>
      <c r="O97" s="208">
        <f>N97*M34</f>
        <v>0</v>
      </c>
      <c r="P97" s="168"/>
      <c r="Q97" s="161">
        <f t="shared" si="11"/>
        <v>0</v>
      </c>
      <c r="R97" s="145"/>
      <c r="S97" s="72"/>
      <c r="U97" s="74"/>
      <c r="W97" s="4"/>
      <c r="X97" s="84"/>
      <c r="Y97" s="37"/>
      <c r="Z97" s="208">
        <f>Y97*X34</f>
        <v>0</v>
      </c>
      <c r="AA97" s="168"/>
      <c r="AB97" s="161">
        <f t="shared" si="22"/>
        <v>0</v>
      </c>
      <c r="AC97" s="145"/>
      <c r="AD97" s="72"/>
      <c r="AF97" s="74"/>
    </row>
    <row r="98" spans="1:32" ht="16.5" thickTop="1" thickBot="1" x14ac:dyDescent="0.3">
      <c r="C98" s="91">
        <f>SUM(C9:C97)</f>
        <v>425</v>
      </c>
      <c r="D98" s="48">
        <f>SUM(D9:D97)</f>
        <v>10096.41</v>
      </c>
      <c r="E98" s="38"/>
      <c r="F98" s="5">
        <f>SUM(F9:F97)</f>
        <v>10096.41</v>
      </c>
      <c r="J98" s="74"/>
      <c r="N98" s="91">
        <f>SUM(N9:N97)</f>
        <v>106</v>
      </c>
      <c r="O98" s="48">
        <f>SUM(O9:O97)</f>
        <v>1599.31</v>
      </c>
      <c r="P98" s="38"/>
      <c r="Q98" s="5">
        <f>SUM(Q9:Q97)</f>
        <v>2112.96</v>
      </c>
      <c r="U98" s="74"/>
      <c r="Y98" s="91">
        <f>SUM(Y9:Y97)</f>
        <v>415</v>
      </c>
      <c r="Z98" s="48">
        <f>SUM(Z9:Z97)</f>
        <v>10559.140000000001</v>
      </c>
      <c r="AA98" s="38"/>
      <c r="AB98" s="5">
        <f>SUM(AB9:AB97)</f>
        <v>10559.140000000001</v>
      </c>
      <c r="AF98" s="74"/>
    </row>
    <row r="99" spans="1:32" ht="15.75" thickBot="1" x14ac:dyDescent="0.3">
      <c r="A99" s="51"/>
      <c r="D99" s="115" t="s">
        <v>4</v>
      </c>
      <c r="E99" s="69">
        <f>F4+F5+F7-+C98</f>
        <v>0</v>
      </c>
      <c r="J99" s="74"/>
      <c r="L99" s="51"/>
      <c r="O99" s="115" t="s">
        <v>4</v>
      </c>
      <c r="P99" s="69">
        <f>Q4+Q5+Q7-+N98</f>
        <v>-37</v>
      </c>
      <c r="U99" s="74"/>
      <c r="W99" s="51"/>
      <c r="Z99" s="115" t="s">
        <v>4</v>
      </c>
      <c r="AA99" s="69">
        <f>AB4+AB5+AB7-+Y98</f>
        <v>332</v>
      </c>
      <c r="AF99" s="74"/>
    </row>
    <row r="100" spans="1:32" ht="15.75" thickBot="1" x14ac:dyDescent="0.3">
      <c r="A100" s="123"/>
      <c r="L100" s="123"/>
      <c r="W100" s="123"/>
    </row>
    <row r="101" spans="1:32" ht="16.5" thickTop="1" thickBot="1" x14ac:dyDescent="0.3">
      <c r="A101" s="47"/>
      <c r="C101" s="1194" t="s">
        <v>11</v>
      </c>
      <c r="D101" s="1195"/>
      <c r="E101" s="152">
        <f>E5+E4+E7+-F98</f>
        <v>0</v>
      </c>
      <c r="L101" s="47"/>
      <c r="N101" s="1194" t="s">
        <v>11</v>
      </c>
      <c r="O101" s="1195"/>
      <c r="P101" s="152">
        <f>P5+P4+P7+-Q98</f>
        <v>-1027.9099999999999</v>
      </c>
      <c r="W101" s="47"/>
      <c r="Y101" s="1194" t="s">
        <v>11</v>
      </c>
      <c r="Z101" s="1195"/>
      <c r="AA101" s="152">
        <f>AA5+AA4+AA7+-AB98</f>
        <v>7957.51</v>
      </c>
    </row>
  </sheetData>
  <sortState ref="N4:Q6">
    <sortCondition ref="O4:O6"/>
  </sortState>
  <mergeCells count="18">
    <mergeCell ref="AE7:AE8"/>
    <mergeCell ref="AF7:AF8"/>
    <mergeCell ref="U7:U8"/>
    <mergeCell ref="J7:J8"/>
    <mergeCell ref="C101:D101"/>
    <mergeCell ref="A1:G1"/>
    <mergeCell ref="A5:A7"/>
    <mergeCell ref="B5:B7"/>
    <mergeCell ref="I7:I8"/>
    <mergeCell ref="Y101:Z101"/>
    <mergeCell ref="W1:AC1"/>
    <mergeCell ref="W5:W7"/>
    <mergeCell ref="N101:O101"/>
    <mergeCell ref="L1:R1"/>
    <mergeCell ref="L5:L7"/>
    <mergeCell ref="M5:M7"/>
    <mergeCell ref="T7:T8"/>
    <mergeCell ref="X5:X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6" t="s">
        <v>265</v>
      </c>
      <c r="B1" s="1176"/>
      <c r="C1" s="1176"/>
      <c r="D1" s="1176"/>
      <c r="E1" s="1176"/>
      <c r="F1" s="1176"/>
      <c r="G1" s="1176"/>
      <c r="H1" s="100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0"/>
      <c r="D4" s="326"/>
      <c r="E4" s="937"/>
      <c r="F4" s="328"/>
    </row>
    <row r="5" spans="1:10" ht="16.5" thickBot="1" x14ac:dyDescent="0.3">
      <c r="A5" s="1226" t="s">
        <v>339</v>
      </c>
      <c r="B5" s="1228" t="s">
        <v>414</v>
      </c>
      <c r="C5" s="260">
        <v>53</v>
      </c>
      <c r="D5" s="326">
        <v>44559</v>
      </c>
      <c r="E5" s="938">
        <v>2513.52</v>
      </c>
      <c r="F5" s="330">
        <v>95</v>
      </c>
      <c r="G5" s="317">
        <f>F97</f>
        <v>0</v>
      </c>
      <c r="H5" s="59">
        <f>E4+E5+E6-G5</f>
        <v>2513.52</v>
      </c>
    </row>
    <row r="6" spans="1:10" ht="16.5" thickTop="1" thickBot="1" x14ac:dyDescent="0.3">
      <c r="A6" s="1227"/>
      <c r="B6" s="1230"/>
      <c r="C6" s="260"/>
      <c r="D6" s="326"/>
      <c r="E6" s="937"/>
      <c r="F6" s="328"/>
      <c r="G6" s="253"/>
      <c r="I6" s="1224" t="s">
        <v>3</v>
      </c>
      <c r="J6" s="123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25"/>
      <c r="J7" s="1232"/>
    </row>
    <row r="8" spans="1:10" ht="15.75" thickTop="1" x14ac:dyDescent="0.25">
      <c r="A8" s="81" t="s">
        <v>32</v>
      </c>
      <c r="B8" s="84"/>
      <c r="C8" s="15"/>
      <c r="D8" s="196"/>
      <c r="E8" s="342"/>
      <c r="F8" s="70">
        <f t="shared" ref="F8:F13" si="0">D8</f>
        <v>0</v>
      </c>
      <c r="G8" s="278"/>
      <c r="H8" s="262"/>
      <c r="I8" s="280">
        <f>E5+E4-F8+E6</f>
        <v>2513.52</v>
      </c>
      <c r="J8" s="131">
        <f>F4+F5+F6-C8</f>
        <v>95</v>
      </c>
    </row>
    <row r="9" spans="1:10" x14ac:dyDescent="0.25">
      <c r="A9" s="217"/>
      <c r="B9" s="84"/>
      <c r="C9" s="15"/>
      <c r="D9" s="196"/>
      <c r="E9" s="342"/>
      <c r="F9" s="70">
        <f t="shared" si="0"/>
        <v>0</v>
      </c>
      <c r="G9" s="278"/>
      <c r="H9" s="262"/>
      <c r="I9" s="280">
        <f>I8-F9</f>
        <v>2513.52</v>
      </c>
      <c r="J9" s="281">
        <f>J8-C9</f>
        <v>95</v>
      </c>
    </row>
    <row r="10" spans="1:10" x14ac:dyDescent="0.25">
      <c r="A10" s="205"/>
      <c r="B10" s="84"/>
      <c r="C10" s="15"/>
      <c r="D10" s="196"/>
      <c r="E10" s="342"/>
      <c r="F10" s="70">
        <f t="shared" si="0"/>
        <v>0</v>
      </c>
      <c r="G10" s="278"/>
      <c r="H10" s="262"/>
      <c r="I10" s="280">
        <f t="shared" ref="I10:I40" si="1">I9-F10</f>
        <v>2513.52</v>
      </c>
      <c r="J10" s="281">
        <f t="shared" ref="J10:J58" si="2">J9-C10</f>
        <v>95</v>
      </c>
    </row>
    <row r="11" spans="1:10" x14ac:dyDescent="0.25">
      <c r="A11" s="83" t="s">
        <v>33</v>
      </c>
      <c r="B11" s="84"/>
      <c r="C11" s="15"/>
      <c r="D11" s="196"/>
      <c r="E11" s="342"/>
      <c r="F11" s="70">
        <f t="shared" si="0"/>
        <v>0</v>
      </c>
      <c r="G11" s="278"/>
      <c r="H11" s="262"/>
      <c r="I11" s="280">
        <f t="shared" si="1"/>
        <v>2513.52</v>
      </c>
      <c r="J11" s="281">
        <f t="shared" si="2"/>
        <v>95</v>
      </c>
    </row>
    <row r="12" spans="1:10" x14ac:dyDescent="0.25">
      <c r="A12" s="74"/>
      <c r="B12" s="84"/>
      <c r="C12" s="15"/>
      <c r="D12" s="196"/>
      <c r="E12" s="342"/>
      <c r="F12" s="70">
        <f t="shared" si="0"/>
        <v>0</v>
      </c>
      <c r="G12" s="278"/>
      <c r="H12" s="262"/>
      <c r="I12" s="280">
        <f t="shared" si="1"/>
        <v>2513.52</v>
      </c>
      <c r="J12" s="281">
        <f t="shared" si="2"/>
        <v>95</v>
      </c>
    </row>
    <row r="13" spans="1:10" x14ac:dyDescent="0.25">
      <c r="A13" s="74"/>
      <c r="B13" s="84"/>
      <c r="C13" s="15"/>
      <c r="D13" s="196"/>
      <c r="E13" s="341"/>
      <c r="F13" s="70">
        <f t="shared" si="0"/>
        <v>0</v>
      </c>
      <c r="G13" s="278"/>
      <c r="H13" s="262"/>
      <c r="I13" s="280">
        <f t="shared" si="1"/>
        <v>2513.52</v>
      </c>
      <c r="J13" s="281">
        <f t="shared" si="2"/>
        <v>95</v>
      </c>
    </row>
    <row r="14" spans="1:10" x14ac:dyDescent="0.25">
      <c r="B14" s="84"/>
      <c r="C14" s="15"/>
      <c r="D14" s="196"/>
      <c r="E14" s="341"/>
      <c r="F14" s="70">
        <f>D14</f>
        <v>0</v>
      </c>
      <c r="G14" s="278"/>
      <c r="H14" s="262"/>
      <c r="I14" s="280">
        <f t="shared" si="1"/>
        <v>2513.52</v>
      </c>
      <c r="J14" s="281">
        <f t="shared" si="2"/>
        <v>95</v>
      </c>
    </row>
    <row r="15" spans="1:10" x14ac:dyDescent="0.25">
      <c r="B15" s="84"/>
      <c r="C15" s="276"/>
      <c r="D15" s="196"/>
      <c r="E15" s="341"/>
      <c r="F15" s="70">
        <f>D15</f>
        <v>0</v>
      </c>
      <c r="G15" s="278"/>
      <c r="H15" s="262"/>
      <c r="I15" s="280">
        <f t="shared" si="1"/>
        <v>2513.52</v>
      </c>
      <c r="J15" s="281">
        <f t="shared" si="2"/>
        <v>95</v>
      </c>
    </row>
    <row r="16" spans="1:10" x14ac:dyDescent="0.25">
      <c r="A16" s="82"/>
      <c r="B16" s="84"/>
      <c r="C16" s="15"/>
      <c r="D16" s="196"/>
      <c r="E16" s="357"/>
      <c r="F16" s="70">
        <f>D16</f>
        <v>0</v>
      </c>
      <c r="G16" s="278"/>
      <c r="H16" s="262"/>
      <c r="I16" s="280">
        <f t="shared" si="1"/>
        <v>2513.52</v>
      </c>
      <c r="J16" s="281">
        <f t="shared" si="2"/>
        <v>95</v>
      </c>
    </row>
    <row r="17" spans="1:10" x14ac:dyDescent="0.25">
      <c r="A17" s="84"/>
      <c r="B17" s="84"/>
      <c r="C17" s="15"/>
      <c r="D17" s="196"/>
      <c r="E17" s="357"/>
      <c r="F17" s="70">
        <f t="shared" ref="F17:F41" si="3">D17</f>
        <v>0</v>
      </c>
      <c r="G17" s="667"/>
      <c r="H17" s="262"/>
      <c r="I17" s="280">
        <f t="shared" si="1"/>
        <v>2513.52</v>
      </c>
      <c r="J17" s="281">
        <f t="shared" si="2"/>
        <v>95</v>
      </c>
    </row>
    <row r="18" spans="1:10" x14ac:dyDescent="0.25">
      <c r="A18" s="2"/>
      <c r="B18" s="84"/>
      <c r="C18" s="15"/>
      <c r="D18" s="196"/>
      <c r="E18" s="357"/>
      <c r="F18" s="70">
        <f t="shared" si="3"/>
        <v>0</v>
      </c>
      <c r="G18" s="278"/>
      <c r="H18" s="262"/>
      <c r="I18" s="280">
        <f t="shared" si="1"/>
        <v>2513.52</v>
      </c>
      <c r="J18" s="281">
        <f t="shared" si="2"/>
        <v>95</v>
      </c>
    </row>
    <row r="19" spans="1:10" x14ac:dyDescent="0.25">
      <c r="A19" s="2"/>
      <c r="B19" s="84"/>
      <c r="C19" s="15"/>
      <c r="D19" s="196"/>
      <c r="E19" s="357"/>
      <c r="F19" s="70">
        <f t="shared" si="3"/>
        <v>0</v>
      </c>
      <c r="G19" s="278"/>
      <c r="H19" s="262"/>
      <c r="I19" s="280">
        <f t="shared" si="1"/>
        <v>2513.52</v>
      </c>
      <c r="J19" s="281">
        <f t="shared" si="2"/>
        <v>95</v>
      </c>
    </row>
    <row r="20" spans="1:10" x14ac:dyDescent="0.25">
      <c r="A20" s="2"/>
      <c r="B20" s="84"/>
      <c r="C20" s="15"/>
      <c r="D20" s="196"/>
      <c r="E20" s="341"/>
      <c r="F20" s="70">
        <f t="shared" si="3"/>
        <v>0</v>
      </c>
      <c r="G20" s="278"/>
      <c r="H20" s="262"/>
      <c r="I20" s="280">
        <f t="shared" si="1"/>
        <v>2513.52</v>
      </c>
      <c r="J20" s="281">
        <f t="shared" si="2"/>
        <v>95</v>
      </c>
    </row>
    <row r="21" spans="1:10" x14ac:dyDescent="0.25">
      <c r="A21" s="2"/>
      <c r="B21" s="84"/>
      <c r="C21" s="15"/>
      <c r="D21" s="196"/>
      <c r="E21" s="341"/>
      <c r="F21" s="70">
        <f t="shared" si="3"/>
        <v>0</v>
      </c>
      <c r="G21" s="71"/>
      <c r="H21" s="132"/>
      <c r="I21" s="235">
        <f t="shared" si="1"/>
        <v>2513.52</v>
      </c>
      <c r="J21" s="131">
        <f t="shared" si="2"/>
        <v>95</v>
      </c>
    </row>
    <row r="22" spans="1:10" x14ac:dyDescent="0.25">
      <c r="A22" s="2"/>
      <c r="B22" s="84"/>
      <c r="C22" s="15"/>
      <c r="D22" s="196"/>
      <c r="E22" s="341"/>
      <c r="F22" s="70">
        <f t="shared" si="3"/>
        <v>0</v>
      </c>
      <c r="G22" s="71"/>
      <c r="H22" s="132"/>
      <c r="I22" s="235">
        <f t="shared" si="1"/>
        <v>2513.52</v>
      </c>
      <c r="J22" s="131">
        <f t="shared" si="2"/>
        <v>95</v>
      </c>
    </row>
    <row r="23" spans="1:10" x14ac:dyDescent="0.25">
      <c r="A23" s="2"/>
      <c r="B23" s="84"/>
      <c r="C23" s="15"/>
      <c r="D23" s="196"/>
      <c r="E23" s="341"/>
      <c r="F23" s="70">
        <f t="shared" si="3"/>
        <v>0</v>
      </c>
      <c r="G23" s="71"/>
      <c r="H23" s="132"/>
      <c r="I23" s="235">
        <f t="shared" si="1"/>
        <v>2513.52</v>
      </c>
      <c r="J23" s="131">
        <f t="shared" si="2"/>
        <v>95</v>
      </c>
    </row>
    <row r="24" spans="1:10" x14ac:dyDescent="0.25">
      <c r="A24" s="2"/>
      <c r="B24" s="84"/>
      <c r="C24" s="15"/>
      <c r="D24" s="196"/>
      <c r="E24" s="357"/>
      <c r="F24" s="70">
        <f t="shared" si="3"/>
        <v>0</v>
      </c>
      <c r="G24" s="71"/>
      <c r="H24" s="132"/>
      <c r="I24" s="235">
        <f t="shared" si="1"/>
        <v>2513.52</v>
      </c>
      <c r="J24" s="131">
        <f t="shared" si="2"/>
        <v>95</v>
      </c>
    </row>
    <row r="25" spans="1:10" x14ac:dyDescent="0.25">
      <c r="A25" s="2"/>
      <c r="B25" s="84"/>
      <c r="C25" s="15"/>
      <c r="D25" s="196"/>
      <c r="E25" s="357"/>
      <c r="F25" s="70">
        <f t="shared" si="3"/>
        <v>0</v>
      </c>
      <c r="G25" s="71"/>
      <c r="H25" s="132"/>
      <c r="I25" s="235">
        <f t="shared" si="1"/>
        <v>2513.52</v>
      </c>
      <c r="J25" s="131">
        <f t="shared" si="2"/>
        <v>95</v>
      </c>
    </row>
    <row r="26" spans="1:10" x14ac:dyDescent="0.25">
      <c r="A26" s="2"/>
      <c r="B26" s="84"/>
      <c r="C26" s="15"/>
      <c r="D26" s="196"/>
      <c r="E26" s="357"/>
      <c r="F26" s="70">
        <f t="shared" si="3"/>
        <v>0</v>
      </c>
      <c r="G26" s="71"/>
      <c r="H26" s="132"/>
      <c r="I26" s="235">
        <f t="shared" si="1"/>
        <v>2513.52</v>
      </c>
      <c r="J26" s="131">
        <f t="shared" si="2"/>
        <v>95</v>
      </c>
    </row>
    <row r="27" spans="1:10" x14ac:dyDescent="0.25">
      <c r="A27" s="197"/>
      <c r="B27" s="84"/>
      <c r="C27" s="15"/>
      <c r="D27" s="196"/>
      <c r="E27" s="357"/>
      <c r="F27" s="70">
        <f t="shared" si="3"/>
        <v>0</v>
      </c>
      <c r="G27" s="71"/>
      <c r="H27" s="132"/>
      <c r="I27" s="235">
        <f t="shared" si="1"/>
        <v>2513.52</v>
      </c>
      <c r="J27" s="131">
        <f t="shared" si="2"/>
        <v>95</v>
      </c>
    </row>
    <row r="28" spans="1:10" x14ac:dyDescent="0.25">
      <c r="A28" s="197"/>
      <c r="B28" s="84"/>
      <c r="C28" s="15"/>
      <c r="D28" s="196"/>
      <c r="E28" s="341"/>
      <c r="F28" s="70">
        <f t="shared" si="3"/>
        <v>0</v>
      </c>
      <c r="G28" s="278"/>
      <c r="H28" s="262"/>
      <c r="I28" s="280">
        <f t="shared" si="1"/>
        <v>2513.52</v>
      </c>
      <c r="J28" s="281">
        <f t="shared" si="2"/>
        <v>95</v>
      </c>
    </row>
    <row r="29" spans="1:10" x14ac:dyDescent="0.25">
      <c r="A29" s="197"/>
      <c r="B29" s="84"/>
      <c r="C29" s="15"/>
      <c r="D29" s="196"/>
      <c r="E29" s="341"/>
      <c r="F29" s="70">
        <f t="shared" si="3"/>
        <v>0</v>
      </c>
      <c r="G29" s="278"/>
      <c r="H29" s="262"/>
      <c r="I29" s="280">
        <f t="shared" si="1"/>
        <v>2513.52</v>
      </c>
      <c r="J29" s="281">
        <f t="shared" si="2"/>
        <v>95</v>
      </c>
    </row>
    <row r="30" spans="1:10" x14ac:dyDescent="0.25">
      <c r="A30" s="197"/>
      <c r="B30" s="84"/>
      <c r="C30" s="15"/>
      <c r="D30" s="196"/>
      <c r="E30" s="341"/>
      <c r="F30" s="70">
        <f t="shared" si="3"/>
        <v>0</v>
      </c>
      <c r="G30" s="278"/>
      <c r="H30" s="262"/>
      <c r="I30" s="280">
        <f t="shared" si="1"/>
        <v>2513.52</v>
      </c>
      <c r="J30" s="281">
        <f t="shared" si="2"/>
        <v>95</v>
      </c>
    </row>
    <row r="31" spans="1:10" x14ac:dyDescent="0.25">
      <c r="A31" s="197"/>
      <c r="B31" s="84"/>
      <c r="C31" s="15"/>
      <c r="D31" s="196"/>
      <c r="E31" s="341"/>
      <c r="F31" s="70">
        <f t="shared" si="3"/>
        <v>0</v>
      </c>
      <c r="G31" s="278"/>
      <c r="H31" s="262"/>
      <c r="I31" s="280">
        <f t="shared" si="1"/>
        <v>2513.52</v>
      </c>
      <c r="J31" s="281">
        <f t="shared" si="2"/>
        <v>95</v>
      </c>
    </row>
    <row r="32" spans="1:10" x14ac:dyDescent="0.25">
      <c r="A32" s="2"/>
      <c r="B32" s="84"/>
      <c r="C32" s="15"/>
      <c r="D32" s="196"/>
      <c r="E32" s="341"/>
      <c r="F32" s="70">
        <f t="shared" si="3"/>
        <v>0</v>
      </c>
      <c r="G32" s="278"/>
      <c r="H32" s="262"/>
      <c r="I32" s="280">
        <f t="shared" si="1"/>
        <v>2513.52</v>
      </c>
      <c r="J32" s="281">
        <f t="shared" si="2"/>
        <v>95</v>
      </c>
    </row>
    <row r="33" spans="1:10" x14ac:dyDescent="0.25">
      <c r="A33" s="2"/>
      <c r="B33" s="84"/>
      <c r="C33" s="15"/>
      <c r="D33" s="196"/>
      <c r="E33" s="341"/>
      <c r="F33" s="70">
        <f t="shared" si="3"/>
        <v>0</v>
      </c>
      <c r="G33" s="71"/>
      <c r="H33" s="132"/>
      <c r="I33" s="235">
        <f t="shared" si="1"/>
        <v>2513.52</v>
      </c>
      <c r="J33" s="131">
        <f t="shared" si="2"/>
        <v>95</v>
      </c>
    </row>
    <row r="34" spans="1:10" x14ac:dyDescent="0.25">
      <c r="A34" s="2"/>
      <c r="B34" s="84"/>
      <c r="C34" s="15"/>
      <c r="D34" s="196"/>
      <c r="E34" s="341"/>
      <c r="F34" s="70">
        <f t="shared" si="3"/>
        <v>0</v>
      </c>
      <c r="G34" s="71"/>
      <c r="H34" s="132"/>
      <c r="I34" s="235">
        <f t="shared" si="1"/>
        <v>2513.52</v>
      </c>
      <c r="J34" s="131">
        <f t="shared" si="2"/>
        <v>95</v>
      </c>
    </row>
    <row r="35" spans="1:10" x14ac:dyDescent="0.25">
      <c r="A35" s="2"/>
      <c r="B35" s="84"/>
      <c r="C35" s="15"/>
      <c r="D35" s="196"/>
      <c r="E35" s="342"/>
      <c r="F35" s="70">
        <f t="shared" si="3"/>
        <v>0</v>
      </c>
      <c r="G35" s="71"/>
      <c r="H35" s="132"/>
      <c r="I35" s="235">
        <f t="shared" si="1"/>
        <v>2513.52</v>
      </c>
      <c r="J35" s="131">
        <f t="shared" si="2"/>
        <v>95</v>
      </c>
    </row>
    <row r="36" spans="1:10" x14ac:dyDescent="0.25">
      <c r="A36" s="2"/>
      <c r="B36" s="84"/>
      <c r="C36" s="15"/>
      <c r="D36" s="196"/>
      <c r="E36" s="342"/>
      <c r="F36" s="70">
        <f t="shared" si="3"/>
        <v>0</v>
      </c>
      <c r="G36" s="71"/>
      <c r="H36" s="132"/>
      <c r="I36" s="235">
        <f t="shared" si="1"/>
        <v>2513.52</v>
      </c>
      <c r="J36" s="131">
        <f t="shared" si="2"/>
        <v>95</v>
      </c>
    </row>
    <row r="37" spans="1:10" x14ac:dyDescent="0.25">
      <c r="A37" s="2"/>
      <c r="B37" s="84"/>
      <c r="C37" s="15"/>
      <c r="D37" s="196"/>
      <c r="E37" s="342"/>
      <c r="F37" s="70">
        <f t="shared" si="3"/>
        <v>0</v>
      </c>
      <c r="G37" s="71"/>
      <c r="H37" s="132"/>
      <c r="I37" s="235">
        <f t="shared" si="1"/>
        <v>2513.52</v>
      </c>
      <c r="J37" s="131">
        <f t="shared" si="2"/>
        <v>95</v>
      </c>
    </row>
    <row r="38" spans="1:10" x14ac:dyDescent="0.25">
      <c r="A38" s="2"/>
      <c r="B38" s="84"/>
      <c r="C38" s="15"/>
      <c r="D38" s="196"/>
      <c r="E38" s="342"/>
      <c r="F38" s="70">
        <f t="shared" si="3"/>
        <v>0</v>
      </c>
      <c r="G38" s="71"/>
      <c r="H38" s="132"/>
      <c r="I38" s="235">
        <f t="shared" si="1"/>
        <v>2513.52</v>
      </c>
      <c r="J38" s="131">
        <f t="shared" si="2"/>
        <v>95</v>
      </c>
    </row>
    <row r="39" spans="1:10" x14ac:dyDescent="0.25">
      <c r="A39" s="2"/>
      <c r="B39" s="84"/>
      <c r="C39" s="15"/>
      <c r="D39" s="196">
        <f t="shared" ref="D39:D41" si="4">C39*B39</f>
        <v>0</v>
      </c>
      <c r="E39" s="342"/>
      <c r="F39" s="70">
        <f t="shared" si="3"/>
        <v>0</v>
      </c>
      <c r="G39" s="71"/>
      <c r="H39" s="132"/>
      <c r="I39" s="235">
        <f t="shared" si="1"/>
        <v>2513.52</v>
      </c>
      <c r="J39" s="131">
        <f t="shared" si="2"/>
        <v>95</v>
      </c>
    </row>
    <row r="40" spans="1:10" x14ac:dyDescent="0.25">
      <c r="A40" s="2"/>
      <c r="B40" s="84"/>
      <c r="C40" s="15"/>
      <c r="D40" s="196">
        <f t="shared" si="4"/>
        <v>0</v>
      </c>
      <c r="E40" s="342"/>
      <c r="F40" s="70">
        <f t="shared" si="3"/>
        <v>0</v>
      </c>
      <c r="G40" s="71"/>
      <c r="H40" s="72"/>
      <c r="I40" s="235">
        <f t="shared" si="1"/>
        <v>2513.52</v>
      </c>
      <c r="J40" s="131">
        <f t="shared" si="2"/>
        <v>95</v>
      </c>
    </row>
    <row r="41" spans="1:10" x14ac:dyDescent="0.25">
      <c r="A41" s="2"/>
      <c r="B41" s="84"/>
      <c r="C41" s="15"/>
      <c r="D41" s="196">
        <f t="shared" si="4"/>
        <v>0</v>
      </c>
      <c r="E41" s="342"/>
      <c r="F41" s="70">
        <f t="shared" si="3"/>
        <v>0</v>
      </c>
      <c r="G41" s="71"/>
      <c r="H41" s="72"/>
      <c r="I41" s="235">
        <f>I40-F41</f>
        <v>2513.52</v>
      </c>
      <c r="J41" s="131">
        <f t="shared" si="2"/>
        <v>95</v>
      </c>
    </row>
    <row r="42" spans="1:10" x14ac:dyDescent="0.25">
      <c r="A42" s="2"/>
      <c r="B42" s="84"/>
      <c r="C42" s="15"/>
      <c r="D42" s="196"/>
      <c r="E42" s="342"/>
      <c r="F42" s="70"/>
      <c r="G42" s="71"/>
      <c r="H42" s="72"/>
      <c r="I42" s="235">
        <f t="shared" ref="I42:I58" si="5">I41-F42</f>
        <v>2513.52</v>
      </c>
      <c r="J42" s="131">
        <f t="shared" si="2"/>
        <v>95</v>
      </c>
    </row>
    <row r="43" spans="1:10" x14ac:dyDescent="0.25">
      <c r="A43" s="2"/>
      <c r="B43" s="84"/>
      <c r="C43" s="15"/>
      <c r="D43" s="196"/>
      <c r="E43" s="342"/>
      <c r="F43" s="70"/>
      <c r="G43" s="71"/>
      <c r="H43" s="72"/>
      <c r="I43" s="235">
        <f t="shared" si="5"/>
        <v>2513.52</v>
      </c>
      <c r="J43" s="131">
        <f t="shared" si="2"/>
        <v>95</v>
      </c>
    </row>
    <row r="44" spans="1:10" x14ac:dyDescent="0.25">
      <c r="A44" s="2"/>
      <c r="B44" s="84"/>
      <c r="C44" s="15"/>
      <c r="D44" s="196"/>
      <c r="E44" s="342"/>
      <c r="F44" s="70"/>
      <c r="G44" s="71"/>
      <c r="H44" s="72"/>
      <c r="I44" s="235">
        <f t="shared" si="5"/>
        <v>2513.52</v>
      </c>
      <c r="J44" s="131">
        <f t="shared" si="2"/>
        <v>95</v>
      </c>
    </row>
    <row r="45" spans="1:10" x14ac:dyDescent="0.25">
      <c r="A45" s="2"/>
      <c r="B45" s="84"/>
      <c r="C45" s="15"/>
      <c r="D45" s="196"/>
      <c r="E45" s="342"/>
      <c r="F45" s="70"/>
      <c r="G45" s="71"/>
      <c r="H45" s="72"/>
      <c r="I45" s="235">
        <f t="shared" si="5"/>
        <v>2513.52</v>
      </c>
      <c r="J45" s="131">
        <f t="shared" si="2"/>
        <v>95</v>
      </c>
    </row>
    <row r="46" spans="1:10" x14ac:dyDescent="0.25">
      <c r="A46" s="2"/>
      <c r="B46" s="84"/>
      <c r="C46" s="15"/>
      <c r="D46" s="196"/>
      <c r="E46" s="342"/>
      <c r="F46" s="70"/>
      <c r="G46" s="71"/>
      <c r="H46" s="72"/>
      <c r="I46" s="235">
        <f t="shared" si="5"/>
        <v>2513.52</v>
      </c>
      <c r="J46" s="131">
        <f t="shared" si="2"/>
        <v>95</v>
      </c>
    </row>
    <row r="47" spans="1:10" x14ac:dyDescent="0.25">
      <c r="A47" s="2"/>
      <c r="B47" s="84"/>
      <c r="C47" s="15"/>
      <c r="D47" s="196"/>
      <c r="E47" s="342"/>
      <c r="F47" s="70"/>
      <c r="G47" s="71"/>
      <c r="H47" s="72"/>
      <c r="I47" s="235">
        <f t="shared" si="5"/>
        <v>2513.52</v>
      </c>
      <c r="J47" s="131">
        <f t="shared" si="2"/>
        <v>95</v>
      </c>
    </row>
    <row r="48" spans="1:10" x14ac:dyDescent="0.25">
      <c r="A48" s="2"/>
      <c r="B48" s="84"/>
      <c r="C48" s="15"/>
      <c r="D48" s="196"/>
      <c r="E48" s="342"/>
      <c r="F48" s="70"/>
      <c r="G48" s="71"/>
      <c r="H48" s="72"/>
      <c r="I48" s="235">
        <f t="shared" si="5"/>
        <v>2513.52</v>
      </c>
      <c r="J48" s="131">
        <f t="shared" si="2"/>
        <v>95</v>
      </c>
    </row>
    <row r="49" spans="1:10" x14ac:dyDescent="0.25">
      <c r="A49" s="2"/>
      <c r="B49" s="84"/>
      <c r="C49" s="15"/>
      <c r="D49" s="196"/>
      <c r="E49" s="342"/>
      <c r="F49" s="70"/>
      <c r="G49" s="71"/>
      <c r="H49" s="72"/>
      <c r="I49" s="235">
        <f t="shared" si="5"/>
        <v>2513.52</v>
      </c>
      <c r="J49" s="131">
        <f t="shared" si="2"/>
        <v>95</v>
      </c>
    </row>
    <row r="50" spans="1:10" x14ac:dyDescent="0.25">
      <c r="A50" s="2"/>
      <c r="B50" s="84"/>
      <c r="C50" s="15"/>
      <c r="D50" s="196"/>
      <c r="E50" s="342"/>
      <c r="F50" s="70"/>
      <c r="G50" s="71"/>
      <c r="H50" s="72"/>
      <c r="I50" s="235">
        <f t="shared" si="5"/>
        <v>2513.52</v>
      </c>
      <c r="J50" s="131">
        <f t="shared" si="2"/>
        <v>95</v>
      </c>
    </row>
    <row r="51" spans="1:10" x14ac:dyDescent="0.25">
      <c r="A51" s="2"/>
      <c r="B51" s="84"/>
      <c r="C51" s="15"/>
      <c r="D51" s="196"/>
      <c r="E51" s="342"/>
      <c r="F51" s="70"/>
      <c r="G51" s="71"/>
      <c r="H51" s="72"/>
      <c r="I51" s="235">
        <f t="shared" si="5"/>
        <v>2513.52</v>
      </c>
      <c r="J51" s="131">
        <f t="shared" si="2"/>
        <v>95</v>
      </c>
    </row>
    <row r="52" spans="1:10" x14ac:dyDescent="0.25">
      <c r="A52" s="2"/>
      <c r="B52" s="84"/>
      <c r="C52" s="15"/>
      <c r="D52" s="196"/>
      <c r="E52" s="342"/>
      <c r="F52" s="70"/>
      <c r="G52" s="71"/>
      <c r="H52" s="72"/>
      <c r="I52" s="235">
        <f t="shared" si="5"/>
        <v>2513.52</v>
      </c>
      <c r="J52" s="131">
        <f t="shared" si="2"/>
        <v>95</v>
      </c>
    </row>
    <row r="53" spans="1:10" x14ac:dyDescent="0.25">
      <c r="A53" s="2"/>
      <c r="B53" s="84"/>
      <c r="C53" s="15"/>
      <c r="D53" s="196"/>
      <c r="E53" s="342"/>
      <c r="F53" s="70"/>
      <c r="G53" s="71"/>
      <c r="H53" s="72"/>
      <c r="I53" s="235">
        <f t="shared" si="5"/>
        <v>2513.52</v>
      </c>
      <c r="J53" s="131">
        <f t="shared" si="2"/>
        <v>95</v>
      </c>
    </row>
    <row r="54" spans="1:10" x14ac:dyDescent="0.25">
      <c r="A54" s="2"/>
      <c r="B54" s="84"/>
      <c r="C54" s="15"/>
      <c r="D54" s="196"/>
      <c r="E54" s="342"/>
      <c r="F54" s="70"/>
      <c r="G54" s="71"/>
      <c r="H54" s="72"/>
      <c r="I54" s="235">
        <f t="shared" si="5"/>
        <v>2513.52</v>
      </c>
      <c r="J54" s="131">
        <f t="shared" si="2"/>
        <v>95</v>
      </c>
    </row>
    <row r="55" spans="1:10" x14ac:dyDescent="0.25">
      <c r="A55" s="2"/>
      <c r="B55" s="84"/>
      <c r="C55" s="15"/>
      <c r="D55" s="196"/>
      <c r="E55" s="342"/>
      <c r="F55" s="70"/>
      <c r="G55" s="71"/>
      <c r="H55" s="72"/>
      <c r="I55" s="235">
        <f t="shared" si="5"/>
        <v>2513.52</v>
      </c>
      <c r="J55" s="131">
        <f t="shared" si="2"/>
        <v>95</v>
      </c>
    </row>
    <row r="56" spans="1:10" x14ac:dyDescent="0.25">
      <c r="A56" s="2"/>
      <c r="B56" s="84"/>
      <c r="C56" s="15"/>
      <c r="D56" s="196"/>
      <c r="E56" s="342"/>
      <c r="F56" s="70"/>
      <c r="G56" s="71"/>
      <c r="H56" s="72"/>
      <c r="I56" s="235">
        <f t="shared" si="5"/>
        <v>2513.52</v>
      </c>
      <c r="J56" s="131">
        <f t="shared" si="2"/>
        <v>95</v>
      </c>
    </row>
    <row r="57" spans="1:10" x14ac:dyDescent="0.25">
      <c r="A57" s="2"/>
      <c r="B57" s="84"/>
      <c r="C57" s="15"/>
      <c r="D57" s="196"/>
      <c r="E57" s="342"/>
      <c r="F57" s="70"/>
      <c r="G57" s="71"/>
      <c r="H57" s="72"/>
      <c r="I57" s="235">
        <f t="shared" si="5"/>
        <v>2513.52</v>
      </c>
      <c r="J57" s="131">
        <f t="shared" si="2"/>
        <v>95</v>
      </c>
    </row>
    <row r="58" spans="1:10" x14ac:dyDescent="0.25">
      <c r="A58" s="2"/>
      <c r="B58" s="84"/>
      <c r="C58" s="15"/>
      <c r="D58" s="196"/>
      <c r="E58" s="342"/>
      <c r="F58" s="70"/>
      <c r="G58" s="71"/>
      <c r="H58" s="72"/>
      <c r="I58" s="235">
        <f t="shared" si="5"/>
        <v>2513.52</v>
      </c>
      <c r="J58" s="131">
        <f t="shared" si="2"/>
        <v>95</v>
      </c>
    </row>
    <row r="59" spans="1:10" x14ac:dyDescent="0.25">
      <c r="A59" s="2"/>
      <c r="B59" s="84"/>
      <c r="C59" s="15"/>
      <c r="D59" s="196"/>
      <c r="E59" s="342"/>
      <c r="F59" s="70"/>
      <c r="G59" s="71"/>
      <c r="H59" s="72"/>
      <c r="I59" s="235"/>
      <c r="J59" s="131"/>
    </row>
    <row r="60" spans="1:10" x14ac:dyDescent="0.25">
      <c r="A60" s="2"/>
      <c r="B60" s="84"/>
      <c r="C60" s="15"/>
      <c r="D60" s="196"/>
      <c r="E60" s="342"/>
      <c r="F60" s="70"/>
      <c r="G60" s="71"/>
      <c r="H60" s="72"/>
      <c r="I60" s="235"/>
      <c r="J60" s="131"/>
    </row>
    <row r="61" spans="1:10" x14ac:dyDescent="0.25">
      <c r="A61" s="2"/>
      <c r="B61" s="84"/>
      <c r="C61" s="15"/>
      <c r="D61" s="196"/>
      <c r="E61" s="342"/>
      <c r="F61" s="70"/>
      <c r="G61" s="71"/>
      <c r="H61" s="72"/>
      <c r="I61" s="235"/>
      <c r="J61" s="131"/>
    </row>
    <row r="62" spans="1:10" x14ac:dyDescent="0.25">
      <c r="A62" s="2"/>
      <c r="B62" s="84"/>
      <c r="C62" s="15"/>
      <c r="D62" s="196"/>
      <c r="E62" s="342"/>
      <c r="F62" s="70"/>
      <c r="G62" s="71"/>
      <c r="H62" s="72"/>
      <c r="I62" s="235"/>
      <c r="J62" s="131"/>
    </row>
    <row r="63" spans="1:10" x14ac:dyDescent="0.25">
      <c r="A63" s="2"/>
      <c r="B63" s="84"/>
      <c r="C63" s="15"/>
      <c r="D63" s="196"/>
      <c r="E63" s="342"/>
      <c r="F63" s="70"/>
      <c r="G63" s="71"/>
      <c r="H63" s="72"/>
      <c r="I63" s="235"/>
      <c r="J63" s="131"/>
    </row>
    <row r="64" spans="1:10" x14ac:dyDescent="0.25">
      <c r="A64" s="2"/>
      <c r="B64" s="84"/>
      <c r="C64" s="15"/>
      <c r="D64" s="196"/>
      <c r="E64" s="342"/>
      <c r="F64" s="70"/>
      <c r="G64" s="71"/>
      <c r="H64" s="72"/>
      <c r="I64" s="235"/>
      <c r="J64" s="131"/>
    </row>
    <row r="65" spans="1:10" x14ac:dyDescent="0.25">
      <c r="A65" s="2"/>
      <c r="B65" s="84"/>
      <c r="C65" s="15"/>
      <c r="D65" s="196"/>
      <c r="E65" s="342"/>
      <c r="F65" s="70"/>
      <c r="G65" s="71"/>
      <c r="H65" s="72"/>
      <c r="I65" s="235"/>
      <c r="J65" s="131"/>
    </row>
    <row r="66" spans="1:10" x14ac:dyDescent="0.25">
      <c r="A66" s="2"/>
      <c r="B66" s="84"/>
      <c r="C66" s="15"/>
      <c r="D66" s="196"/>
      <c r="E66" s="342"/>
      <c r="F66" s="70"/>
      <c r="G66" s="71"/>
      <c r="H66" s="72"/>
      <c r="I66" s="235"/>
      <c r="J66" s="131"/>
    </row>
    <row r="67" spans="1:10" x14ac:dyDescent="0.25">
      <c r="A67" s="2"/>
      <c r="B67" s="84"/>
      <c r="C67" s="15"/>
      <c r="D67" s="196"/>
      <c r="E67" s="342"/>
      <c r="F67" s="70"/>
      <c r="G67" s="71"/>
      <c r="H67" s="72"/>
      <c r="I67" s="235"/>
      <c r="J67" s="131"/>
    </row>
    <row r="68" spans="1:10" x14ac:dyDescent="0.25">
      <c r="A68" s="2"/>
      <c r="B68" s="84"/>
      <c r="C68" s="15"/>
      <c r="D68" s="196"/>
      <c r="E68" s="342"/>
      <c r="F68" s="70"/>
      <c r="G68" s="71"/>
      <c r="H68" s="72"/>
      <c r="I68" s="235"/>
      <c r="J68" s="131"/>
    </row>
    <row r="69" spans="1:10" x14ac:dyDescent="0.25">
      <c r="A69" s="2"/>
      <c r="B69" s="84"/>
      <c r="C69" s="15"/>
      <c r="D69" s="196"/>
      <c r="E69" s="342"/>
      <c r="F69" s="70"/>
      <c r="G69" s="71"/>
      <c r="H69" s="72"/>
      <c r="I69" s="235"/>
      <c r="J69" s="131"/>
    </row>
    <row r="70" spans="1:10" x14ac:dyDescent="0.25">
      <c r="A70" s="2"/>
      <c r="B70" s="84"/>
      <c r="C70" s="15"/>
      <c r="D70" s="196"/>
      <c r="E70" s="342"/>
      <c r="F70" s="70"/>
      <c r="G70" s="71"/>
      <c r="H70" s="72"/>
      <c r="I70" s="235"/>
      <c r="J70" s="131"/>
    </row>
    <row r="71" spans="1:10" x14ac:dyDescent="0.25">
      <c r="A71" s="2"/>
      <c r="B71" s="84"/>
      <c r="C71" s="15"/>
      <c r="D71" s="196"/>
      <c r="E71" s="342"/>
      <c r="F71" s="70"/>
      <c r="G71" s="71"/>
      <c r="H71" s="72"/>
      <c r="I71" s="235"/>
      <c r="J71" s="131"/>
    </row>
    <row r="72" spans="1:10" x14ac:dyDescent="0.25">
      <c r="A72" s="2"/>
      <c r="B72" s="84"/>
      <c r="C72" s="15"/>
      <c r="D72" s="196"/>
      <c r="E72" s="342"/>
      <c r="F72" s="70"/>
      <c r="G72" s="71"/>
      <c r="H72" s="72"/>
      <c r="I72" s="235"/>
      <c r="J72" s="131"/>
    </row>
    <row r="73" spans="1:10" x14ac:dyDescent="0.25">
      <c r="A73" s="2"/>
      <c r="B73" s="84"/>
      <c r="C73" s="15"/>
      <c r="D73" s="196"/>
      <c r="E73" s="342"/>
      <c r="F73" s="70"/>
      <c r="G73" s="71"/>
      <c r="H73" s="72"/>
      <c r="I73" s="235"/>
      <c r="J73" s="131"/>
    </row>
    <row r="74" spans="1:10" x14ac:dyDescent="0.25">
      <c r="A74" s="2"/>
      <c r="B74" s="84"/>
      <c r="C74" s="15"/>
      <c r="D74" s="196"/>
      <c r="E74" s="342"/>
      <c r="F74" s="70"/>
      <c r="G74" s="71"/>
      <c r="H74" s="72"/>
      <c r="I74" s="235"/>
      <c r="J74" s="131"/>
    </row>
    <row r="75" spans="1:10" x14ac:dyDescent="0.25">
      <c r="A75" s="2"/>
      <c r="B75" s="84"/>
      <c r="C75" s="15"/>
      <c r="D75" s="196"/>
      <c r="E75" s="342"/>
      <c r="F75" s="70"/>
      <c r="G75" s="71"/>
      <c r="H75" s="72"/>
      <c r="I75" s="235"/>
      <c r="J75" s="131"/>
    </row>
    <row r="76" spans="1:10" x14ac:dyDescent="0.25">
      <c r="A76" s="2"/>
      <c r="B76" s="84"/>
      <c r="C76" s="15"/>
      <c r="D76" s="196"/>
      <c r="E76" s="342"/>
      <c r="F76" s="70"/>
      <c r="G76" s="71"/>
      <c r="H76" s="72"/>
      <c r="I76" s="235"/>
      <c r="J76" s="131"/>
    </row>
    <row r="77" spans="1:10" x14ac:dyDescent="0.25">
      <c r="A77" s="2"/>
      <c r="B77" s="84"/>
      <c r="C77" s="15"/>
      <c r="D77" s="196"/>
      <c r="E77" s="342"/>
      <c r="F77" s="70"/>
      <c r="G77" s="71"/>
      <c r="H77" s="72"/>
      <c r="I77" s="235"/>
      <c r="J77" s="131"/>
    </row>
    <row r="78" spans="1:10" x14ac:dyDescent="0.25">
      <c r="A78" s="2"/>
      <c r="B78" s="84"/>
      <c r="C78" s="15"/>
      <c r="D78" s="196"/>
      <c r="E78" s="342"/>
      <c r="F78" s="70"/>
      <c r="G78" s="71"/>
      <c r="H78" s="72"/>
      <c r="I78" s="235"/>
      <c r="J78" s="131"/>
    </row>
    <row r="79" spans="1:10" x14ac:dyDescent="0.25">
      <c r="A79" s="2"/>
      <c r="B79" s="84"/>
      <c r="C79" s="15"/>
      <c r="D79" s="196"/>
      <c r="E79" s="342"/>
      <c r="F79" s="70"/>
      <c r="G79" s="71"/>
      <c r="H79" s="72"/>
      <c r="I79" s="235"/>
      <c r="J79" s="131"/>
    </row>
    <row r="80" spans="1:10" x14ac:dyDescent="0.25">
      <c r="A80" s="2"/>
      <c r="B80" s="84"/>
      <c r="C80" s="15"/>
      <c r="D80" s="196"/>
      <c r="E80" s="342"/>
      <c r="F80" s="70"/>
      <c r="G80" s="71"/>
      <c r="H80" s="72"/>
      <c r="I80" s="235"/>
      <c r="J80" s="131"/>
    </row>
    <row r="81" spans="1:10" x14ac:dyDescent="0.25">
      <c r="A81" s="2"/>
      <c r="B81" s="84"/>
      <c r="C81" s="15"/>
      <c r="D81" s="196"/>
      <c r="E81" s="342"/>
      <c r="F81" s="70"/>
      <c r="G81" s="71"/>
      <c r="H81" s="72"/>
      <c r="I81" s="235"/>
      <c r="J81" s="131"/>
    </row>
    <row r="82" spans="1:10" x14ac:dyDescent="0.25">
      <c r="A82" s="2"/>
      <c r="B82" s="84"/>
      <c r="C82" s="15"/>
      <c r="D82" s="196"/>
      <c r="E82" s="342"/>
      <c r="F82" s="70"/>
      <c r="G82" s="71"/>
      <c r="H82" s="72"/>
      <c r="I82" s="235"/>
      <c r="J82" s="131"/>
    </row>
    <row r="83" spans="1:10" x14ac:dyDescent="0.25">
      <c r="A83" s="2"/>
      <c r="B83" s="84"/>
      <c r="C83" s="15"/>
      <c r="D83" s="196"/>
      <c r="E83" s="342"/>
      <c r="F83" s="70"/>
      <c r="G83" s="71"/>
      <c r="H83" s="72"/>
      <c r="I83" s="235"/>
      <c r="J83" s="131"/>
    </row>
    <row r="84" spans="1:10" x14ac:dyDescent="0.25">
      <c r="A84" s="2"/>
      <c r="B84" s="84"/>
      <c r="C84" s="15"/>
      <c r="D84" s="196"/>
      <c r="E84" s="342"/>
      <c r="F84" s="70"/>
      <c r="G84" s="71"/>
      <c r="H84" s="72"/>
      <c r="I84" s="235"/>
      <c r="J84" s="131"/>
    </row>
    <row r="85" spans="1:10" x14ac:dyDescent="0.25">
      <c r="A85" s="2"/>
      <c r="B85" s="84"/>
      <c r="C85" s="15"/>
      <c r="D85" s="196"/>
      <c r="E85" s="342"/>
      <c r="F85" s="70"/>
      <c r="G85" s="71"/>
      <c r="H85" s="72"/>
      <c r="I85" s="235"/>
      <c r="J85" s="131"/>
    </row>
    <row r="86" spans="1:10" x14ac:dyDescent="0.25">
      <c r="A86" s="2"/>
      <c r="B86" s="84"/>
      <c r="C86" s="15"/>
      <c r="D86" s="196"/>
      <c r="E86" s="342"/>
      <c r="F86" s="70"/>
      <c r="G86" s="71"/>
      <c r="H86" s="72"/>
      <c r="I86" s="235"/>
      <c r="J86" s="131"/>
    </row>
    <row r="87" spans="1:10" x14ac:dyDescent="0.25">
      <c r="A87" s="2"/>
      <c r="B87" s="84"/>
      <c r="C87" s="15"/>
      <c r="D87" s="196"/>
      <c r="E87" s="342"/>
      <c r="F87" s="70"/>
      <c r="G87" s="71"/>
      <c r="H87" s="72"/>
      <c r="I87" s="235"/>
      <c r="J87" s="131"/>
    </row>
    <row r="88" spans="1:10" x14ac:dyDescent="0.25">
      <c r="A88" s="2"/>
      <c r="B88" s="84"/>
      <c r="C88" s="15"/>
      <c r="D88" s="196"/>
      <c r="E88" s="342"/>
      <c r="F88" s="70"/>
      <c r="G88" s="71"/>
      <c r="H88" s="72"/>
      <c r="I88" s="235"/>
      <c r="J88" s="131"/>
    </row>
    <row r="89" spans="1:10" x14ac:dyDescent="0.25">
      <c r="A89" s="2"/>
      <c r="B89" s="84"/>
      <c r="C89" s="15"/>
      <c r="D89" s="196"/>
      <c r="E89" s="342"/>
      <c r="F89" s="70"/>
      <c r="G89" s="71"/>
      <c r="H89" s="72"/>
      <c r="I89" s="235"/>
      <c r="J89" s="131"/>
    </row>
    <row r="90" spans="1:10" x14ac:dyDescent="0.25">
      <c r="A90" s="2"/>
      <c r="B90" s="84"/>
      <c r="C90" s="15"/>
      <c r="D90" s="196"/>
      <c r="E90" s="342"/>
      <c r="F90" s="70"/>
      <c r="G90" s="71"/>
      <c r="H90" s="72"/>
      <c r="I90" s="235"/>
      <c r="J90" s="131"/>
    </row>
    <row r="91" spans="1:10" x14ac:dyDescent="0.25">
      <c r="A91" s="2"/>
      <c r="B91" s="84"/>
      <c r="C91" s="15"/>
      <c r="D91" s="196"/>
      <c r="E91" s="342"/>
      <c r="F91" s="70"/>
      <c r="G91" s="71"/>
      <c r="H91" s="72"/>
      <c r="I91" s="235"/>
      <c r="J91" s="131"/>
    </row>
    <row r="92" spans="1:10" x14ac:dyDescent="0.25">
      <c r="A92" s="2"/>
      <c r="B92" s="84"/>
      <c r="C92" s="15"/>
      <c r="D92" s="196"/>
      <c r="E92" s="342"/>
      <c r="F92" s="70"/>
      <c r="G92" s="71"/>
      <c r="H92" s="72"/>
      <c r="I92" s="235"/>
      <c r="J92" s="131"/>
    </row>
    <row r="93" spans="1:10" x14ac:dyDescent="0.25">
      <c r="A93" s="2"/>
      <c r="B93" s="84"/>
      <c r="C93" s="15"/>
      <c r="D93" s="196"/>
      <c r="E93" s="342"/>
      <c r="F93" s="70"/>
      <c r="G93" s="71"/>
      <c r="H93" s="72"/>
      <c r="I93" s="235">
        <f>I58-F93</f>
        <v>2513.52</v>
      </c>
      <c r="J93" s="131">
        <f>J58-C93</f>
        <v>95</v>
      </c>
    </row>
    <row r="94" spans="1:10" x14ac:dyDescent="0.25">
      <c r="A94" s="2"/>
      <c r="B94" s="84"/>
      <c r="C94" s="15"/>
      <c r="D94" s="196"/>
      <c r="E94" s="342"/>
      <c r="F94" s="70"/>
      <c r="G94" s="71"/>
      <c r="H94" s="72"/>
      <c r="I94" s="235">
        <f t="shared" ref="I94:I95" si="6">I93-F94</f>
        <v>2513.52</v>
      </c>
      <c r="J94" s="131">
        <f t="shared" ref="J94" si="7">J93-C94</f>
        <v>95</v>
      </c>
    </row>
    <row r="95" spans="1:10" x14ac:dyDescent="0.25">
      <c r="A95" s="2"/>
      <c r="B95" s="84"/>
      <c r="C95" s="15"/>
      <c r="D95" s="196">
        <f t="shared" ref="D95" si="8">C95*B95</f>
        <v>0</v>
      </c>
      <c r="E95" s="342"/>
      <c r="F95" s="70">
        <f t="shared" ref="F95:F96" si="9">D95</f>
        <v>0</v>
      </c>
      <c r="G95" s="71"/>
      <c r="H95" s="72"/>
      <c r="I95" s="235">
        <f t="shared" si="6"/>
        <v>2513.52</v>
      </c>
      <c r="J95" s="131">
        <f>J41-C95</f>
        <v>95</v>
      </c>
    </row>
    <row r="96" spans="1:10" ht="15.75" thickBot="1" x14ac:dyDescent="0.3">
      <c r="A96" s="4"/>
      <c r="B96" s="84"/>
      <c r="C96" s="37"/>
      <c r="D96" s="208">
        <f>C96*B33</f>
        <v>0</v>
      </c>
      <c r="E96" s="168"/>
      <c r="F96" s="161">
        <f t="shared" si="9"/>
        <v>0</v>
      </c>
      <c r="G96" s="145"/>
      <c r="H96" s="72"/>
      <c r="J96" s="74"/>
    </row>
    <row r="97" spans="1:10" ht="16.5" thickTop="1" thickBot="1" x14ac:dyDescent="0.3">
      <c r="C97" s="91">
        <f>SUM(C8:C96)</f>
        <v>0</v>
      </c>
      <c r="D97" s="48">
        <f>SUM(D8:D96)</f>
        <v>0</v>
      </c>
      <c r="E97" s="38"/>
      <c r="F97" s="5">
        <f>SUM(F8:F96)</f>
        <v>0</v>
      </c>
      <c r="J97" s="74"/>
    </row>
    <row r="98" spans="1:10" ht="15.75" thickBot="1" x14ac:dyDescent="0.3">
      <c r="A98" s="51"/>
      <c r="D98" s="115" t="s">
        <v>4</v>
      </c>
      <c r="E98" s="69">
        <f>F4+F5+F6-+C97</f>
        <v>95</v>
      </c>
      <c r="J98" s="74"/>
    </row>
    <row r="99" spans="1:10" ht="15.75" thickBot="1" x14ac:dyDescent="0.3">
      <c r="A99" s="123"/>
    </row>
    <row r="100" spans="1:10" ht="16.5" thickTop="1" thickBot="1" x14ac:dyDescent="0.3">
      <c r="A100" s="47"/>
      <c r="C100" s="1194" t="s">
        <v>11</v>
      </c>
      <c r="D100" s="1195"/>
      <c r="E100" s="152">
        <f>E5+E4+E6+-F97</f>
        <v>2513.52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I8" sqref="I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72" t="s">
        <v>254</v>
      </c>
      <c r="B1" s="1172"/>
      <c r="C1" s="1172"/>
      <c r="D1" s="1172"/>
      <c r="E1" s="1172"/>
      <c r="F1" s="1172"/>
      <c r="G1" s="117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0">
        <v>66</v>
      </c>
      <c r="D4" s="326">
        <v>44510</v>
      </c>
      <c r="E4" s="327">
        <v>953</v>
      </c>
      <c r="F4" s="328">
        <v>35</v>
      </c>
    </row>
    <row r="5" spans="1:11" ht="15" customHeight="1" thickBot="1" x14ac:dyDescent="0.3">
      <c r="A5" s="1190" t="s">
        <v>67</v>
      </c>
      <c r="B5" s="1221" t="s">
        <v>165</v>
      </c>
      <c r="C5" s="260">
        <v>66</v>
      </c>
      <c r="D5" s="326">
        <v>44517</v>
      </c>
      <c r="E5" s="329">
        <v>328.28</v>
      </c>
      <c r="F5" s="330">
        <v>12</v>
      </c>
      <c r="G5" s="317"/>
      <c r="H5" s="59">
        <f>E4+E5+E6-G5</f>
        <v>1281.6299999999999</v>
      </c>
    </row>
    <row r="6" spans="1:11" ht="17.25" thickTop="1" thickBot="1" x14ac:dyDescent="0.3">
      <c r="A6" s="1191"/>
      <c r="B6" s="1223"/>
      <c r="C6" s="260"/>
      <c r="D6" s="326"/>
      <c r="E6" s="329">
        <v>0.35</v>
      </c>
      <c r="F6" s="330"/>
      <c r="G6" s="253"/>
      <c r="I6" s="1224" t="s">
        <v>3</v>
      </c>
      <c r="J6" s="123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25"/>
      <c r="J7" s="1232"/>
    </row>
    <row r="8" spans="1:11" ht="15.75" thickTop="1" x14ac:dyDescent="0.25">
      <c r="A8" s="81" t="s">
        <v>32</v>
      </c>
      <c r="B8" s="84"/>
      <c r="C8" s="15">
        <v>10</v>
      </c>
      <c r="D8" s="196">
        <v>278.5</v>
      </c>
      <c r="E8" s="342">
        <v>44510</v>
      </c>
      <c r="F8" s="70">
        <f t="shared" ref="F8:F13" si="0">D8</f>
        <v>278.5</v>
      </c>
      <c r="G8" s="278" t="s">
        <v>169</v>
      </c>
      <c r="H8" s="262">
        <v>68</v>
      </c>
      <c r="I8" s="280">
        <f>E5+E4-F8+E6</f>
        <v>1003.13</v>
      </c>
      <c r="J8" s="281">
        <f>F4+F5+F6-C8</f>
        <v>37</v>
      </c>
    </row>
    <row r="9" spans="1:11" x14ac:dyDescent="0.25">
      <c r="A9" s="217"/>
      <c r="B9" s="84"/>
      <c r="C9" s="15">
        <v>12</v>
      </c>
      <c r="D9" s="813">
        <v>328.28</v>
      </c>
      <c r="E9" s="811">
        <v>44541</v>
      </c>
      <c r="F9" s="983">
        <f t="shared" si="0"/>
        <v>328.28</v>
      </c>
      <c r="G9" s="687" t="s">
        <v>507</v>
      </c>
      <c r="H9" s="863">
        <v>67</v>
      </c>
      <c r="I9" s="280">
        <f>I8-F9</f>
        <v>674.85</v>
      </c>
      <c r="J9" s="281">
        <f>J8-C9</f>
        <v>25</v>
      </c>
      <c r="K9" s="253"/>
    </row>
    <row r="10" spans="1:11" x14ac:dyDescent="0.25">
      <c r="A10" s="205"/>
      <c r="B10" s="84"/>
      <c r="C10" s="15">
        <v>14</v>
      </c>
      <c r="D10" s="813">
        <v>356.2</v>
      </c>
      <c r="E10" s="994">
        <v>44559</v>
      </c>
      <c r="F10" s="983">
        <f t="shared" si="0"/>
        <v>356.2</v>
      </c>
      <c r="G10" s="687" t="s">
        <v>658</v>
      </c>
      <c r="H10" s="863">
        <v>67</v>
      </c>
      <c r="I10" s="280">
        <f t="shared" ref="I10:I28" si="1">I9-F10</f>
        <v>318.65000000000003</v>
      </c>
      <c r="J10" s="281">
        <f t="shared" ref="J10:J28" si="2">J9-C10</f>
        <v>11</v>
      </c>
      <c r="K10" s="253"/>
    </row>
    <row r="11" spans="1:11" x14ac:dyDescent="0.25">
      <c r="A11" s="83" t="s">
        <v>33</v>
      </c>
      <c r="B11" s="84"/>
      <c r="C11" s="15"/>
      <c r="D11" s="813">
        <f t="shared" ref="D11:D28" si="3">C11*B11</f>
        <v>0</v>
      </c>
      <c r="E11" s="994"/>
      <c r="F11" s="983">
        <f t="shared" si="0"/>
        <v>0</v>
      </c>
      <c r="G11" s="687"/>
      <c r="H11" s="863"/>
      <c r="I11" s="280">
        <f t="shared" si="1"/>
        <v>318.65000000000003</v>
      </c>
      <c r="J11" s="281">
        <f t="shared" si="2"/>
        <v>11</v>
      </c>
      <c r="K11" s="253"/>
    </row>
    <row r="12" spans="1:11" x14ac:dyDescent="0.25">
      <c r="A12" s="74"/>
      <c r="B12" s="84"/>
      <c r="C12" s="15"/>
      <c r="D12" s="813">
        <f t="shared" si="3"/>
        <v>0</v>
      </c>
      <c r="E12" s="994"/>
      <c r="F12" s="983">
        <f t="shared" si="0"/>
        <v>0</v>
      </c>
      <c r="G12" s="687"/>
      <c r="H12" s="863"/>
      <c r="I12" s="280">
        <f t="shared" si="1"/>
        <v>318.65000000000003</v>
      </c>
      <c r="J12" s="281">
        <f t="shared" si="2"/>
        <v>11</v>
      </c>
      <c r="K12" s="253"/>
    </row>
    <row r="13" spans="1:11" x14ac:dyDescent="0.25">
      <c r="A13" s="74"/>
      <c r="B13" s="84"/>
      <c r="C13" s="15"/>
      <c r="D13" s="813">
        <f t="shared" si="3"/>
        <v>0</v>
      </c>
      <c r="E13" s="991"/>
      <c r="F13" s="983">
        <f t="shared" si="0"/>
        <v>0</v>
      </c>
      <c r="G13" s="687"/>
      <c r="H13" s="863"/>
      <c r="I13" s="280">
        <f t="shared" si="1"/>
        <v>318.65000000000003</v>
      </c>
      <c r="J13" s="281">
        <f t="shared" si="2"/>
        <v>11</v>
      </c>
    </row>
    <row r="14" spans="1:11" x14ac:dyDescent="0.25">
      <c r="B14" s="84"/>
      <c r="C14" s="15"/>
      <c r="D14" s="813">
        <f t="shared" si="3"/>
        <v>0</v>
      </c>
      <c r="E14" s="991"/>
      <c r="F14" s="983">
        <f>D14</f>
        <v>0</v>
      </c>
      <c r="G14" s="687"/>
      <c r="H14" s="863"/>
      <c r="I14" s="280">
        <f t="shared" si="1"/>
        <v>318.65000000000003</v>
      </c>
      <c r="J14" s="281">
        <f t="shared" si="2"/>
        <v>11</v>
      </c>
    </row>
    <row r="15" spans="1:11" x14ac:dyDescent="0.25">
      <c r="B15" s="84"/>
      <c r="C15" s="276"/>
      <c r="D15" s="813">
        <f t="shared" si="3"/>
        <v>0</v>
      </c>
      <c r="E15" s="810"/>
      <c r="F15" s="705">
        <f>D15</f>
        <v>0</v>
      </c>
      <c r="G15" s="687"/>
      <c r="H15" s="863"/>
      <c r="I15" s="280">
        <f t="shared" si="1"/>
        <v>318.65000000000003</v>
      </c>
      <c r="J15" s="281">
        <f t="shared" si="2"/>
        <v>11</v>
      </c>
    </row>
    <row r="16" spans="1:11" x14ac:dyDescent="0.25">
      <c r="A16" s="82"/>
      <c r="B16" s="84"/>
      <c r="C16" s="15"/>
      <c r="D16" s="813">
        <f t="shared" si="3"/>
        <v>0</v>
      </c>
      <c r="E16" s="812"/>
      <c r="F16" s="705">
        <f>D16</f>
        <v>0</v>
      </c>
      <c r="G16" s="706"/>
      <c r="H16" s="863"/>
      <c r="I16" s="280">
        <f t="shared" si="1"/>
        <v>318.65000000000003</v>
      </c>
      <c r="J16" s="281">
        <f t="shared" si="2"/>
        <v>11</v>
      </c>
    </row>
    <row r="17" spans="1:10" x14ac:dyDescent="0.25">
      <c r="A17" s="84"/>
      <c r="B17" s="84"/>
      <c r="C17" s="15"/>
      <c r="D17" s="813">
        <f t="shared" si="3"/>
        <v>0</v>
      </c>
      <c r="E17" s="812"/>
      <c r="F17" s="705">
        <f t="shared" ref="F17:F29" si="4">D17</f>
        <v>0</v>
      </c>
      <c r="G17" s="997"/>
      <c r="H17" s="863"/>
      <c r="I17" s="280">
        <f t="shared" si="1"/>
        <v>318.65000000000003</v>
      </c>
      <c r="J17" s="281">
        <f t="shared" si="2"/>
        <v>11</v>
      </c>
    </row>
    <row r="18" spans="1:10" x14ac:dyDescent="0.25">
      <c r="A18" s="2"/>
      <c r="B18" s="84"/>
      <c r="C18" s="15"/>
      <c r="D18" s="813">
        <f t="shared" si="3"/>
        <v>0</v>
      </c>
      <c r="E18" s="812"/>
      <c r="F18" s="705">
        <f t="shared" si="4"/>
        <v>0</v>
      </c>
      <c r="G18" s="706"/>
      <c r="H18" s="862"/>
      <c r="I18" s="235">
        <f t="shared" si="1"/>
        <v>318.65000000000003</v>
      </c>
      <c r="J18" s="131">
        <f t="shared" si="2"/>
        <v>11</v>
      </c>
    </row>
    <row r="19" spans="1:10" x14ac:dyDescent="0.25">
      <c r="A19" s="2"/>
      <c r="B19" s="84"/>
      <c r="C19" s="15"/>
      <c r="D19" s="813">
        <f t="shared" si="3"/>
        <v>0</v>
      </c>
      <c r="E19" s="812"/>
      <c r="F19" s="705">
        <f t="shared" si="4"/>
        <v>0</v>
      </c>
      <c r="G19" s="706"/>
      <c r="H19" s="862"/>
      <c r="I19" s="235">
        <f t="shared" si="1"/>
        <v>318.65000000000003</v>
      </c>
      <c r="J19" s="131">
        <f t="shared" si="2"/>
        <v>11</v>
      </c>
    </row>
    <row r="20" spans="1:10" x14ac:dyDescent="0.25">
      <c r="A20" s="2"/>
      <c r="B20" s="84"/>
      <c r="C20" s="15"/>
      <c r="D20" s="813">
        <f t="shared" si="3"/>
        <v>0</v>
      </c>
      <c r="E20" s="810"/>
      <c r="F20" s="705">
        <f t="shared" si="4"/>
        <v>0</v>
      </c>
      <c r="G20" s="706"/>
      <c r="H20" s="862"/>
      <c r="I20" s="235">
        <f t="shared" si="1"/>
        <v>318.65000000000003</v>
      </c>
      <c r="J20" s="131">
        <f t="shared" si="2"/>
        <v>11</v>
      </c>
    </row>
    <row r="21" spans="1:10" x14ac:dyDescent="0.25">
      <c r="A21" s="2"/>
      <c r="B21" s="84"/>
      <c r="C21" s="15"/>
      <c r="D21" s="813">
        <f t="shared" si="3"/>
        <v>0</v>
      </c>
      <c r="E21" s="810"/>
      <c r="F21" s="705">
        <f t="shared" si="4"/>
        <v>0</v>
      </c>
      <c r="G21" s="706"/>
      <c r="H21" s="862"/>
      <c r="I21" s="235">
        <f t="shared" si="1"/>
        <v>318.65000000000003</v>
      </c>
      <c r="J21" s="131">
        <f t="shared" si="2"/>
        <v>11</v>
      </c>
    </row>
    <row r="22" spans="1:10" x14ac:dyDescent="0.25">
      <c r="A22" s="2"/>
      <c r="B22" s="84"/>
      <c r="C22" s="15"/>
      <c r="D22" s="813">
        <f t="shared" si="3"/>
        <v>0</v>
      </c>
      <c r="E22" s="810"/>
      <c r="F22" s="705">
        <f t="shared" si="4"/>
        <v>0</v>
      </c>
      <c r="G22" s="706"/>
      <c r="H22" s="862"/>
      <c r="I22" s="235">
        <f t="shared" si="1"/>
        <v>318.65000000000003</v>
      </c>
      <c r="J22" s="131">
        <f t="shared" si="2"/>
        <v>11</v>
      </c>
    </row>
    <row r="23" spans="1:10" x14ac:dyDescent="0.25">
      <c r="A23" s="2"/>
      <c r="B23" s="84"/>
      <c r="C23" s="15"/>
      <c r="D23" s="196">
        <f t="shared" si="3"/>
        <v>0</v>
      </c>
      <c r="E23" s="341"/>
      <c r="F23" s="70">
        <f t="shared" si="4"/>
        <v>0</v>
      </c>
      <c r="G23" s="71"/>
      <c r="H23" s="132"/>
      <c r="I23" s="235">
        <f t="shared" si="1"/>
        <v>318.65000000000003</v>
      </c>
      <c r="J23" s="131">
        <f t="shared" si="2"/>
        <v>11</v>
      </c>
    </row>
    <row r="24" spans="1:10" x14ac:dyDescent="0.25">
      <c r="A24" s="2"/>
      <c r="B24" s="84"/>
      <c r="C24" s="15"/>
      <c r="D24" s="196">
        <f t="shared" si="3"/>
        <v>0</v>
      </c>
      <c r="E24" s="357"/>
      <c r="F24" s="70">
        <f t="shared" si="4"/>
        <v>0</v>
      </c>
      <c r="G24" s="71"/>
      <c r="H24" s="132"/>
      <c r="I24" s="235">
        <f t="shared" si="1"/>
        <v>318.65000000000003</v>
      </c>
      <c r="J24" s="131">
        <f t="shared" si="2"/>
        <v>11</v>
      </c>
    </row>
    <row r="25" spans="1:10" x14ac:dyDescent="0.25">
      <c r="A25" s="2"/>
      <c r="B25" s="84"/>
      <c r="C25" s="15"/>
      <c r="D25" s="196">
        <f t="shared" si="3"/>
        <v>0</v>
      </c>
      <c r="E25" s="357"/>
      <c r="F25" s="70">
        <f t="shared" si="4"/>
        <v>0</v>
      </c>
      <c r="G25" s="71"/>
      <c r="H25" s="132"/>
      <c r="I25" s="235">
        <f t="shared" si="1"/>
        <v>318.65000000000003</v>
      </c>
      <c r="J25" s="131">
        <f t="shared" si="2"/>
        <v>11</v>
      </c>
    </row>
    <row r="26" spans="1:10" x14ac:dyDescent="0.25">
      <c r="A26" s="2"/>
      <c r="B26" s="84"/>
      <c r="C26" s="15"/>
      <c r="D26" s="196">
        <f t="shared" si="3"/>
        <v>0</v>
      </c>
      <c r="E26" s="342"/>
      <c r="F26" s="70">
        <f t="shared" si="4"/>
        <v>0</v>
      </c>
      <c r="G26" s="71"/>
      <c r="H26" s="72"/>
      <c r="I26" s="235">
        <f t="shared" si="1"/>
        <v>318.65000000000003</v>
      </c>
      <c r="J26" s="131">
        <f t="shared" si="2"/>
        <v>11</v>
      </c>
    </row>
    <row r="27" spans="1:10" x14ac:dyDescent="0.25">
      <c r="A27" s="2"/>
      <c r="B27" s="84"/>
      <c r="C27" s="15"/>
      <c r="D27" s="196">
        <f t="shared" si="3"/>
        <v>0</v>
      </c>
      <c r="E27" s="342"/>
      <c r="F27" s="70">
        <f t="shared" si="4"/>
        <v>0</v>
      </c>
      <c r="G27" s="71"/>
      <c r="H27" s="72"/>
      <c r="I27" s="235">
        <f t="shared" si="1"/>
        <v>318.65000000000003</v>
      </c>
      <c r="J27" s="131">
        <f t="shared" si="2"/>
        <v>11</v>
      </c>
    </row>
    <row r="28" spans="1:10" x14ac:dyDescent="0.25">
      <c r="A28" s="2"/>
      <c r="B28" s="84"/>
      <c r="C28" s="15"/>
      <c r="D28" s="196">
        <f t="shared" si="3"/>
        <v>0</v>
      </c>
      <c r="E28" s="342"/>
      <c r="F28" s="70">
        <f t="shared" si="4"/>
        <v>0</v>
      </c>
      <c r="G28" s="71"/>
      <c r="H28" s="72"/>
      <c r="I28" s="235">
        <f t="shared" si="1"/>
        <v>318.65000000000003</v>
      </c>
      <c r="J28" s="131">
        <f t="shared" si="2"/>
        <v>11</v>
      </c>
    </row>
    <row r="29" spans="1:10" ht="15.75" thickBot="1" x14ac:dyDescent="0.3">
      <c r="A29" s="4"/>
      <c r="B29" s="84"/>
      <c r="C29" s="37"/>
      <c r="D29" s="223"/>
      <c r="E29" s="224"/>
      <c r="F29" s="225">
        <f t="shared" si="4"/>
        <v>0</v>
      </c>
      <c r="G29" s="226"/>
      <c r="H29" s="216"/>
      <c r="J29" s="74"/>
    </row>
    <row r="30" spans="1:10" ht="16.5" thickTop="1" thickBot="1" x14ac:dyDescent="0.3">
      <c r="C30" s="91">
        <f>SUM(C8:C29)</f>
        <v>36</v>
      </c>
      <c r="D30" s="48">
        <f>SUM(D8:D29)</f>
        <v>962.98</v>
      </c>
      <c r="E30" s="38"/>
      <c r="F30" s="5">
        <f>SUM(F8:F29)</f>
        <v>962.98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11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94" t="s">
        <v>11</v>
      </c>
      <c r="D33" s="1195"/>
      <c r="E33" s="152">
        <f>E5+E4+E6+-F30</f>
        <v>318.64999999999986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C24" sqref="C24: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72" t="s">
        <v>254</v>
      </c>
      <c r="B1" s="1172"/>
      <c r="C1" s="1172"/>
      <c r="D1" s="1172"/>
      <c r="E1" s="1172"/>
      <c r="F1" s="1172"/>
      <c r="G1" s="117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3"/>
      <c r="B4" s="1233" t="s">
        <v>251</v>
      </c>
      <c r="C4" s="67"/>
      <c r="D4" s="258"/>
      <c r="E4" s="201"/>
      <c r="F4" s="150"/>
    </row>
    <row r="5" spans="1:10" ht="16.5" customHeight="1" thickBot="1" x14ac:dyDescent="0.3">
      <c r="A5" s="543" t="s">
        <v>67</v>
      </c>
      <c r="B5" s="1234"/>
      <c r="C5" s="260">
        <v>52</v>
      </c>
      <c r="D5" s="258">
        <v>44526</v>
      </c>
      <c r="E5" s="542">
        <v>86.61</v>
      </c>
      <c r="F5" s="281">
        <v>3</v>
      </c>
      <c r="G5" s="317">
        <f>F33</f>
        <v>0</v>
      </c>
      <c r="H5" s="59">
        <f>E4+E5+E6</f>
        <v>86.61</v>
      </c>
    </row>
    <row r="6" spans="1:10" ht="16.5" customHeight="1" thickTop="1" thickBot="1" x14ac:dyDescent="0.3">
      <c r="A6" s="544"/>
      <c r="B6" s="1235"/>
      <c r="C6" s="260"/>
      <c r="D6" s="258"/>
      <c r="E6" s="486"/>
      <c r="F6" s="281"/>
      <c r="G6" s="253"/>
      <c r="H6" s="253"/>
      <c r="I6" s="1224" t="s">
        <v>3</v>
      </c>
      <c r="J6" s="1231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25"/>
      <c r="J7" s="1236"/>
    </row>
    <row r="8" spans="1:10" ht="15.75" thickTop="1" x14ac:dyDescent="0.25">
      <c r="A8" s="81" t="s">
        <v>32</v>
      </c>
      <c r="B8" s="690">
        <f>F4+F5+F6-C8</f>
        <v>3</v>
      </c>
      <c r="C8" s="15"/>
      <c r="D8" s="196">
        <v>0</v>
      </c>
      <c r="E8" s="342"/>
      <c r="F8" s="70">
        <f t="shared" ref="F8:F33" si="0">D8</f>
        <v>0</v>
      </c>
      <c r="G8" s="278"/>
      <c r="H8" s="279"/>
      <c r="I8" s="272">
        <f>E5+E4-F8+E6</f>
        <v>86.61</v>
      </c>
      <c r="J8" s="449">
        <f>F4+F5+F6-C8</f>
        <v>3</v>
      </c>
    </row>
    <row r="9" spans="1:10" x14ac:dyDescent="0.25">
      <c r="A9" s="217"/>
      <c r="B9" s="690">
        <f>B8-C9</f>
        <v>3</v>
      </c>
      <c r="C9" s="15"/>
      <c r="D9" s="196">
        <v>0</v>
      </c>
      <c r="E9" s="342"/>
      <c r="F9" s="70">
        <f t="shared" si="0"/>
        <v>0</v>
      </c>
      <c r="G9" s="278"/>
      <c r="H9" s="279"/>
      <c r="I9" s="272">
        <f>I8-F9</f>
        <v>86.61</v>
      </c>
      <c r="J9" s="324">
        <f>J8-C9</f>
        <v>3</v>
      </c>
    </row>
    <row r="10" spans="1:10" x14ac:dyDescent="0.25">
      <c r="A10" s="205"/>
      <c r="B10" s="690">
        <f t="shared" ref="B10:B32" si="1">B9-C10</f>
        <v>3</v>
      </c>
      <c r="C10" s="15"/>
      <c r="D10" s="196">
        <v>0</v>
      </c>
      <c r="E10" s="342"/>
      <c r="F10" s="70">
        <f t="shared" si="0"/>
        <v>0</v>
      </c>
      <c r="G10" s="278"/>
      <c r="H10" s="279"/>
      <c r="I10" s="272">
        <f t="shared" ref="I10:I31" si="2">I9-F10</f>
        <v>86.61</v>
      </c>
      <c r="J10" s="324">
        <f t="shared" ref="J10:J31" si="3">J9-C10</f>
        <v>3</v>
      </c>
    </row>
    <row r="11" spans="1:10" x14ac:dyDescent="0.25">
      <c r="A11" s="83" t="s">
        <v>33</v>
      </c>
      <c r="B11" s="690">
        <f t="shared" si="1"/>
        <v>3</v>
      </c>
      <c r="C11" s="15"/>
      <c r="D11" s="196">
        <v>0</v>
      </c>
      <c r="E11" s="342"/>
      <c r="F11" s="70">
        <f t="shared" si="0"/>
        <v>0</v>
      </c>
      <c r="G11" s="278"/>
      <c r="H11" s="279"/>
      <c r="I11" s="272">
        <f t="shared" si="2"/>
        <v>86.61</v>
      </c>
      <c r="J11" s="324">
        <f t="shared" si="3"/>
        <v>3</v>
      </c>
    </row>
    <row r="12" spans="1:10" x14ac:dyDescent="0.25">
      <c r="A12" s="74"/>
      <c r="B12" s="690">
        <f t="shared" si="1"/>
        <v>3</v>
      </c>
      <c r="C12" s="15"/>
      <c r="D12" s="196">
        <v>0</v>
      </c>
      <c r="E12" s="342"/>
      <c r="F12" s="70">
        <f t="shared" si="0"/>
        <v>0</v>
      </c>
      <c r="G12" s="278"/>
      <c r="H12" s="279"/>
      <c r="I12" s="272">
        <f t="shared" si="2"/>
        <v>86.61</v>
      </c>
      <c r="J12" s="324">
        <f t="shared" si="3"/>
        <v>3</v>
      </c>
    </row>
    <row r="13" spans="1:10" x14ac:dyDescent="0.25">
      <c r="A13" s="74"/>
      <c r="B13" s="690">
        <f t="shared" si="1"/>
        <v>3</v>
      </c>
      <c r="C13" s="15"/>
      <c r="D13" s="196">
        <v>0</v>
      </c>
      <c r="E13" s="341"/>
      <c r="F13" s="70">
        <f t="shared" si="0"/>
        <v>0</v>
      </c>
      <c r="G13" s="278"/>
      <c r="H13" s="279"/>
      <c r="I13" s="272">
        <f t="shared" si="2"/>
        <v>86.61</v>
      </c>
      <c r="J13" s="324">
        <f t="shared" si="3"/>
        <v>3</v>
      </c>
    </row>
    <row r="14" spans="1:10" x14ac:dyDescent="0.25">
      <c r="B14" s="690">
        <f t="shared" si="1"/>
        <v>3</v>
      </c>
      <c r="C14" s="15"/>
      <c r="D14" s="196">
        <v>0</v>
      </c>
      <c r="E14" s="341"/>
      <c r="F14" s="70">
        <f t="shared" si="0"/>
        <v>0</v>
      </c>
      <c r="G14" s="71"/>
      <c r="H14" s="72"/>
      <c r="I14" s="272">
        <f t="shared" si="2"/>
        <v>86.61</v>
      </c>
      <c r="J14" s="324">
        <f t="shared" si="3"/>
        <v>3</v>
      </c>
    </row>
    <row r="15" spans="1:10" x14ac:dyDescent="0.25">
      <c r="B15" s="690">
        <f t="shared" si="1"/>
        <v>3</v>
      </c>
      <c r="C15" s="15"/>
      <c r="D15" s="196">
        <v>0</v>
      </c>
      <c r="E15" s="341"/>
      <c r="F15" s="70">
        <f t="shared" si="0"/>
        <v>0</v>
      </c>
      <c r="G15" s="71"/>
      <c r="H15" s="72"/>
      <c r="I15" s="272">
        <f t="shared" si="2"/>
        <v>86.61</v>
      </c>
      <c r="J15" s="324">
        <f t="shared" si="3"/>
        <v>3</v>
      </c>
    </row>
    <row r="16" spans="1:10" x14ac:dyDescent="0.25">
      <c r="A16" s="197"/>
      <c r="B16" s="690">
        <f t="shared" si="1"/>
        <v>3</v>
      </c>
      <c r="C16" s="15"/>
      <c r="D16" s="196">
        <v>0</v>
      </c>
      <c r="E16" s="357"/>
      <c r="F16" s="70">
        <f t="shared" si="0"/>
        <v>0</v>
      </c>
      <c r="G16" s="278"/>
      <c r="H16" s="279"/>
      <c r="I16" s="272">
        <f t="shared" si="2"/>
        <v>86.61</v>
      </c>
      <c r="J16" s="324">
        <f t="shared" si="3"/>
        <v>3</v>
      </c>
    </row>
    <row r="17" spans="1:10" x14ac:dyDescent="0.25">
      <c r="A17" s="197"/>
      <c r="B17" s="690">
        <f t="shared" si="1"/>
        <v>3</v>
      </c>
      <c r="C17" s="15"/>
      <c r="D17" s="196">
        <v>0</v>
      </c>
      <c r="E17" s="341"/>
      <c r="F17" s="70">
        <f t="shared" si="0"/>
        <v>0</v>
      </c>
      <c r="G17" s="278"/>
      <c r="H17" s="279"/>
      <c r="I17" s="272">
        <f t="shared" si="2"/>
        <v>86.61</v>
      </c>
      <c r="J17" s="324">
        <f t="shared" si="3"/>
        <v>3</v>
      </c>
    </row>
    <row r="18" spans="1:10" x14ac:dyDescent="0.25">
      <c r="A18" s="197"/>
      <c r="B18" s="690">
        <f t="shared" si="1"/>
        <v>3</v>
      </c>
      <c r="C18" s="276"/>
      <c r="D18" s="196">
        <v>0</v>
      </c>
      <c r="E18" s="346"/>
      <c r="F18" s="70">
        <f t="shared" si="0"/>
        <v>0</v>
      </c>
      <c r="G18" s="278"/>
      <c r="H18" s="279"/>
      <c r="I18" s="272">
        <f t="shared" si="2"/>
        <v>86.61</v>
      </c>
      <c r="J18" s="324">
        <f t="shared" si="3"/>
        <v>3</v>
      </c>
    </row>
    <row r="19" spans="1:10" x14ac:dyDescent="0.25">
      <c r="A19" s="197"/>
      <c r="B19" s="690">
        <f t="shared" si="1"/>
        <v>3</v>
      </c>
      <c r="C19" s="15"/>
      <c r="D19" s="196">
        <v>0</v>
      </c>
      <c r="E19" s="341"/>
      <c r="F19" s="70">
        <f t="shared" si="0"/>
        <v>0</v>
      </c>
      <c r="G19" s="278"/>
      <c r="H19" s="279"/>
      <c r="I19" s="272">
        <f t="shared" si="2"/>
        <v>86.61</v>
      </c>
      <c r="J19" s="324">
        <f t="shared" si="3"/>
        <v>3</v>
      </c>
    </row>
    <row r="20" spans="1:10" x14ac:dyDescent="0.25">
      <c r="A20" s="197"/>
      <c r="B20" s="690">
        <f t="shared" si="1"/>
        <v>3</v>
      </c>
      <c r="C20" s="15"/>
      <c r="D20" s="196">
        <v>0</v>
      </c>
      <c r="E20" s="341"/>
      <c r="F20" s="70">
        <f t="shared" si="0"/>
        <v>0</v>
      </c>
      <c r="G20" s="278"/>
      <c r="H20" s="279"/>
      <c r="I20" s="272">
        <f t="shared" si="2"/>
        <v>86.61</v>
      </c>
      <c r="J20" s="324">
        <f t="shared" si="3"/>
        <v>3</v>
      </c>
    </row>
    <row r="21" spans="1:10" x14ac:dyDescent="0.25">
      <c r="A21" s="2"/>
      <c r="B21" s="690">
        <f t="shared" si="1"/>
        <v>3</v>
      </c>
      <c r="C21" s="15"/>
      <c r="D21" s="196">
        <v>0</v>
      </c>
      <c r="E21" s="341"/>
      <c r="F21" s="70">
        <f t="shared" si="0"/>
        <v>0</v>
      </c>
      <c r="G21" s="278"/>
      <c r="H21" s="279"/>
      <c r="I21" s="272">
        <f t="shared" si="2"/>
        <v>86.61</v>
      </c>
      <c r="J21" s="324">
        <f t="shared" si="3"/>
        <v>3</v>
      </c>
    </row>
    <row r="22" spans="1:10" x14ac:dyDescent="0.25">
      <c r="A22" s="2"/>
      <c r="B22" s="690">
        <f t="shared" si="1"/>
        <v>3</v>
      </c>
      <c r="C22" s="15"/>
      <c r="D22" s="196">
        <v>0</v>
      </c>
      <c r="E22" s="341"/>
      <c r="F22" s="70">
        <f t="shared" si="0"/>
        <v>0</v>
      </c>
      <c r="G22" s="278"/>
      <c r="H22" s="279"/>
      <c r="I22" s="272">
        <f t="shared" si="2"/>
        <v>86.61</v>
      </c>
      <c r="J22" s="324">
        <f t="shared" si="3"/>
        <v>3</v>
      </c>
    </row>
    <row r="23" spans="1:10" x14ac:dyDescent="0.25">
      <c r="A23" s="2"/>
      <c r="B23" s="690">
        <f t="shared" si="1"/>
        <v>3</v>
      </c>
      <c r="C23" s="15"/>
      <c r="D23" s="196">
        <v>0</v>
      </c>
      <c r="E23" s="341"/>
      <c r="F23" s="70">
        <f t="shared" si="0"/>
        <v>0</v>
      </c>
      <c r="G23" s="278"/>
      <c r="H23" s="279"/>
      <c r="I23" s="272">
        <f t="shared" si="2"/>
        <v>86.61</v>
      </c>
      <c r="J23" s="324">
        <f t="shared" si="3"/>
        <v>3</v>
      </c>
    </row>
    <row r="24" spans="1:10" x14ac:dyDescent="0.25">
      <c r="A24" s="2"/>
      <c r="B24" s="690">
        <f t="shared" si="1"/>
        <v>3</v>
      </c>
      <c r="C24" s="15"/>
      <c r="D24" s="196">
        <v>0</v>
      </c>
      <c r="E24" s="342"/>
      <c r="F24" s="70">
        <f t="shared" si="0"/>
        <v>0</v>
      </c>
      <c r="G24" s="278"/>
      <c r="H24" s="279"/>
      <c r="I24" s="272">
        <f t="shared" si="2"/>
        <v>86.61</v>
      </c>
      <c r="J24" s="324">
        <f t="shared" si="3"/>
        <v>3</v>
      </c>
    </row>
    <row r="25" spans="1:10" x14ac:dyDescent="0.25">
      <c r="A25" s="2"/>
      <c r="B25" s="690">
        <f t="shared" si="1"/>
        <v>3</v>
      </c>
      <c r="C25" s="15"/>
      <c r="D25" s="196">
        <v>0</v>
      </c>
      <c r="E25" s="342"/>
      <c r="F25" s="70">
        <f t="shared" si="0"/>
        <v>0</v>
      </c>
      <c r="G25" s="71"/>
      <c r="H25" s="72"/>
      <c r="I25" s="272">
        <f t="shared" si="2"/>
        <v>86.61</v>
      </c>
      <c r="J25" s="324">
        <f t="shared" si="3"/>
        <v>3</v>
      </c>
    </row>
    <row r="26" spans="1:10" x14ac:dyDescent="0.25">
      <c r="A26" s="2"/>
      <c r="B26" s="690">
        <f t="shared" si="1"/>
        <v>3</v>
      </c>
      <c r="C26" s="15"/>
      <c r="D26" s="196">
        <f t="shared" ref="D26:D31" si="4">C26*B26</f>
        <v>0</v>
      </c>
      <c r="E26" s="342"/>
      <c r="F26" s="70">
        <f t="shared" si="0"/>
        <v>0</v>
      </c>
      <c r="G26" s="71"/>
      <c r="H26" s="72"/>
      <c r="I26" s="272">
        <f t="shared" si="2"/>
        <v>86.61</v>
      </c>
      <c r="J26" s="324">
        <f t="shared" si="3"/>
        <v>3</v>
      </c>
    </row>
    <row r="27" spans="1:10" x14ac:dyDescent="0.25">
      <c r="A27" s="2"/>
      <c r="B27" s="690">
        <f t="shared" si="1"/>
        <v>3</v>
      </c>
      <c r="C27" s="15"/>
      <c r="D27" s="196">
        <f t="shared" si="4"/>
        <v>0</v>
      </c>
      <c r="E27" s="342"/>
      <c r="F27" s="70">
        <f t="shared" si="0"/>
        <v>0</v>
      </c>
      <c r="G27" s="71"/>
      <c r="H27" s="72"/>
      <c r="I27" s="272">
        <f t="shared" si="2"/>
        <v>86.61</v>
      </c>
      <c r="J27" s="324">
        <f t="shared" si="3"/>
        <v>3</v>
      </c>
    </row>
    <row r="28" spans="1:10" x14ac:dyDescent="0.25">
      <c r="A28" s="2"/>
      <c r="B28" s="690">
        <f t="shared" si="1"/>
        <v>3</v>
      </c>
      <c r="C28" s="15"/>
      <c r="D28" s="196">
        <f t="shared" si="4"/>
        <v>0</v>
      </c>
      <c r="E28" s="342"/>
      <c r="F28" s="70">
        <f t="shared" si="0"/>
        <v>0</v>
      </c>
      <c r="G28" s="71"/>
      <c r="H28" s="72"/>
      <c r="I28" s="272">
        <f t="shared" si="2"/>
        <v>86.61</v>
      </c>
      <c r="J28" s="324">
        <f t="shared" si="3"/>
        <v>3</v>
      </c>
    </row>
    <row r="29" spans="1:10" x14ac:dyDescent="0.25">
      <c r="A29" s="2"/>
      <c r="B29" s="690">
        <f t="shared" si="1"/>
        <v>3</v>
      </c>
      <c r="C29" s="15"/>
      <c r="D29" s="196">
        <f t="shared" si="4"/>
        <v>0</v>
      </c>
      <c r="E29" s="342"/>
      <c r="F29" s="70">
        <f t="shared" si="0"/>
        <v>0</v>
      </c>
      <c r="G29" s="71"/>
      <c r="H29" s="72"/>
      <c r="I29" s="272">
        <f t="shared" si="2"/>
        <v>86.61</v>
      </c>
      <c r="J29" s="324">
        <f t="shared" si="3"/>
        <v>3</v>
      </c>
    </row>
    <row r="30" spans="1:10" x14ac:dyDescent="0.25">
      <c r="A30" s="2"/>
      <c r="B30" s="690">
        <f t="shared" si="1"/>
        <v>3</v>
      </c>
      <c r="C30" s="15"/>
      <c r="D30" s="196">
        <f t="shared" si="4"/>
        <v>0</v>
      </c>
      <c r="E30" s="342"/>
      <c r="F30" s="70">
        <f t="shared" si="0"/>
        <v>0</v>
      </c>
      <c r="G30" s="71"/>
      <c r="H30" s="72"/>
      <c r="I30" s="272">
        <f t="shared" si="2"/>
        <v>86.61</v>
      </c>
      <c r="J30" s="324">
        <f t="shared" si="3"/>
        <v>3</v>
      </c>
    </row>
    <row r="31" spans="1:10" x14ac:dyDescent="0.25">
      <c r="A31" s="2"/>
      <c r="B31" s="690">
        <f t="shared" si="1"/>
        <v>3</v>
      </c>
      <c r="C31" s="15"/>
      <c r="D31" s="196">
        <f t="shared" si="4"/>
        <v>0</v>
      </c>
      <c r="E31" s="342"/>
      <c r="F31" s="70">
        <f t="shared" si="0"/>
        <v>0</v>
      </c>
      <c r="G31" s="71"/>
      <c r="H31" s="72"/>
      <c r="I31" s="272">
        <f t="shared" si="2"/>
        <v>86.61</v>
      </c>
      <c r="J31" s="324">
        <f t="shared" si="3"/>
        <v>3</v>
      </c>
    </row>
    <row r="32" spans="1:10" ht="15.75" thickBot="1" x14ac:dyDescent="0.3">
      <c r="A32" s="4"/>
      <c r="B32" s="939">
        <f t="shared" si="1"/>
        <v>3</v>
      </c>
      <c r="C32" s="37"/>
      <c r="D32" s="223">
        <f>C32*B22</f>
        <v>0</v>
      </c>
      <c r="E32" s="351"/>
      <c r="F32" s="161">
        <f t="shared" si="0"/>
        <v>0</v>
      </c>
      <c r="G32" s="226"/>
      <c r="H32" s="216"/>
    </row>
    <row r="33" spans="1:9" ht="16.5" thickTop="1" thickBot="1" x14ac:dyDescent="0.3">
      <c r="B33" s="690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690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94" t="s">
        <v>11</v>
      </c>
      <c r="D36" s="1195"/>
      <c r="E36" s="152">
        <f>E5+E4+E6-F33</f>
        <v>86.61</v>
      </c>
    </row>
    <row r="40" spans="1:9" ht="16.5" x14ac:dyDescent="0.25">
      <c r="B40" s="484"/>
      <c r="C40" s="485"/>
      <c r="D40" s="486">
        <v>2034.8</v>
      </c>
      <c r="E40" s="487">
        <v>43899</v>
      </c>
      <c r="F40" s="488">
        <v>26330</v>
      </c>
      <c r="G40" s="486">
        <v>2034.8</v>
      </c>
      <c r="H40" s="489">
        <f t="shared" ref="H40" si="5">G40-D40</f>
        <v>0</v>
      </c>
      <c r="I40" s="49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83"/>
  <sheetViews>
    <sheetView topLeftCell="AE1" zoomScaleNormal="100" workbookViewId="0">
      <selection activeCell="AF15" sqref="AF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</cols>
  <sheetData>
    <row r="1" spans="1:50" ht="40.5" x14ac:dyDescent="0.55000000000000004">
      <c r="A1" s="1172" t="s">
        <v>254</v>
      </c>
      <c r="B1" s="1172"/>
      <c r="C1" s="1172"/>
      <c r="D1" s="1172"/>
      <c r="E1" s="1172"/>
      <c r="F1" s="1172"/>
      <c r="G1" s="1172"/>
      <c r="H1" s="11">
        <v>1</v>
      </c>
      <c r="K1" s="1172" t="str">
        <f>A1</f>
        <v>INVENTARIO    DEL MES DE NOVIEMBRE 2021</v>
      </c>
      <c r="L1" s="1172"/>
      <c r="M1" s="1172"/>
      <c r="N1" s="1172"/>
      <c r="O1" s="1172"/>
      <c r="P1" s="1172"/>
      <c r="Q1" s="1172"/>
      <c r="R1" s="11">
        <v>2</v>
      </c>
      <c r="V1" s="1172" t="str">
        <f>K1</f>
        <v>INVENTARIO    DEL MES DE NOVIEMBRE 2021</v>
      </c>
      <c r="W1" s="1172"/>
      <c r="X1" s="1172"/>
      <c r="Y1" s="1172"/>
      <c r="Z1" s="1172"/>
      <c r="AA1" s="1172"/>
      <c r="AB1" s="1172"/>
      <c r="AC1" s="11">
        <v>3</v>
      </c>
      <c r="AF1" s="1176" t="s">
        <v>246</v>
      </c>
      <c r="AG1" s="1176"/>
      <c r="AH1" s="1176"/>
      <c r="AI1" s="1176"/>
      <c r="AJ1" s="1176"/>
      <c r="AK1" s="1176"/>
      <c r="AL1" s="1176"/>
      <c r="AM1" s="11">
        <v>4</v>
      </c>
      <c r="AP1" s="1176" t="s">
        <v>246</v>
      </c>
      <c r="AQ1" s="1176"/>
      <c r="AR1" s="1176"/>
      <c r="AS1" s="1176"/>
      <c r="AT1" s="1176"/>
      <c r="AU1" s="1176"/>
      <c r="AV1" s="1176"/>
      <c r="AW1" s="11">
        <v>5</v>
      </c>
    </row>
    <row r="2" spans="1:5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</row>
    <row r="3" spans="1:5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</row>
    <row r="4" spans="1:50" ht="16.5" thickTop="1" x14ac:dyDescent="0.25">
      <c r="A4" s="12"/>
      <c r="B4" s="12"/>
      <c r="C4" s="284"/>
      <c r="D4" s="261"/>
      <c r="E4" s="272"/>
      <c r="F4" s="266"/>
      <c r="G4" s="166"/>
      <c r="H4" s="166"/>
      <c r="K4" s="12"/>
      <c r="L4" s="12"/>
      <c r="M4" s="688"/>
      <c r="N4" s="261"/>
      <c r="O4" s="272"/>
      <c r="P4" s="266"/>
      <c r="Q4" s="166"/>
      <c r="R4" s="166"/>
      <c r="V4" s="12"/>
      <c r="W4" s="12"/>
      <c r="X4" s="903"/>
      <c r="Y4" s="261"/>
      <c r="Z4" s="272"/>
      <c r="AA4" s="266"/>
      <c r="AB4" s="166"/>
      <c r="AC4" s="166"/>
      <c r="AF4" s="12"/>
      <c r="AG4" s="12"/>
      <c r="AH4" s="688"/>
      <c r="AI4" s="261"/>
      <c r="AJ4" s="272"/>
      <c r="AK4" s="266"/>
      <c r="AL4" s="166"/>
      <c r="AM4" s="166"/>
      <c r="AP4" s="12"/>
      <c r="AQ4" s="12"/>
      <c r="AR4" s="903"/>
      <c r="AS4" s="261"/>
      <c r="AT4" s="272"/>
      <c r="AU4" s="266"/>
      <c r="AV4" s="166"/>
      <c r="AW4" s="166"/>
    </row>
    <row r="5" spans="1:50" ht="15" customHeight="1" x14ac:dyDescent="0.25">
      <c r="A5" s="263" t="s">
        <v>102</v>
      </c>
      <c r="B5" s="1173" t="s">
        <v>99</v>
      </c>
      <c r="C5" s="624"/>
      <c r="D5" s="261"/>
      <c r="E5" s="280">
        <v>167.16</v>
      </c>
      <c r="F5" s="266">
        <v>13</v>
      </c>
      <c r="G5" s="273"/>
      <c r="K5" s="263" t="s">
        <v>97</v>
      </c>
      <c r="L5" s="1174" t="s">
        <v>98</v>
      </c>
      <c r="M5" s="624">
        <v>92</v>
      </c>
      <c r="N5" s="261">
        <v>44513</v>
      </c>
      <c r="O5" s="280">
        <v>113.15</v>
      </c>
      <c r="P5" s="266">
        <v>9.5</v>
      </c>
      <c r="Q5" s="273"/>
      <c r="V5" s="263" t="s">
        <v>97</v>
      </c>
      <c r="W5" s="1175" t="s">
        <v>159</v>
      </c>
      <c r="X5" s="872"/>
      <c r="Y5" s="287"/>
      <c r="Z5" s="272"/>
      <c r="AA5" s="266"/>
      <c r="AB5" s="273"/>
      <c r="AF5" s="263" t="s">
        <v>97</v>
      </c>
      <c r="AG5" s="1174" t="s">
        <v>98</v>
      </c>
      <c r="AH5" s="624">
        <v>92</v>
      </c>
      <c r="AI5" s="261">
        <v>44554</v>
      </c>
      <c r="AJ5" s="280">
        <v>496.89</v>
      </c>
      <c r="AK5" s="266">
        <v>41</v>
      </c>
      <c r="AL5" s="273"/>
      <c r="AP5" s="263" t="s">
        <v>97</v>
      </c>
      <c r="AQ5" s="1175" t="s">
        <v>159</v>
      </c>
      <c r="AR5" s="872">
        <v>120</v>
      </c>
      <c r="AS5" s="287">
        <v>44560</v>
      </c>
      <c r="AT5" s="272">
        <v>573.66</v>
      </c>
      <c r="AU5" s="266">
        <v>50</v>
      </c>
      <c r="AV5" s="273"/>
    </row>
    <row r="6" spans="1:50" x14ac:dyDescent="0.25">
      <c r="A6" s="648"/>
      <c r="B6" s="1173"/>
      <c r="C6" s="284">
        <v>89</v>
      </c>
      <c r="D6" s="261">
        <v>44513</v>
      </c>
      <c r="E6" s="272">
        <v>1198.22</v>
      </c>
      <c r="F6" s="266">
        <v>94</v>
      </c>
      <c r="G6" s="275">
        <f>F78</f>
        <v>700.4</v>
      </c>
      <c r="H6" s="7">
        <f>E6-G6+E7+E5-G5</f>
        <v>664.98</v>
      </c>
      <c r="K6" s="263"/>
      <c r="L6" s="1174"/>
      <c r="M6" s="872">
        <v>92</v>
      </c>
      <c r="N6" s="261">
        <v>44515</v>
      </c>
      <c r="O6" s="900">
        <v>674.48</v>
      </c>
      <c r="P6" s="256">
        <v>59</v>
      </c>
      <c r="Q6" s="275">
        <f>P78</f>
        <v>1638.44</v>
      </c>
      <c r="R6" s="7">
        <f>O6-Q6+O7+O5-Q5+O4</f>
        <v>0.19999999999996021</v>
      </c>
      <c r="V6" s="263"/>
      <c r="W6" s="1175"/>
      <c r="X6" s="624">
        <v>120</v>
      </c>
      <c r="Y6" s="261">
        <v>44519</v>
      </c>
      <c r="Z6" s="280">
        <v>474.01</v>
      </c>
      <c r="AA6" s="266">
        <v>40</v>
      </c>
      <c r="AB6" s="275">
        <f>AA78</f>
        <v>783.15999999999985</v>
      </c>
      <c r="AC6" s="7">
        <f>Z6-AB6+Z7+Z5-AB5+Z4</f>
        <v>1.1368683772161603E-13</v>
      </c>
      <c r="AF6" s="263"/>
      <c r="AG6" s="1174"/>
      <c r="AH6" s="872">
        <v>92</v>
      </c>
      <c r="AI6" s="261">
        <v>44560</v>
      </c>
      <c r="AJ6" s="900">
        <v>505.06</v>
      </c>
      <c r="AK6" s="256">
        <v>42</v>
      </c>
      <c r="AL6" s="275">
        <f>AK78</f>
        <v>207.82</v>
      </c>
      <c r="AM6" s="7">
        <f>AJ6-AL6+AJ7+AJ5-AL5+AJ4</f>
        <v>794.32999999999993</v>
      </c>
      <c r="AP6" s="263"/>
      <c r="AQ6" s="1175"/>
      <c r="AR6" s="624">
        <v>84</v>
      </c>
      <c r="AS6" s="261"/>
      <c r="AT6" s="280"/>
      <c r="AU6" s="266"/>
      <c r="AV6" s="275">
        <f>AU78</f>
        <v>170.4</v>
      </c>
      <c r="AW6" s="7">
        <f>AT6-AV6+AT7+AT5-AV5+AT4</f>
        <v>403.26</v>
      </c>
    </row>
    <row r="7" spans="1:50" ht="15.75" thickBot="1" x14ac:dyDescent="0.3">
      <c r="A7" s="253"/>
      <c r="B7" s="285"/>
      <c r="C7" s="873"/>
      <c r="D7" s="261"/>
      <c r="E7" s="70"/>
      <c r="F7" s="74"/>
      <c r="G7" s="253"/>
      <c r="K7" s="253"/>
      <c r="L7" s="285"/>
      <c r="M7" s="872">
        <v>92</v>
      </c>
      <c r="N7" s="287">
        <v>44530</v>
      </c>
      <c r="O7" s="272">
        <v>851.01</v>
      </c>
      <c r="P7" s="266">
        <v>70</v>
      </c>
      <c r="Q7" s="253"/>
      <c r="V7" s="253"/>
      <c r="W7" s="285"/>
      <c r="X7" s="872">
        <v>120</v>
      </c>
      <c r="Y7" s="261">
        <v>44530</v>
      </c>
      <c r="Z7" s="900">
        <v>309.14999999999998</v>
      </c>
      <c r="AA7" s="309">
        <v>25</v>
      </c>
      <c r="AB7" s="253"/>
      <c r="AF7" s="253"/>
      <c r="AG7" s="285"/>
      <c r="AH7" s="872"/>
      <c r="AI7" s="287"/>
      <c r="AJ7" s="272">
        <v>0.2</v>
      </c>
      <c r="AK7" s="266"/>
      <c r="AL7" s="253"/>
      <c r="AP7" s="253"/>
      <c r="AQ7" s="285"/>
      <c r="AR7" s="872"/>
      <c r="AS7" s="261"/>
      <c r="AT7" s="900"/>
      <c r="AU7" s="309"/>
      <c r="AV7" s="253"/>
    </row>
    <row r="8" spans="1:5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</row>
    <row r="9" spans="1:50" ht="15.75" thickTop="1" x14ac:dyDescent="0.25">
      <c r="A9" s="81" t="s">
        <v>32</v>
      </c>
      <c r="B9" s="84">
        <f>F6-C9+F5+F7+F4</f>
        <v>87</v>
      </c>
      <c r="C9" s="15">
        <v>20</v>
      </c>
      <c r="D9" s="277">
        <v>252.84</v>
      </c>
      <c r="E9" s="308">
        <v>44516</v>
      </c>
      <c r="F9" s="277">
        <f t="shared" ref="F9:F72" si="0">D9</f>
        <v>252.84</v>
      </c>
      <c r="G9" s="278" t="s">
        <v>185</v>
      </c>
      <c r="H9" s="279">
        <v>90</v>
      </c>
      <c r="I9" s="288">
        <f>E6-F9+E5+E7+E4</f>
        <v>1112.54</v>
      </c>
      <c r="K9" s="81" t="s">
        <v>32</v>
      </c>
      <c r="L9" s="84">
        <f>P6-M9+P5+P7+P4</f>
        <v>133</v>
      </c>
      <c r="M9" s="15">
        <v>5.5</v>
      </c>
      <c r="N9" s="277">
        <v>61.86</v>
      </c>
      <c r="O9" s="308">
        <v>44513</v>
      </c>
      <c r="P9" s="277">
        <f t="shared" ref="P9:P72" si="1">N9</f>
        <v>61.86</v>
      </c>
      <c r="Q9" s="278" t="s">
        <v>183</v>
      </c>
      <c r="R9" s="279">
        <v>95</v>
      </c>
      <c r="S9" s="288">
        <f>O6-P9+O5+O7+O4</f>
        <v>1576.78</v>
      </c>
      <c r="V9" s="81" t="s">
        <v>32</v>
      </c>
      <c r="W9" s="84">
        <f>AA6-X9+AA5+AA7+AA4</f>
        <v>55</v>
      </c>
      <c r="X9" s="15">
        <v>10</v>
      </c>
      <c r="Y9" s="277">
        <v>117.3</v>
      </c>
      <c r="Z9" s="308">
        <v>44520</v>
      </c>
      <c r="AA9" s="277">
        <f t="shared" ref="AA9:AA72" si="2">Y9</f>
        <v>117.3</v>
      </c>
      <c r="AB9" s="278" t="s">
        <v>201</v>
      </c>
      <c r="AC9" s="279">
        <v>125</v>
      </c>
      <c r="AD9" s="288">
        <f>Z6-AA9+Z5+Z7+Z4</f>
        <v>665.8599999999999</v>
      </c>
      <c r="AF9" s="81" t="s">
        <v>32</v>
      </c>
      <c r="AG9" s="84">
        <f>AK6-AH9+AK5+AK7+AK4</f>
        <v>76</v>
      </c>
      <c r="AH9" s="15">
        <v>7</v>
      </c>
      <c r="AI9" s="277">
        <v>87.58</v>
      </c>
      <c r="AJ9" s="308">
        <v>44554</v>
      </c>
      <c r="AK9" s="277">
        <f t="shared" ref="AK9:AK72" si="3">AI9</f>
        <v>87.58</v>
      </c>
      <c r="AL9" s="278" t="s">
        <v>609</v>
      </c>
      <c r="AM9" s="279">
        <v>95</v>
      </c>
      <c r="AN9" s="288">
        <f>AJ6-AK9+AJ5+AJ7+AJ4</f>
        <v>914.57</v>
      </c>
      <c r="AP9" s="81" t="s">
        <v>32</v>
      </c>
      <c r="AQ9" s="84">
        <f>AU6-AR9+AU5+AU7+AU4</f>
        <v>35</v>
      </c>
      <c r="AR9" s="15">
        <v>15</v>
      </c>
      <c r="AS9" s="277">
        <v>170.4</v>
      </c>
      <c r="AT9" s="308">
        <v>44561</v>
      </c>
      <c r="AU9" s="277">
        <f t="shared" ref="AU9:AU72" si="4">AS9</f>
        <v>170.4</v>
      </c>
      <c r="AV9" s="278" t="s">
        <v>677</v>
      </c>
      <c r="AW9" s="279">
        <v>95</v>
      </c>
      <c r="AX9" s="288">
        <f>AT6-AU9+AT5+AT7+AT4</f>
        <v>403.26</v>
      </c>
    </row>
    <row r="10" spans="1:50" x14ac:dyDescent="0.25">
      <c r="A10" s="217"/>
      <c r="B10" s="84">
        <f>B9-C10</f>
        <v>67</v>
      </c>
      <c r="C10" s="15">
        <v>20</v>
      </c>
      <c r="D10" s="277">
        <v>255.52</v>
      </c>
      <c r="E10" s="308">
        <v>44533</v>
      </c>
      <c r="F10" s="277">
        <f t="shared" si="0"/>
        <v>255.52</v>
      </c>
      <c r="G10" s="278" t="s">
        <v>238</v>
      </c>
      <c r="H10" s="279">
        <v>90</v>
      </c>
      <c r="I10" s="288">
        <f>I9-F10</f>
        <v>857.02</v>
      </c>
      <c r="K10" s="217"/>
      <c r="L10" s="84">
        <f>L9-M10</f>
        <v>108</v>
      </c>
      <c r="M10" s="74">
        <v>25</v>
      </c>
      <c r="N10" s="277">
        <v>289.14999999999998</v>
      </c>
      <c r="O10" s="308">
        <v>44516</v>
      </c>
      <c r="P10" s="277">
        <f t="shared" si="1"/>
        <v>289.14999999999998</v>
      </c>
      <c r="Q10" s="278" t="s">
        <v>185</v>
      </c>
      <c r="R10" s="279">
        <v>95</v>
      </c>
      <c r="S10" s="288">
        <f>S9-P10</f>
        <v>1287.6300000000001</v>
      </c>
      <c r="V10" s="217"/>
      <c r="W10" s="84">
        <f>W9-X10</f>
        <v>45</v>
      </c>
      <c r="X10" s="74">
        <v>10</v>
      </c>
      <c r="Y10" s="277">
        <v>116.1</v>
      </c>
      <c r="Z10" s="308">
        <v>44526</v>
      </c>
      <c r="AA10" s="277">
        <f t="shared" si="2"/>
        <v>116.1</v>
      </c>
      <c r="AB10" s="278" t="s">
        <v>223</v>
      </c>
      <c r="AC10" s="279">
        <v>125</v>
      </c>
      <c r="AD10" s="288">
        <f>AD9-AA10</f>
        <v>549.75999999999988</v>
      </c>
      <c r="AF10" s="217"/>
      <c r="AG10" s="84">
        <f>AG9-AH10</f>
        <v>66</v>
      </c>
      <c r="AH10" s="15">
        <v>10</v>
      </c>
      <c r="AI10" s="277">
        <v>120.24</v>
      </c>
      <c r="AJ10" s="308">
        <v>44559</v>
      </c>
      <c r="AK10" s="277">
        <f t="shared" si="3"/>
        <v>120.24</v>
      </c>
      <c r="AL10" s="278" t="s">
        <v>656</v>
      </c>
      <c r="AM10" s="279">
        <v>95</v>
      </c>
      <c r="AN10" s="288">
        <f>AN9-AK10</f>
        <v>794.33</v>
      </c>
      <c r="AP10" s="217"/>
      <c r="AQ10" s="84">
        <f>AQ9-AR10</f>
        <v>35</v>
      </c>
      <c r="AR10" s="74"/>
      <c r="AS10" s="277"/>
      <c r="AT10" s="308"/>
      <c r="AU10" s="277">
        <f t="shared" si="4"/>
        <v>0</v>
      </c>
      <c r="AV10" s="278"/>
      <c r="AW10" s="279"/>
      <c r="AX10" s="288">
        <f>AX9-AU10</f>
        <v>403.26</v>
      </c>
    </row>
    <row r="11" spans="1:50" x14ac:dyDescent="0.25">
      <c r="A11" s="205"/>
      <c r="B11" s="84">
        <f t="shared" ref="B11:B54" si="5">B10-C11</f>
        <v>52</v>
      </c>
      <c r="C11" s="15">
        <v>15</v>
      </c>
      <c r="D11" s="983">
        <v>192.04</v>
      </c>
      <c r="E11" s="984">
        <v>44551</v>
      </c>
      <c r="F11" s="983">
        <f t="shared" si="0"/>
        <v>192.04</v>
      </c>
      <c r="G11" s="687" t="s">
        <v>570</v>
      </c>
      <c r="H11" s="985">
        <v>90</v>
      </c>
      <c r="I11" s="288">
        <f t="shared" ref="I11:I74" si="6">I10-F11</f>
        <v>664.98</v>
      </c>
      <c r="K11" s="205"/>
      <c r="L11" s="84">
        <f t="shared" ref="L11:L54" si="7">L10-M11</f>
        <v>88</v>
      </c>
      <c r="M11" s="74">
        <v>20</v>
      </c>
      <c r="N11" s="277">
        <v>228.63</v>
      </c>
      <c r="O11" s="308">
        <v>44525</v>
      </c>
      <c r="P11" s="277">
        <f t="shared" si="1"/>
        <v>228.63</v>
      </c>
      <c r="Q11" s="278" t="s">
        <v>217</v>
      </c>
      <c r="R11" s="279">
        <v>95</v>
      </c>
      <c r="S11" s="288">
        <f t="shared" ref="S11:S74" si="8">S10-P11</f>
        <v>1059</v>
      </c>
      <c r="V11" s="205"/>
      <c r="W11" s="84">
        <f t="shared" ref="W11:W54" si="9">W10-X11</f>
        <v>33</v>
      </c>
      <c r="X11" s="74">
        <v>12</v>
      </c>
      <c r="Y11" s="983">
        <v>144.16999999999999</v>
      </c>
      <c r="Z11" s="984">
        <v>44538</v>
      </c>
      <c r="AA11" s="983">
        <f t="shared" si="2"/>
        <v>144.16999999999999</v>
      </c>
      <c r="AB11" s="687" t="s">
        <v>472</v>
      </c>
      <c r="AC11" s="985">
        <v>125</v>
      </c>
      <c r="AD11" s="288">
        <f t="shared" ref="AD11:AD74" si="10">AD10-AA11</f>
        <v>405.58999999999992</v>
      </c>
      <c r="AF11" s="205"/>
      <c r="AG11" s="84">
        <f t="shared" ref="AG11:AG54" si="11">AG10-AH11</f>
        <v>66</v>
      </c>
      <c r="AH11" s="74"/>
      <c r="AI11" s="277"/>
      <c r="AJ11" s="308"/>
      <c r="AK11" s="277">
        <f t="shared" si="3"/>
        <v>0</v>
      </c>
      <c r="AL11" s="278"/>
      <c r="AM11" s="279"/>
      <c r="AN11" s="288">
        <f t="shared" ref="AN11:AN74" si="12">AN10-AK11</f>
        <v>794.33</v>
      </c>
      <c r="AP11" s="205"/>
      <c r="AQ11" s="84">
        <f t="shared" ref="AQ11:AQ54" si="13">AQ10-AR11</f>
        <v>35</v>
      </c>
      <c r="AR11" s="74"/>
      <c r="AS11" s="277"/>
      <c r="AT11" s="308"/>
      <c r="AU11" s="277">
        <f t="shared" si="4"/>
        <v>0</v>
      </c>
      <c r="AV11" s="278"/>
      <c r="AW11" s="279"/>
      <c r="AX11" s="288">
        <f t="shared" ref="AX11:AX74" si="14">AX10-AU11</f>
        <v>403.26</v>
      </c>
    </row>
    <row r="12" spans="1:50" x14ac:dyDescent="0.25">
      <c r="A12" s="205"/>
      <c r="B12" s="84">
        <f t="shared" si="5"/>
        <v>52</v>
      </c>
      <c r="C12" s="15"/>
      <c r="D12" s="983"/>
      <c r="E12" s="984"/>
      <c r="F12" s="983">
        <f t="shared" si="0"/>
        <v>0</v>
      </c>
      <c r="G12" s="687"/>
      <c r="H12" s="985"/>
      <c r="I12" s="288">
        <f t="shared" si="6"/>
        <v>664.98</v>
      </c>
      <c r="K12" s="205"/>
      <c r="L12" s="84">
        <f t="shared" si="7"/>
        <v>68</v>
      </c>
      <c r="M12" s="74">
        <v>20</v>
      </c>
      <c r="N12" s="983">
        <v>249.49</v>
      </c>
      <c r="O12" s="984">
        <v>44536</v>
      </c>
      <c r="P12" s="983">
        <f t="shared" si="1"/>
        <v>249.49</v>
      </c>
      <c r="Q12" s="687" t="s">
        <v>443</v>
      </c>
      <c r="R12" s="985">
        <v>95</v>
      </c>
      <c r="S12" s="288">
        <f t="shared" si="8"/>
        <v>809.51</v>
      </c>
      <c r="V12" s="205"/>
      <c r="W12" s="84">
        <f t="shared" si="9"/>
        <v>18</v>
      </c>
      <c r="X12" s="74">
        <v>15</v>
      </c>
      <c r="Y12" s="983">
        <v>183.67</v>
      </c>
      <c r="Z12" s="984">
        <v>44539</v>
      </c>
      <c r="AA12" s="983">
        <f t="shared" si="2"/>
        <v>183.67</v>
      </c>
      <c r="AB12" s="687" t="s">
        <v>497</v>
      </c>
      <c r="AC12" s="985">
        <v>125</v>
      </c>
      <c r="AD12" s="288">
        <f t="shared" si="10"/>
        <v>221.91999999999993</v>
      </c>
      <c r="AF12" s="205"/>
      <c r="AG12" s="84">
        <f t="shared" si="11"/>
        <v>66</v>
      </c>
      <c r="AH12" s="74"/>
      <c r="AI12" s="983"/>
      <c r="AJ12" s="984"/>
      <c r="AK12" s="983">
        <f t="shared" si="3"/>
        <v>0</v>
      </c>
      <c r="AL12" s="687"/>
      <c r="AM12" s="985"/>
      <c r="AN12" s="288">
        <f t="shared" si="12"/>
        <v>794.33</v>
      </c>
      <c r="AP12" s="205"/>
      <c r="AQ12" s="84">
        <f t="shared" si="13"/>
        <v>35</v>
      </c>
      <c r="AR12" s="74"/>
      <c r="AS12" s="277"/>
      <c r="AT12" s="308"/>
      <c r="AU12" s="277">
        <f t="shared" si="4"/>
        <v>0</v>
      </c>
      <c r="AV12" s="278"/>
      <c r="AW12" s="279"/>
      <c r="AX12" s="288">
        <f t="shared" si="14"/>
        <v>403.26</v>
      </c>
    </row>
    <row r="13" spans="1:50" x14ac:dyDescent="0.25">
      <c r="A13" s="83" t="s">
        <v>33</v>
      </c>
      <c r="B13" s="84">
        <f t="shared" si="5"/>
        <v>52</v>
      </c>
      <c r="C13" s="15"/>
      <c r="D13" s="983"/>
      <c r="E13" s="984"/>
      <c r="F13" s="983">
        <f t="shared" si="0"/>
        <v>0</v>
      </c>
      <c r="G13" s="687"/>
      <c r="H13" s="985"/>
      <c r="I13" s="288">
        <f t="shared" si="6"/>
        <v>664.98</v>
      </c>
      <c r="K13" s="83" t="s">
        <v>33</v>
      </c>
      <c r="L13" s="84">
        <f t="shared" si="7"/>
        <v>53</v>
      </c>
      <c r="M13" s="74">
        <v>15</v>
      </c>
      <c r="N13" s="983">
        <v>185.25</v>
      </c>
      <c r="O13" s="984">
        <v>44541</v>
      </c>
      <c r="P13" s="983">
        <f t="shared" si="1"/>
        <v>185.25</v>
      </c>
      <c r="Q13" s="687" t="s">
        <v>506</v>
      </c>
      <c r="R13" s="985">
        <v>90</v>
      </c>
      <c r="S13" s="288">
        <f t="shared" si="8"/>
        <v>624.26</v>
      </c>
      <c r="V13" s="83" t="s">
        <v>33</v>
      </c>
      <c r="W13" s="84">
        <f t="shared" si="9"/>
        <v>8</v>
      </c>
      <c r="X13" s="74">
        <v>10</v>
      </c>
      <c r="Y13" s="983">
        <v>123.13</v>
      </c>
      <c r="Z13" s="984">
        <v>44554</v>
      </c>
      <c r="AA13" s="983">
        <f t="shared" si="2"/>
        <v>123.13</v>
      </c>
      <c r="AB13" s="687" t="s">
        <v>606</v>
      </c>
      <c r="AC13" s="985">
        <v>125</v>
      </c>
      <c r="AD13" s="288">
        <f t="shared" si="10"/>
        <v>98.789999999999935</v>
      </c>
      <c r="AF13" s="83" t="s">
        <v>33</v>
      </c>
      <c r="AG13" s="84">
        <f t="shared" si="11"/>
        <v>66</v>
      </c>
      <c r="AH13" s="74"/>
      <c r="AI13" s="983"/>
      <c r="AJ13" s="984"/>
      <c r="AK13" s="983">
        <f t="shared" si="3"/>
        <v>0</v>
      </c>
      <c r="AL13" s="687"/>
      <c r="AM13" s="985"/>
      <c r="AN13" s="288">
        <f t="shared" si="12"/>
        <v>794.33</v>
      </c>
      <c r="AP13" s="83" t="s">
        <v>33</v>
      </c>
      <c r="AQ13" s="84">
        <f t="shared" si="13"/>
        <v>35</v>
      </c>
      <c r="AR13" s="74"/>
      <c r="AS13" s="277"/>
      <c r="AT13" s="308"/>
      <c r="AU13" s="277">
        <f t="shared" si="4"/>
        <v>0</v>
      </c>
      <c r="AV13" s="278"/>
      <c r="AW13" s="279"/>
      <c r="AX13" s="288">
        <f t="shared" si="14"/>
        <v>403.26</v>
      </c>
    </row>
    <row r="14" spans="1:50" x14ac:dyDescent="0.25">
      <c r="A14" s="74"/>
      <c r="B14" s="84">
        <f t="shared" si="5"/>
        <v>52</v>
      </c>
      <c r="C14" s="15"/>
      <c r="D14" s="983"/>
      <c r="E14" s="984"/>
      <c r="F14" s="983">
        <f t="shared" si="0"/>
        <v>0</v>
      </c>
      <c r="G14" s="687"/>
      <c r="H14" s="985"/>
      <c r="I14" s="288">
        <f t="shared" si="6"/>
        <v>664.98</v>
      </c>
      <c r="K14" s="74"/>
      <c r="L14" s="84">
        <f t="shared" si="7"/>
        <v>33</v>
      </c>
      <c r="M14" s="74">
        <v>20</v>
      </c>
      <c r="N14" s="983">
        <v>231.49</v>
      </c>
      <c r="O14" s="984">
        <v>44545</v>
      </c>
      <c r="P14" s="983">
        <f t="shared" si="1"/>
        <v>231.49</v>
      </c>
      <c r="Q14" s="687" t="s">
        <v>526</v>
      </c>
      <c r="R14" s="985">
        <v>95</v>
      </c>
      <c r="S14" s="288">
        <f t="shared" si="8"/>
        <v>392.77</v>
      </c>
      <c r="V14" s="74"/>
      <c r="W14" s="84">
        <f t="shared" si="9"/>
        <v>0</v>
      </c>
      <c r="X14" s="74">
        <v>8</v>
      </c>
      <c r="Y14" s="983">
        <v>98.79</v>
      </c>
      <c r="Z14" s="984">
        <v>44558</v>
      </c>
      <c r="AA14" s="983">
        <f t="shared" si="2"/>
        <v>98.79</v>
      </c>
      <c r="AB14" s="687" t="s">
        <v>640</v>
      </c>
      <c r="AC14" s="985">
        <v>125</v>
      </c>
      <c r="AD14" s="288">
        <f t="shared" si="10"/>
        <v>0</v>
      </c>
      <c r="AF14" s="74"/>
      <c r="AG14" s="84">
        <f t="shared" si="11"/>
        <v>66</v>
      </c>
      <c r="AH14" s="74"/>
      <c r="AI14" s="983"/>
      <c r="AJ14" s="984"/>
      <c r="AK14" s="983">
        <f t="shared" si="3"/>
        <v>0</v>
      </c>
      <c r="AL14" s="687"/>
      <c r="AM14" s="985"/>
      <c r="AN14" s="288">
        <f t="shared" si="12"/>
        <v>794.33</v>
      </c>
      <c r="AP14" s="74"/>
      <c r="AQ14" s="84">
        <f t="shared" si="13"/>
        <v>35</v>
      </c>
      <c r="AR14" s="74"/>
      <c r="AS14" s="277"/>
      <c r="AT14" s="308"/>
      <c r="AU14" s="277">
        <f t="shared" si="4"/>
        <v>0</v>
      </c>
      <c r="AV14" s="278"/>
      <c r="AW14" s="279"/>
      <c r="AX14" s="288">
        <f t="shared" si="14"/>
        <v>403.26</v>
      </c>
    </row>
    <row r="15" spans="1:50" x14ac:dyDescent="0.25">
      <c r="A15" s="74"/>
      <c r="B15" s="84">
        <f t="shared" si="5"/>
        <v>52</v>
      </c>
      <c r="C15" s="15"/>
      <c r="D15" s="983"/>
      <c r="E15" s="984"/>
      <c r="F15" s="983">
        <f t="shared" si="0"/>
        <v>0</v>
      </c>
      <c r="G15" s="687"/>
      <c r="H15" s="985"/>
      <c r="I15" s="288">
        <f t="shared" si="6"/>
        <v>664.98</v>
      </c>
      <c r="K15" s="74"/>
      <c r="L15" s="84">
        <f t="shared" si="7"/>
        <v>23</v>
      </c>
      <c r="M15" s="74">
        <v>10</v>
      </c>
      <c r="N15" s="983">
        <v>119.13</v>
      </c>
      <c r="O15" s="984">
        <v>44548</v>
      </c>
      <c r="P15" s="983">
        <f t="shared" si="1"/>
        <v>119.13</v>
      </c>
      <c r="Q15" s="687" t="s">
        <v>548</v>
      </c>
      <c r="R15" s="985">
        <v>95</v>
      </c>
      <c r="S15" s="288">
        <f t="shared" si="8"/>
        <v>273.64</v>
      </c>
      <c r="V15" s="74"/>
      <c r="W15" s="84">
        <f t="shared" si="9"/>
        <v>0</v>
      </c>
      <c r="X15" s="74"/>
      <c r="Y15" s="983"/>
      <c r="Z15" s="984"/>
      <c r="AA15" s="1111">
        <f t="shared" si="2"/>
        <v>0</v>
      </c>
      <c r="AB15" s="1087"/>
      <c r="AC15" s="1088"/>
      <c r="AD15" s="1089">
        <f t="shared" si="10"/>
        <v>0</v>
      </c>
      <c r="AF15" s="74"/>
      <c r="AG15" s="84">
        <f t="shared" si="11"/>
        <v>66</v>
      </c>
      <c r="AH15" s="74"/>
      <c r="AI15" s="983"/>
      <c r="AJ15" s="984"/>
      <c r="AK15" s="983">
        <f t="shared" si="3"/>
        <v>0</v>
      </c>
      <c r="AL15" s="687"/>
      <c r="AM15" s="985"/>
      <c r="AN15" s="288">
        <f t="shared" si="12"/>
        <v>794.33</v>
      </c>
      <c r="AP15" s="74"/>
      <c r="AQ15" s="84">
        <f t="shared" si="13"/>
        <v>35</v>
      </c>
      <c r="AR15" s="74"/>
      <c r="AS15" s="277"/>
      <c r="AT15" s="308"/>
      <c r="AU15" s="277">
        <f t="shared" si="4"/>
        <v>0</v>
      </c>
      <c r="AV15" s="278"/>
      <c r="AW15" s="279"/>
      <c r="AX15" s="288">
        <f t="shared" si="14"/>
        <v>403.26</v>
      </c>
    </row>
    <row r="16" spans="1:50" x14ac:dyDescent="0.25">
      <c r="B16" s="84">
        <f t="shared" si="5"/>
        <v>52</v>
      </c>
      <c r="C16" s="15"/>
      <c r="D16" s="983"/>
      <c r="E16" s="984"/>
      <c r="F16" s="983">
        <f t="shared" si="0"/>
        <v>0</v>
      </c>
      <c r="G16" s="687"/>
      <c r="H16" s="985"/>
      <c r="I16" s="288">
        <f t="shared" si="6"/>
        <v>664.98</v>
      </c>
      <c r="L16" s="84">
        <f t="shared" si="7"/>
        <v>8</v>
      </c>
      <c r="M16" s="74">
        <v>15</v>
      </c>
      <c r="N16" s="983">
        <v>177.38</v>
      </c>
      <c r="O16" s="984">
        <v>44551</v>
      </c>
      <c r="P16" s="983">
        <f t="shared" si="1"/>
        <v>177.38</v>
      </c>
      <c r="Q16" s="687" t="s">
        <v>570</v>
      </c>
      <c r="R16" s="985">
        <v>95</v>
      </c>
      <c r="S16" s="288">
        <f t="shared" si="8"/>
        <v>96.259999999999991</v>
      </c>
      <c r="W16" s="84">
        <f t="shared" si="9"/>
        <v>0</v>
      </c>
      <c r="X16" s="74"/>
      <c r="Y16" s="983"/>
      <c r="Z16" s="984"/>
      <c r="AA16" s="1111">
        <f t="shared" si="2"/>
        <v>0</v>
      </c>
      <c r="AB16" s="1087"/>
      <c r="AC16" s="1088"/>
      <c r="AD16" s="1089">
        <f t="shared" si="10"/>
        <v>0</v>
      </c>
      <c r="AG16" s="84">
        <f t="shared" si="11"/>
        <v>66</v>
      </c>
      <c r="AH16" s="74"/>
      <c r="AI16" s="983"/>
      <c r="AJ16" s="984"/>
      <c r="AK16" s="983">
        <f t="shared" si="3"/>
        <v>0</v>
      </c>
      <c r="AL16" s="687"/>
      <c r="AM16" s="985"/>
      <c r="AN16" s="288">
        <f t="shared" si="12"/>
        <v>794.33</v>
      </c>
      <c r="AQ16" s="84">
        <f t="shared" si="13"/>
        <v>35</v>
      </c>
      <c r="AR16" s="74"/>
      <c r="AS16" s="277"/>
      <c r="AT16" s="308"/>
      <c r="AU16" s="277">
        <f t="shared" si="4"/>
        <v>0</v>
      </c>
      <c r="AV16" s="278"/>
      <c r="AW16" s="279"/>
      <c r="AX16" s="288">
        <f t="shared" si="14"/>
        <v>403.26</v>
      </c>
    </row>
    <row r="17" spans="1:50" x14ac:dyDescent="0.25">
      <c r="B17" s="84">
        <f t="shared" si="5"/>
        <v>52</v>
      </c>
      <c r="C17" s="15"/>
      <c r="D17" s="983"/>
      <c r="E17" s="984"/>
      <c r="F17" s="983">
        <f t="shared" si="0"/>
        <v>0</v>
      </c>
      <c r="G17" s="687"/>
      <c r="H17" s="985"/>
      <c r="I17" s="288">
        <f t="shared" si="6"/>
        <v>664.98</v>
      </c>
      <c r="L17" s="84">
        <f t="shared" si="7"/>
        <v>0</v>
      </c>
      <c r="M17" s="74">
        <v>8</v>
      </c>
      <c r="N17" s="983">
        <v>96.06</v>
      </c>
      <c r="O17" s="984">
        <v>44554</v>
      </c>
      <c r="P17" s="983">
        <f t="shared" si="1"/>
        <v>96.06</v>
      </c>
      <c r="Q17" s="687" t="s">
        <v>606</v>
      </c>
      <c r="R17" s="985">
        <v>95</v>
      </c>
      <c r="S17" s="288">
        <f t="shared" si="8"/>
        <v>0.19999999999998863</v>
      </c>
      <c r="W17" s="84">
        <f t="shared" si="9"/>
        <v>0</v>
      </c>
      <c r="X17" s="74"/>
      <c r="Y17" s="983"/>
      <c r="Z17" s="984"/>
      <c r="AA17" s="1111">
        <f t="shared" si="2"/>
        <v>0</v>
      </c>
      <c r="AB17" s="1087"/>
      <c r="AC17" s="1088"/>
      <c r="AD17" s="1089">
        <f t="shared" si="10"/>
        <v>0</v>
      </c>
      <c r="AG17" s="84">
        <f t="shared" si="11"/>
        <v>66</v>
      </c>
      <c r="AH17" s="74"/>
      <c r="AI17" s="983"/>
      <c r="AJ17" s="984"/>
      <c r="AK17" s="983">
        <f t="shared" si="3"/>
        <v>0</v>
      </c>
      <c r="AL17" s="687"/>
      <c r="AM17" s="985"/>
      <c r="AN17" s="288">
        <f t="shared" si="12"/>
        <v>794.33</v>
      </c>
      <c r="AQ17" s="84">
        <f t="shared" si="13"/>
        <v>35</v>
      </c>
      <c r="AR17" s="74"/>
      <c r="AS17" s="277"/>
      <c r="AT17" s="308"/>
      <c r="AU17" s="277">
        <f t="shared" si="4"/>
        <v>0</v>
      </c>
      <c r="AV17" s="278"/>
      <c r="AW17" s="279"/>
      <c r="AX17" s="288">
        <f t="shared" si="14"/>
        <v>403.26</v>
      </c>
    </row>
    <row r="18" spans="1:50" x14ac:dyDescent="0.25">
      <c r="A18" s="126"/>
      <c r="B18" s="84">
        <f t="shared" si="5"/>
        <v>52</v>
      </c>
      <c r="C18" s="15"/>
      <c r="D18" s="983"/>
      <c r="E18" s="984"/>
      <c r="F18" s="983">
        <f t="shared" si="0"/>
        <v>0</v>
      </c>
      <c r="G18" s="687"/>
      <c r="H18" s="985"/>
      <c r="I18" s="288">
        <f t="shared" si="6"/>
        <v>664.98</v>
      </c>
      <c r="K18" s="126"/>
      <c r="L18" s="84">
        <f t="shared" si="7"/>
        <v>0</v>
      </c>
      <c r="M18" s="74"/>
      <c r="N18" s="983"/>
      <c r="O18" s="984"/>
      <c r="P18" s="1111">
        <f t="shared" si="1"/>
        <v>0</v>
      </c>
      <c r="Q18" s="1087"/>
      <c r="R18" s="1088"/>
      <c r="S18" s="1089">
        <f t="shared" si="8"/>
        <v>0.19999999999998863</v>
      </c>
      <c r="V18" s="126"/>
      <c r="W18" s="84">
        <f t="shared" si="9"/>
        <v>0</v>
      </c>
      <c r="X18" s="74"/>
      <c r="Y18" s="983"/>
      <c r="Z18" s="984"/>
      <c r="AA18" s="1111">
        <f t="shared" si="2"/>
        <v>0</v>
      </c>
      <c r="AB18" s="1087"/>
      <c r="AC18" s="1088"/>
      <c r="AD18" s="1089">
        <f t="shared" si="10"/>
        <v>0</v>
      </c>
      <c r="AF18" s="126"/>
      <c r="AG18" s="84">
        <f t="shared" si="11"/>
        <v>66</v>
      </c>
      <c r="AH18" s="74"/>
      <c r="AI18" s="983"/>
      <c r="AJ18" s="984"/>
      <c r="AK18" s="983">
        <f t="shared" si="3"/>
        <v>0</v>
      </c>
      <c r="AL18" s="687"/>
      <c r="AM18" s="985"/>
      <c r="AN18" s="288">
        <f t="shared" si="12"/>
        <v>794.33</v>
      </c>
      <c r="AP18" s="126"/>
      <c r="AQ18" s="84">
        <f t="shared" si="13"/>
        <v>35</v>
      </c>
      <c r="AR18" s="74"/>
      <c r="AS18" s="277"/>
      <c r="AT18" s="308"/>
      <c r="AU18" s="277">
        <f t="shared" si="4"/>
        <v>0</v>
      </c>
      <c r="AV18" s="278"/>
      <c r="AW18" s="279"/>
      <c r="AX18" s="288">
        <f t="shared" si="14"/>
        <v>403.26</v>
      </c>
    </row>
    <row r="19" spans="1:50" x14ac:dyDescent="0.25">
      <c r="A19" s="126"/>
      <c r="B19" s="84">
        <f t="shared" si="5"/>
        <v>52</v>
      </c>
      <c r="C19" s="15"/>
      <c r="D19" s="983"/>
      <c r="E19" s="984"/>
      <c r="F19" s="983">
        <f t="shared" si="0"/>
        <v>0</v>
      </c>
      <c r="G19" s="687"/>
      <c r="H19" s="985"/>
      <c r="I19" s="288">
        <f t="shared" si="6"/>
        <v>664.98</v>
      </c>
      <c r="K19" s="126"/>
      <c r="L19" s="84">
        <f t="shared" si="7"/>
        <v>0</v>
      </c>
      <c r="M19" s="15"/>
      <c r="N19" s="983"/>
      <c r="O19" s="984"/>
      <c r="P19" s="1111">
        <f t="shared" si="1"/>
        <v>0</v>
      </c>
      <c r="Q19" s="1087"/>
      <c r="R19" s="1088"/>
      <c r="S19" s="1089">
        <f t="shared" si="8"/>
        <v>0.19999999999998863</v>
      </c>
      <c r="V19" s="126"/>
      <c r="W19" s="84">
        <f t="shared" si="9"/>
        <v>0</v>
      </c>
      <c r="X19" s="15"/>
      <c r="Y19" s="983"/>
      <c r="Z19" s="984"/>
      <c r="AA19" s="983">
        <f t="shared" si="2"/>
        <v>0</v>
      </c>
      <c r="AB19" s="687"/>
      <c r="AC19" s="985"/>
      <c r="AD19" s="288">
        <f t="shared" si="10"/>
        <v>0</v>
      </c>
      <c r="AF19" s="126"/>
      <c r="AG19" s="84">
        <f t="shared" si="11"/>
        <v>66</v>
      </c>
      <c r="AH19" s="15"/>
      <c r="AI19" s="983"/>
      <c r="AJ19" s="984"/>
      <c r="AK19" s="983">
        <f t="shared" si="3"/>
        <v>0</v>
      </c>
      <c r="AL19" s="687"/>
      <c r="AM19" s="985"/>
      <c r="AN19" s="288">
        <f t="shared" si="12"/>
        <v>794.33</v>
      </c>
      <c r="AP19" s="126"/>
      <c r="AQ19" s="84">
        <f t="shared" si="13"/>
        <v>35</v>
      </c>
      <c r="AR19" s="15"/>
      <c r="AS19" s="277"/>
      <c r="AT19" s="308"/>
      <c r="AU19" s="277">
        <f t="shared" si="4"/>
        <v>0</v>
      </c>
      <c r="AV19" s="278"/>
      <c r="AW19" s="279"/>
      <c r="AX19" s="288">
        <f t="shared" si="14"/>
        <v>403.26</v>
      </c>
    </row>
    <row r="20" spans="1:50" x14ac:dyDescent="0.25">
      <c r="A20" s="126"/>
      <c r="B20" s="84">
        <f t="shared" si="5"/>
        <v>52</v>
      </c>
      <c r="C20" s="15"/>
      <c r="D20" s="983"/>
      <c r="E20" s="984"/>
      <c r="F20" s="983">
        <f t="shared" si="0"/>
        <v>0</v>
      </c>
      <c r="G20" s="687"/>
      <c r="H20" s="985"/>
      <c r="I20" s="288">
        <f t="shared" si="6"/>
        <v>664.98</v>
      </c>
      <c r="K20" s="126"/>
      <c r="L20" s="84">
        <f t="shared" si="7"/>
        <v>0</v>
      </c>
      <c r="M20" s="15"/>
      <c r="N20" s="983"/>
      <c r="O20" s="984"/>
      <c r="P20" s="1111">
        <f t="shared" si="1"/>
        <v>0</v>
      </c>
      <c r="Q20" s="1087"/>
      <c r="R20" s="1088"/>
      <c r="S20" s="1089">
        <f t="shared" si="8"/>
        <v>0.19999999999998863</v>
      </c>
      <c r="V20" s="126"/>
      <c r="W20" s="84">
        <f t="shared" si="9"/>
        <v>0</v>
      </c>
      <c r="X20" s="15"/>
      <c r="Y20" s="983"/>
      <c r="Z20" s="984"/>
      <c r="AA20" s="983">
        <f t="shared" si="2"/>
        <v>0</v>
      </c>
      <c r="AB20" s="687"/>
      <c r="AC20" s="985"/>
      <c r="AD20" s="288">
        <f t="shared" si="10"/>
        <v>0</v>
      </c>
      <c r="AF20" s="126"/>
      <c r="AG20" s="84">
        <f t="shared" si="11"/>
        <v>66</v>
      </c>
      <c r="AH20" s="15"/>
      <c r="AI20" s="983"/>
      <c r="AJ20" s="984"/>
      <c r="AK20" s="983">
        <f t="shared" si="3"/>
        <v>0</v>
      </c>
      <c r="AL20" s="687"/>
      <c r="AM20" s="985"/>
      <c r="AN20" s="288">
        <f t="shared" si="12"/>
        <v>794.33</v>
      </c>
      <c r="AP20" s="126"/>
      <c r="AQ20" s="84">
        <f t="shared" si="13"/>
        <v>35</v>
      </c>
      <c r="AR20" s="15"/>
      <c r="AS20" s="277"/>
      <c r="AT20" s="308"/>
      <c r="AU20" s="277">
        <f t="shared" si="4"/>
        <v>0</v>
      </c>
      <c r="AV20" s="278"/>
      <c r="AW20" s="279"/>
      <c r="AX20" s="288">
        <f t="shared" si="14"/>
        <v>403.26</v>
      </c>
    </row>
    <row r="21" spans="1:50" x14ac:dyDescent="0.25">
      <c r="A21" s="126"/>
      <c r="B21" s="84">
        <f t="shared" si="5"/>
        <v>52</v>
      </c>
      <c r="C21" s="15"/>
      <c r="D21" s="983"/>
      <c r="E21" s="984"/>
      <c r="F21" s="983">
        <f t="shared" si="0"/>
        <v>0</v>
      </c>
      <c r="G21" s="687"/>
      <c r="H21" s="985"/>
      <c r="I21" s="288">
        <f t="shared" si="6"/>
        <v>664.98</v>
      </c>
      <c r="K21" s="126"/>
      <c r="L21" s="84">
        <f t="shared" si="7"/>
        <v>0</v>
      </c>
      <c r="M21" s="15"/>
      <c r="N21" s="983"/>
      <c r="O21" s="984"/>
      <c r="P21" s="983">
        <f t="shared" si="1"/>
        <v>0</v>
      </c>
      <c r="Q21" s="687"/>
      <c r="R21" s="985"/>
      <c r="S21" s="288">
        <f t="shared" si="8"/>
        <v>0.19999999999998863</v>
      </c>
      <c r="V21" s="126"/>
      <c r="W21" s="84">
        <f t="shared" si="9"/>
        <v>0</v>
      </c>
      <c r="X21" s="15"/>
      <c r="Y21" s="983"/>
      <c r="Z21" s="984"/>
      <c r="AA21" s="983">
        <f t="shared" si="2"/>
        <v>0</v>
      </c>
      <c r="AB21" s="687"/>
      <c r="AC21" s="985"/>
      <c r="AD21" s="288">
        <f t="shared" si="10"/>
        <v>0</v>
      </c>
      <c r="AF21" s="126"/>
      <c r="AG21" s="84">
        <f t="shared" si="11"/>
        <v>66</v>
      </c>
      <c r="AH21" s="15"/>
      <c r="AI21" s="983"/>
      <c r="AJ21" s="984"/>
      <c r="AK21" s="983">
        <f t="shared" si="3"/>
        <v>0</v>
      </c>
      <c r="AL21" s="687"/>
      <c r="AM21" s="985"/>
      <c r="AN21" s="288">
        <f t="shared" si="12"/>
        <v>794.33</v>
      </c>
      <c r="AP21" s="126"/>
      <c r="AQ21" s="84">
        <f t="shared" si="13"/>
        <v>35</v>
      </c>
      <c r="AR21" s="15"/>
      <c r="AS21" s="277"/>
      <c r="AT21" s="308"/>
      <c r="AU21" s="277">
        <f t="shared" si="4"/>
        <v>0</v>
      </c>
      <c r="AV21" s="278"/>
      <c r="AW21" s="279"/>
      <c r="AX21" s="288">
        <f t="shared" si="14"/>
        <v>403.26</v>
      </c>
    </row>
    <row r="22" spans="1:50" x14ac:dyDescent="0.25">
      <c r="A22" s="126"/>
      <c r="B22" s="294">
        <f t="shared" si="5"/>
        <v>52</v>
      </c>
      <c r="C22" s="15"/>
      <c r="D22" s="983"/>
      <c r="E22" s="984"/>
      <c r="F22" s="983">
        <f t="shared" si="0"/>
        <v>0</v>
      </c>
      <c r="G22" s="687"/>
      <c r="H22" s="985"/>
      <c r="I22" s="288">
        <f t="shared" si="6"/>
        <v>664.98</v>
      </c>
      <c r="K22" s="126"/>
      <c r="L22" s="294">
        <f t="shared" si="7"/>
        <v>0</v>
      </c>
      <c r="M22" s="15"/>
      <c r="N22" s="983"/>
      <c r="O22" s="984"/>
      <c r="P22" s="983">
        <f t="shared" si="1"/>
        <v>0</v>
      </c>
      <c r="Q22" s="687"/>
      <c r="R22" s="985"/>
      <c r="S22" s="288">
        <f t="shared" si="8"/>
        <v>0.19999999999998863</v>
      </c>
      <c r="V22" s="126"/>
      <c r="W22" s="294">
        <f t="shared" si="9"/>
        <v>0</v>
      </c>
      <c r="X22" s="15"/>
      <c r="Y22" s="983"/>
      <c r="Z22" s="984"/>
      <c r="AA22" s="983">
        <f t="shared" si="2"/>
        <v>0</v>
      </c>
      <c r="AB22" s="687"/>
      <c r="AC22" s="985"/>
      <c r="AD22" s="288">
        <f t="shared" si="10"/>
        <v>0</v>
      </c>
      <c r="AF22" s="126"/>
      <c r="AG22" s="294">
        <f t="shared" si="11"/>
        <v>66</v>
      </c>
      <c r="AH22" s="15"/>
      <c r="AI22" s="983"/>
      <c r="AJ22" s="984"/>
      <c r="AK22" s="983">
        <f t="shared" si="3"/>
        <v>0</v>
      </c>
      <c r="AL22" s="687"/>
      <c r="AM22" s="985"/>
      <c r="AN22" s="288">
        <f t="shared" si="12"/>
        <v>794.33</v>
      </c>
      <c r="AP22" s="126"/>
      <c r="AQ22" s="294">
        <f t="shared" si="13"/>
        <v>35</v>
      </c>
      <c r="AR22" s="15"/>
      <c r="AS22" s="277"/>
      <c r="AT22" s="308"/>
      <c r="AU22" s="277">
        <f t="shared" si="4"/>
        <v>0</v>
      </c>
      <c r="AV22" s="278"/>
      <c r="AW22" s="279"/>
      <c r="AX22" s="288">
        <f t="shared" si="14"/>
        <v>403.26</v>
      </c>
    </row>
    <row r="23" spans="1:50" x14ac:dyDescent="0.25">
      <c r="A23" s="127"/>
      <c r="B23" s="294">
        <f t="shared" si="5"/>
        <v>52</v>
      </c>
      <c r="C23" s="15"/>
      <c r="D23" s="983"/>
      <c r="E23" s="984"/>
      <c r="F23" s="983">
        <f t="shared" si="0"/>
        <v>0</v>
      </c>
      <c r="G23" s="687"/>
      <c r="H23" s="985"/>
      <c r="I23" s="288">
        <f t="shared" si="6"/>
        <v>664.98</v>
      </c>
      <c r="K23" s="127"/>
      <c r="L23" s="294">
        <f t="shared" si="7"/>
        <v>0</v>
      </c>
      <c r="M23" s="15"/>
      <c r="N23" s="983"/>
      <c r="O23" s="984"/>
      <c r="P23" s="983">
        <f t="shared" si="1"/>
        <v>0</v>
      </c>
      <c r="Q23" s="687"/>
      <c r="R23" s="985"/>
      <c r="S23" s="288">
        <f t="shared" si="8"/>
        <v>0.19999999999998863</v>
      </c>
      <c r="V23" s="127"/>
      <c r="W23" s="294">
        <f t="shared" si="9"/>
        <v>0</v>
      </c>
      <c r="X23" s="15"/>
      <c r="Y23" s="983"/>
      <c r="Z23" s="984"/>
      <c r="AA23" s="983">
        <f t="shared" si="2"/>
        <v>0</v>
      </c>
      <c r="AB23" s="687"/>
      <c r="AC23" s="985"/>
      <c r="AD23" s="288">
        <f t="shared" si="10"/>
        <v>0</v>
      </c>
      <c r="AF23" s="127"/>
      <c r="AG23" s="294">
        <f t="shared" si="11"/>
        <v>66</v>
      </c>
      <c r="AH23" s="15"/>
      <c r="AI23" s="983"/>
      <c r="AJ23" s="984"/>
      <c r="AK23" s="983">
        <f t="shared" si="3"/>
        <v>0</v>
      </c>
      <c r="AL23" s="687"/>
      <c r="AM23" s="985"/>
      <c r="AN23" s="288">
        <f t="shared" si="12"/>
        <v>794.33</v>
      </c>
      <c r="AP23" s="127"/>
      <c r="AQ23" s="294">
        <f t="shared" si="13"/>
        <v>35</v>
      </c>
      <c r="AR23" s="15"/>
      <c r="AS23" s="277"/>
      <c r="AT23" s="308"/>
      <c r="AU23" s="277">
        <f t="shared" si="4"/>
        <v>0</v>
      </c>
      <c r="AV23" s="278"/>
      <c r="AW23" s="279"/>
      <c r="AX23" s="288">
        <f t="shared" si="14"/>
        <v>403.26</v>
      </c>
    </row>
    <row r="24" spans="1:50" x14ac:dyDescent="0.25">
      <c r="A24" s="126"/>
      <c r="B24" s="294">
        <f t="shared" si="5"/>
        <v>52</v>
      </c>
      <c r="C24" s="15"/>
      <c r="D24" s="983"/>
      <c r="E24" s="984"/>
      <c r="F24" s="983">
        <f t="shared" si="0"/>
        <v>0</v>
      </c>
      <c r="G24" s="687"/>
      <c r="H24" s="985"/>
      <c r="I24" s="288">
        <f t="shared" si="6"/>
        <v>664.98</v>
      </c>
      <c r="K24" s="126"/>
      <c r="L24" s="294">
        <f t="shared" si="7"/>
        <v>0</v>
      </c>
      <c r="M24" s="15"/>
      <c r="N24" s="983"/>
      <c r="O24" s="984"/>
      <c r="P24" s="983">
        <f t="shared" si="1"/>
        <v>0</v>
      </c>
      <c r="Q24" s="687"/>
      <c r="R24" s="985"/>
      <c r="S24" s="288">
        <f t="shared" si="8"/>
        <v>0.19999999999998863</v>
      </c>
      <c r="V24" s="126"/>
      <c r="W24" s="294">
        <f t="shared" si="9"/>
        <v>0</v>
      </c>
      <c r="X24" s="15"/>
      <c r="Y24" s="277"/>
      <c r="Z24" s="308"/>
      <c r="AA24" s="277">
        <f t="shared" si="2"/>
        <v>0</v>
      </c>
      <c r="AB24" s="278"/>
      <c r="AC24" s="279"/>
      <c r="AD24" s="288">
        <f t="shared" si="10"/>
        <v>0</v>
      </c>
      <c r="AF24" s="126"/>
      <c r="AG24" s="294">
        <f t="shared" si="11"/>
        <v>66</v>
      </c>
      <c r="AH24" s="15"/>
      <c r="AI24" s="983"/>
      <c r="AJ24" s="984"/>
      <c r="AK24" s="983">
        <f t="shared" si="3"/>
        <v>0</v>
      </c>
      <c r="AL24" s="687"/>
      <c r="AM24" s="985"/>
      <c r="AN24" s="288">
        <f t="shared" si="12"/>
        <v>794.33</v>
      </c>
      <c r="AP24" s="126"/>
      <c r="AQ24" s="294">
        <f t="shared" si="13"/>
        <v>35</v>
      </c>
      <c r="AR24" s="15"/>
      <c r="AS24" s="277"/>
      <c r="AT24" s="308"/>
      <c r="AU24" s="277">
        <f t="shared" si="4"/>
        <v>0</v>
      </c>
      <c r="AV24" s="278"/>
      <c r="AW24" s="279"/>
      <c r="AX24" s="288">
        <f t="shared" si="14"/>
        <v>403.26</v>
      </c>
    </row>
    <row r="25" spans="1:50" x14ac:dyDescent="0.25">
      <c r="A25" s="126"/>
      <c r="B25" s="294">
        <f t="shared" si="5"/>
        <v>52</v>
      </c>
      <c r="C25" s="15"/>
      <c r="D25" s="983"/>
      <c r="E25" s="984"/>
      <c r="F25" s="983">
        <f t="shared" si="0"/>
        <v>0</v>
      </c>
      <c r="G25" s="687"/>
      <c r="H25" s="985"/>
      <c r="I25" s="288">
        <f t="shared" si="6"/>
        <v>664.98</v>
      </c>
      <c r="K25" s="126"/>
      <c r="L25" s="294">
        <f t="shared" si="7"/>
        <v>0</v>
      </c>
      <c r="M25" s="15"/>
      <c r="N25" s="983"/>
      <c r="O25" s="984"/>
      <c r="P25" s="983">
        <f t="shared" si="1"/>
        <v>0</v>
      </c>
      <c r="Q25" s="687"/>
      <c r="R25" s="985"/>
      <c r="S25" s="288">
        <f t="shared" si="8"/>
        <v>0.19999999999998863</v>
      </c>
      <c r="V25" s="126"/>
      <c r="W25" s="294">
        <f t="shared" si="9"/>
        <v>0</v>
      </c>
      <c r="X25" s="15"/>
      <c r="Y25" s="277"/>
      <c r="Z25" s="308"/>
      <c r="AA25" s="277">
        <f t="shared" si="2"/>
        <v>0</v>
      </c>
      <c r="AB25" s="278"/>
      <c r="AC25" s="279"/>
      <c r="AD25" s="288">
        <f t="shared" si="10"/>
        <v>0</v>
      </c>
      <c r="AF25" s="126"/>
      <c r="AG25" s="294">
        <f t="shared" si="11"/>
        <v>66</v>
      </c>
      <c r="AH25" s="15"/>
      <c r="AI25" s="983"/>
      <c r="AJ25" s="984"/>
      <c r="AK25" s="983">
        <f t="shared" si="3"/>
        <v>0</v>
      </c>
      <c r="AL25" s="687"/>
      <c r="AM25" s="985"/>
      <c r="AN25" s="288">
        <f t="shared" si="12"/>
        <v>794.33</v>
      </c>
      <c r="AP25" s="126"/>
      <c r="AQ25" s="294">
        <f t="shared" si="13"/>
        <v>35</v>
      </c>
      <c r="AR25" s="15"/>
      <c r="AS25" s="277"/>
      <c r="AT25" s="308"/>
      <c r="AU25" s="277">
        <f t="shared" si="4"/>
        <v>0</v>
      </c>
      <c r="AV25" s="278"/>
      <c r="AW25" s="279"/>
      <c r="AX25" s="288">
        <f t="shared" si="14"/>
        <v>403.26</v>
      </c>
    </row>
    <row r="26" spans="1:50" x14ac:dyDescent="0.25">
      <c r="A26" s="126"/>
      <c r="B26" s="205">
        <f t="shared" si="5"/>
        <v>52</v>
      </c>
      <c r="C26" s="15"/>
      <c r="D26" s="983"/>
      <c r="E26" s="984"/>
      <c r="F26" s="983">
        <f t="shared" si="0"/>
        <v>0</v>
      </c>
      <c r="G26" s="687"/>
      <c r="H26" s="985"/>
      <c r="I26" s="288">
        <f t="shared" si="6"/>
        <v>664.98</v>
      </c>
      <c r="K26" s="126"/>
      <c r="L26" s="205">
        <f t="shared" si="7"/>
        <v>0</v>
      </c>
      <c r="M26" s="15"/>
      <c r="N26" s="983"/>
      <c r="O26" s="984"/>
      <c r="P26" s="983">
        <f t="shared" si="1"/>
        <v>0</v>
      </c>
      <c r="Q26" s="687"/>
      <c r="R26" s="985"/>
      <c r="S26" s="288">
        <f t="shared" si="8"/>
        <v>0.19999999999998863</v>
      </c>
      <c r="V26" s="126"/>
      <c r="W26" s="205">
        <f t="shared" si="9"/>
        <v>0</v>
      </c>
      <c r="X26" s="15"/>
      <c r="Y26" s="277"/>
      <c r="Z26" s="308"/>
      <c r="AA26" s="277">
        <f t="shared" si="2"/>
        <v>0</v>
      </c>
      <c r="AB26" s="278"/>
      <c r="AC26" s="279"/>
      <c r="AD26" s="288">
        <f t="shared" si="10"/>
        <v>0</v>
      </c>
      <c r="AF26" s="126"/>
      <c r="AG26" s="205">
        <f t="shared" si="11"/>
        <v>66</v>
      </c>
      <c r="AH26" s="15"/>
      <c r="AI26" s="983"/>
      <c r="AJ26" s="984"/>
      <c r="AK26" s="983">
        <f t="shared" si="3"/>
        <v>0</v>
      </c>
      <c r="AL26" s="687"/>
      <c r="AM26" s="985"/>
      <c r="AN26" s="288">
        <f t="shared" si="12"/>
        <v>794.33</v>
      </c>
      <c r="AP26" s="126"/>
      <c r="AQ26" s="205">
        <f t="shared" si="13"/>
        <v>35</v>
      </c>
      <c r="AR26" s="15"/>
      <c r="AS26" s="277"/>
      <c r="AT26" s="308"/>
      <c r="AU26" s="277">
        <f t="shared" si="4"/>
        <v>0</v>
      </c>
      <c r="AV26" s="278"/>
      <c r="AW26" s="279"/>
      <c r="AX26" s="288">
        <f t="shared" si="14"/>
        <v>403.26</v>
      </c>
    </row>
    <row r="27" spans="1:50" x14ac:dyDescent="0.25">
      <c r="A27" s="126"/>
      <c r="B27" s="294">
        <f t="shared" si="5"/>
        <v>52</v>
      </c>
      <c r="C27" s="15"/>
      <c r="D27" s="983"/>
      <c r="E27" s="984"/>
      <c r="F27" s="983">
        <f t="shared" si="0"/>
        <v>0</v>
      </c>
      <c r="G27" s="687"/>
      <c r="H27" s="985"/>
      <c r="I27" s="288">
        <f t="shared" si="6"/>
        <v>664.98</v>
      </c>
      <c r="K27" s="126"/>
      <c r="L27" s="294">
        <f t="shared" si="7"/>
        <v>0</v>
      </c>
      <c r="M27" s="15"/>
      <c r="N27" s="983"/>
      <c r="O27" s="984"/>
      <c r="P27" s="983">
        <f t="shared" si="1"/>
        <v>0</v>
      </c>
      <c r="Q27" s="687"/>
      <c r="R27" s="985"/>
      <c r="S27" s="288">
        <f t="shared" si="8"/>
        <v>0.19999999999998863</v>
      </c>
      <c r="V27" s="126"/>
      <c r="W27" s="294">
        <f t="shared" si="9"/>
        <v>0</v>
      </c>
      <c r="X27" s="15"/>
      <c r="Y27" s="277"/>
      <c r="Z27" s="308"/>
      <c r="AA27" s="277">
        <f t="shared" si="2"/>
        <v>0</v>
      </c>
      <c r="AB27" s="278"/>
      <c r="AC27" s="279"/>
      <c r="AD27" s="288">
        <f t="shared" si="10"/>
        <v>0</v>
      </c>
      <c r="AF27" s="126"/>
      <c r="AG27" s="294">
        <f t="shared" si="11"/>
        <v>66</v>
      </c>
      <c r="AH27" s="15"/>
      <c r="AI27" s="983"/>
      <c r="AJ27" s="984"/>
      <c r="AK27" s="983">
        <f t="shared" si="3"/>
        <v>0</v>
      </c>
      <c r="AL27" s="687"/>
      <c r="AM27" s="985"/>
      <c r="AN27" s="288">
        <f t="shared" si="12"/>
        <v>794.33</v>
      </c>
      <c r="AP27" s="126"/>
      <c r="AQ27" s="294">
        <f t="shared" si="13"/>
        <v>35</v>
      </c>
      <c r="AR27" s="15"/>
      <c r="AS27" s="277"/>
      <c r="AT27" s="308"/>
      <c r="AU27" s="277">
        <f t="shared" si="4"/>
        <v>0</v>
      </c>
      <c r="AV27" s="278"/>
      <c r="AW27" s="279"/>
      <c r="AX27" s="288">
        <f t="shared" si="14"/>
        <v>403.26</v>
      </c>
    </row>
    <row r="28" spans="1:50" x14ac:dyDescent="0.25">
      <c r="A28" s="126"/>
      <c r="B28" s="205">
        <f t="shared" si="5"/>
        <v>52</v>
      </c>
      <c r="C28" s="15"/>
      <c r="D28" s="983"/>
      <c r="E28" s="984"/>
      <c r="F28" s="983">
        <f t="shared" si="0"/>
        <v>0</v>
      </c>
      <c r="G28" s="687"/>
      <c r="H28" s="985"/>
      <c r="I28" s="288">
        <f t="shared" si="6"/>
        <v>664.98</v>
      </c>
      <c r="K28" s="126"/>
      <c r="L28" s="205">
        <f t="shared" si="7"/>
        <v>0</v>
      </c>
      <c r="M28" s="15"/>
      <c r="N28" s="983"/>
      <c r="O28" s="984"/>
      <c r="P28" s="983">
        <f t="shared" si="1"/>
        <v>0</v>
      </c>
      <c r="Q28" s="687"/>
      <c r="R28" s="985"/>
      <c r="S28" s="288">
        <f t="shared" si="8"/>
        <v>0.19999999999998863</v>
      </c>
      <c r="V28" s="126"/>
      <c r="W28" s="205">
        <f t="shared" si="9"/>
        <v>0</v>
      </c>
      <c r="X28" s="15"/>
      <c r="Y28" s="277"/>
      <c r="Z28" s="308"/>
      <c r="AA28" s="277">
        <f t="shared" si="2"/>
        <v>0</v>
      </c>
      <c r="AB28" s="278"/>
      <c r="AC28" s="279"/>
      <c r="AD28" s="288">
        <f t="shared" si="10"/>
        <v>0</v>
      </c>
      <c r="AF28" s="126"/>
      <c r="AG28" s="205">
        <f t="shared" si="11"/>
        <v>66</v>
      </c>
      <c r="AH28" s="15"/>
      <c r="AI28" s="983"/>
      <c r="AJ28" s="984"/>
      <c r="AK28" s="983">
        <f t="shared" si="3"/>
        <v>0</v>
      </c>
      <c r="AL28" s="687"/>
      <c r="AM28" s="985"/>
      <c r="AN28" s="288">
        <f t="shared" si="12"/>
        <v>794.33</v>
      </c>
      <c r="AP28" s="126"/>
      <c r="AQ28" s="205">
        <f t="shared" si="13"/>
        <v>35</v>
      </c>
      <c r="AR28" s="15"/>
      <c r="AS28" s="277"/>
      <c r="AT28" s="308"/>
      <c r="AU28" s="277">
        <f t="shared" si="4"/>
        <v>0</v>
      </c>
      <c r="AV28" s="278"/>
      <c r="AW28" s="279"/>
      <c r="AX28" s="288">
        <f t="shared" si="14"/>
        <v>403.26</v>
      </c>
    </row>
    <row r="29" spans="1:50" x14ac:dyDescent="0.25">
      <c r="A29" s="126"/>
      <c r="B29" s="294">
        <f t="shared" si="5"/>
        <v>52</v>
      </c>
      <c r="C29" s="15"/>
      <c r="D29" s="983"/>
      <c r="E29" s="984"/>
      <c r="F29" s="983">
        <f t="shared" si="0"/>
        <v>0</v>
      </c>
      <c r="G29" s="687"/>
      <c r="H29" s="985"/>
      <c r="I29" s="288">
        <f t="shared" si="6"/>
        <v>664.98</v>
      </c>
      <c r="K29" s="126"/>
      <c r="L29" s="294">
        <f t="shared" si="7"/>
        <v>0</v>
      </c>
      <c r="M29" s="15"/>
      <c r="N29" s="983"/>
      <c r="O29" s="984"/>
      <c r="P29" s="983">
        <f t="shared" si="1"/>
        <v>0</v>
      </c>
      <c r="Q29" s="687"/>
      <c r="R29" s="985"/>
      <c r="S29" s="288">
        <f t="shared" si="8"/>
        <v>0.19999999999998863</v>
      </c>
      <c r="V29" s="126"/>
      <c r="W29" s="294">
        <f t="shared" si="9"/>
        <v>0</v>
      </c>
      <c r="X29" s="15"/>
      <c r="Y29" s="277"/>
      <c r="Z29" s="308"/>
      <c r="AA29" s="277">
        <f t="shared" si="2"/>
        <v>0</v>
      </c>
      <c r="AB29" s="278"/>
      <c r="AC29" s="279"/>
      <c r="AD29" s="288">
        <f t="shared" si="10"/>
        <v>0</v>
      </c>
      <c r="AF29" s="126"/>
      <c r="AG29" s="294">
        <f t="shared" si="11"/>
        <v>66</v>
      </c>
      <c r="AH29" s="15"/>
      <c r="AI29" s="983"/>
      <c r="AJ29" s="984"/>
      <c r="AK29" s="983">
        <f t="shared" si="3"/>
        <v>0</v>
      </c>
      <c r="AL29" s="687"/>
      <c r="AM29" s="985"/>
      <c r="AN29" s="288">
        <f t="shared" si="12"/>
        <v>794.33</v>
      </c>
      <c r="AP29" s="126"/>
      <c r="AQ29" s="294">
        <f t="shared" si="13"/>
        <v>35</v>
      </c>
      <c r="AR29" s="15"/>
      <c r="AS29" s="277"/>
      <c r="AT29" s="308"/>
      <c r="AU29" s="277">
        <f t="shared" si="4"/>
        <v>0</v>
      </c>
      <c r="AV29" s="278"/>
      <c r="AW29" s="279"/>
      <c r="AX29" s="288">
        <f t="shared" si="14"/>
        <v>403.26</v>
      </c>
    </row>
    <row r="30" spans="1:50" x14ac:dyDescent="0.25">
      <c r="A30" s="126"/>
      <c r="B30" s="294">
        <f t="shared" si="5"/>
        <v>52</v>
      </c>
      <c r="C30" s="15"/>
      <c r="D30" s="277"/>
      <c r="E30" s="308"/>
      <c r="F30" s="277">
        <f t="shared" si="0"/>
        <v>0</v>
      </c>
      <c r="G30" s="278"/>
      <c r="H30" s="279"/>
      <c r="I30" s="288">
        <f t="shared" si="6"/>
        <v>664.98</v>
      </c>
      <c r="K30" s="126"/>
      <c r="L30" s="294">
        <f t="shared" si="7"/>
        <v>0</v>
      </c>
      <c r="M30" s="15"/>
      <c r="N30" s="277"/>
      <c r="O30" s="308"/>
      <c r="P30" s="277">
        <f t="shared" si="1"/>
        <v>0</v>
      </c>
      <c r="Q30" s="278"/>
      <c r="R30" s="279"/>
      <c r="S30" s="288">
        <f t="shared" si="8"/>
        <v>0.19999999999998863</v>
      </c>
      <c r="V30" s="126"/>
      <c r="W30" s="294">
        <f t="shared" si="9"/>
        <v>0</v>
      </c>
      <c r="X30" s="15"/>
      <c r="Y30" s="277"/>
      <c r="Z30" s="308"/>
      <c r="AA30" s="277">
        <f t="shared" si="2"/>
        <v>0</v>
      </c>
      <c r="AB30" s="278"/>
      <c r="AC30" s="279"/>
      <c r="AD30" s="288">
        <f t="shared" si="10"/>
        <v>0</v>
      </c>
      <c r="AF30" s="126"/>
      <c r="AG30" s="294">
        <f t="shared" si="11"/>
        <v>66</v>
      </c>
      <c r="AH30" s="15"/>
      <c r="AI30" s="277"/>
      <c r="AJ30" s="308"/>
      <c r="AK30" s="277">
        <f t="shared" si="3"/>
        <v>0</v>
      </c>
      <c r="AL30" s="278"/>
      <c r="AM30" s="279"/>
      <c r="AN30" s="288">
        <f t="shared" si="12"/>
        <v>794.33</v>
      </c>
      <c r="AP30" s="126"/>
      <c r="AQ30" s="294">
        <f t="shared" si="13"/>
        <v>35</v>
      </c>
      <c r="AR30" s="15"/>
      <c r="AS30" s="277"/>
      <c r="AT30" s="308"/>
      <c r="AU30" s="277">
        <f t="shared" si="4"/>
        <v>0</v>
      </c>
      <c r="AV30" s="278"/>
      <c r="AW30" s="279"/>
      <c r="AX30" s="288">
        <f t="shared" si="14"/>
        <v>403.26</v>
      </c>
    </row>
    <row r="31" spans="1:50" x14ac:dyDescent="0.25">
      <c r="A31" s="126"/>
      <c r="B31" s="294">
        <f t="shared" si="5"/>
        <v>52</v>
      </c>
      <c r="C31" s="15"/>
      <c r="D31" s="277"/>
      <c r="E31" s="308"/>
      <c r="F31" s="277">
        <f t="shared" si="0"/>
        <v>0</v>
      </c>
      <c r="G31" s="278"/>
      <c r="H31" s="279"/>
      <c r="I31" s="288">
        <f t="shared" si="6"/>
        <v>664.98</v>
      </c>
      <c r="K31" s="126"/>
      <c r="L31" s="294">
        <f t="shared" si="7"/>
        <v>0</v>
      </c>
      <c r="M31" s="15"/>
      <c r="N31" s="277"/>
      <c r="O31" s="308"/>
      <c r="P31" s="277">
        <f t="shared" si="1"/>
        <v>0</v>
      </c>
      <c r="Q31" s="278"/>
      <c r="R31" s="279"/>
      <c r="S31" s="288">
        <f t="shared" si="8"/>
        <v>0.19999999999998863</v>
      </c>
      <c r="V31" s="126"/>
      <c r="W31" s="294">
        <f t="shared" si="9"/>
        <v>0</v>
      </c>
      <c r="X31" s="15"/>
      <c r="Y31" s="277"/>
      <c r="Z31" s="308"/>
      <c r="AA31" s="277">
        <f t="shared" si="2"/>
        <v>0</v>
      </c>
      <c r="AB31" s="278"/>
      <c r="AC31" s="279"/>
      <c r="AD31" s="288">
        <f t="shared" si="10"/>
        <v>0</v>
      </c>
      <c r="AF31" s="126"/>
      <c r="AG31" s="294">
        <f t="shared" si="11"/>
        <v>66</v>
      </c>
      <c r="AH31" s="15"/>
      <c r="AI31" s="277"/>
      <c r="AJ31" s="308"/>
      <c r="AK31" s="277">
        <f t="shared" si="3"/>
        <v>0</v>
      </c>
      <c r="AL31" s="278"/>
      <c r="AM31" s="279"/>
      <c r="AN31" s="288">
        <f t="shared" si="12"/>
        <v>794.33</v>
      </c>
      <c r="AP31" s="126"/>
      <c r="AQ31" s="294">
        <f t="shared" si="13"/>
        <v>35</v>
      </c>
      <c r="AR31" s="15"/>
      <c r="AS31" s="277"/>
      <c r="AT31" s="308"/>
      <c r="AU31" s="277">
        <f t="shared" si="4"/>
        <v>0</v>
      </c>
      <c r="AV31" s="278"/>
      <c r="AW31" s="279"/>
      <c r="AX31" s="288">
        <f t="shared" si="14"/>
        <v>403.26</v>
      </c>
    </row>
    <row r="32" spans="1:50" x14ac:dyDescent="0.25">
      <c r="A32" s="126"/>
      <c r="B32" s="294">
        <f t="shared" si="5"/>
        <v>52</v>
      </c>
      <c r="C32" s="15"/>
      <c r="D32" s="277"/>
      <c r="E32" s="308"/>
      <c r="F32" s="277">
        <f t="shared" si="0"/>
        <v>0</v>
      </c>
      <c r="G32" s="278"/>
      <c r="H32" s="279"/>
      <c r="I32" s="288">
        <f t="shared" si="6"/>
        <v>664.98</v>
      </c>
      <c r="K32" s="126"/>
      <c r="L32" s="294">
        <f t="shared" si="7"/>
        <v>0</v>
      </c>
      <c r="M32" s="15"/>
      <c r="N32" s="277"/>
      <c r="O32" s="308"/>
      <c r="P32" s="277">
        <f t="shared" si="1"/>
        <v>0</v>
      </c>
      <c r="Q32" s="278"/>
      <c r="R32" s="279"/>
      <c r="S32" s="288">
        <f t="shared" si="8"/>
        <v>0.19999999999998863</v>
      </c>
      <c r="V32" s="126"/>
      <c r="W32" s="294">
        <f t="shared" si="9"/>
        <v>0</v>
      </c>
      <c r="X32" s="15"/>
      <c r="Y32" s="277"/>
      <c r="Z32" s="308"/>
      <c r="AA32" s="277">
        <f t="shared" si="2"/>
        <v>0</v>
      </c>
      <c r="AB32" s="278"/>
      <c r="AC32" s="279"/>
      <c r="AD32" s="288">
        <f t="shared" si="10"/>
        <v>0</v>
      </c>
      <c r="AF32" s="126"/>
      <c r="AG32" s="294">
        <f t="shared" si="11"/>
        <v>66</v>
      </c>
      <c r="AH32" s="15"/>
      <c r="AI32" s="277"/>
      <c r="AJ32" s="308"/>
      <c r="AK32" s="277">
        <f t="shared" si="3"/>
        <v>0</v>
      </c>
      <c r="AL32" s="278"/>
      <c r="AM32" s="279"/>
      <c r="AN32" s="288">
        <f t="shared" si="12"/>
        <v>794.33</v>
      </c>
      <c r="AP32" s="126"/>
      <c r="AQ32" s="294">
        <f t="shared" si="13"/>
        <v>35</v>
      </c>
      <c r="AR32" s="15"/>
      <c r="AS32" s="277"/>
      <c r="AT32" s="308"/>
      <c r="AU32" s="277">
        <f t="shared" si="4"/>
        <v>0</v>
      </c>
      <c r="AV32" s="278"/>
      <c r="AW32" s="279"/>
      <c r="AX32" s="288">
        <f t="shared" si="14"/>
        <v>403.26</v>
      </c>
    </row>
    <row r="33" spans="1:50" x14ac:dyDescent="0.25">
      <c r="A33" s="126"/>
      <c r="B33" s="294">
        <f t="shared" si="5"/>
        <v>52</v>
      </c>
      <c r="C33" s="15"/>
      <c r="D33" s="277"/>
      <c r="E33" s="308"/>
      <c r="F33" s="277">
        <f t="shared" si="0"/>
        <v>0</v>
      </c>
      <c r="G33" s="278"/>
      <c r="H33" s="279"/>
      <c r="I33" s="288">
        <f t="shared" si="6"/>
        <v>664.98</v>
      </c>
      <c r="K33" s="126"/>
      <c r="L33" s="294">
        <f t="shared" si="7"/>
        <v>0</v>
      </c>
      <c r="M33" s="15"/>
      <c r="N33" s="277"/>
      <c r="O33" s="308"/>
      <c r="P33" s="277">
        <f t="shared" si="1"/>
        <v>0</v>
      </c>
      <c r="Q33" s="278"/>
      <c r="R33" s="279"/>
      <c r="S33" s="288">
        <f t="shared" si="8"/>
        <v>0.19999999999998863</v>
      </c>
      <c r="V33" s="126"/>
      <c r="W33" s="294">
        <f t="shared" si="9"/>
        <v>0</v>
      </c>
      <c r="X33" s="15"/>
      <c r="Y33" s="277"/>
      <c r="Z33" s="308"/>
      <c r="AA33" s="277">
        <f t="shared" si="2"/>
        <v>0</v>
      </c>
      <c r="AB33" s="278"/>
      <c r="AC33" s="279"/>
      <c r="AD33" s="288">
        <f t="shared" si="10"/>
        <v>0</v>
      </c>
      <c r="AF33" s="126"/>
      <c r="AG33" s="294">
        <f t="shared" si="11"/>
        <v>66</v>
      </c>
      <c r="AH33" s="15"/>
      <c r="AI33" s="277"/>
      <c r="AJ33" s="308"/>
      <c r="AK33" s="277">
        <f t="shared" si="3"/>
        <v>0</v>
      </c>
      <c r="AL33" s="278"/>
      <c r="AM33" s="279"/>
      <c r="AN33" s="288">
        <f t="shared" si="12"/>
        <v>794.33</v>
      </c>
      <c r="AP33" s="126"/>
      <c r="AQ33" s="294">
        <f t="shared" si="13"/>
        <v>35</v>
      </c>
      <c r="AR33" s="15"/>
      <c r="AS33" s="277"/>
      <c r="AT33" s="308"/>
      <c r="AU33" s="277">
        <f t="shared" si="4"/>
        <v>0</v>
      </c>
      <c r="AV33" s="278"/>
      <c r="AW33" s="279"/>
      <c r="AX33" s="288">
        <f t="shared" si="14"/>
        <v>403.26</v>
      </c>
    </row>
    <row r="34" spans="1:50" x14ac:dyDescent="0.25">
      <c r="A34" s="126"/>
      <c r="B34" s="294">
        <f t="shared" si="5"/>
        <v>52</v>
      </c>
      <c r="C34" s="15"/>
      <c r="D34" s="277"/>
      <c r="E34" s="308"/>
      <c r="F34" s="277">
        <f t="shared" si="0"/>
        <v>0</v>
      </c>
      <c r="G34" s="278"/>
      <c r="H34" s="279"/>
      <c r="I34" s="288">
        <f t="shared" si="6"/>
        <v>664.98</v>
      </c>
      <c r="K34" s="126"/>
      <c r="L34" s="294">
        <f t="shared" si="7"/>
        <v>0</v>
      </c>
      <c r="M34" s="15"/>
      <c r="N34" s="277"/>
      <c r="O34" s="308"/>
      <c r="P34" s="277">
        <f t="shared" si="1"/>
        <v>0</v>
      </c>
      <c r="Q34" s="278"/>
      <c r="R34" s="279"/>
      <c r="S34" s="288">
        <f t="shared" si="8"/>
        <v>0.19999999999998863</v>
      </c>
      <c r="V34" s="126"/>
      <c r="W34" s="294">
        <f t="shared" si="9"/>
        <v>0</v>
      </c>
      <c r="X34" s="15"/>
      <c r="Y34" s="277"/>
      <c r="Z34" s="308"/>
      <c r="AA34" s="277">
        <f t="shared" si="2"/>
        <v>0</v>
      </c>
      <c r="AB34" s="278"/>
      <c r="AC34" s="279"/>
      <c r="AD34" s="288">
        <f t="shared" si="10"/>
        <v>0</v>
      </c>
      <c r="AF34" s="126"/>
      <c r="AG34" s="294">
        <f t="shared" si="11"/>
        <v>66</v>
      </c>
      <c r="AH34" s="15"/>
      <c r="AI34" s="277"/>
      <c r="AJ34" s="308"/>
      <c r="AK34" s="277">
        <f t="shared" si="3"/>
        <v>0</v>
      </c>
      <c r="AL34" s="278"/>
      <c r="AM34" s="279"/>
      <c r="AN34" s="288">
        <f t="shared" si="12"/>
        <v>794.33</v>
      </c>
      <c r="AP34" s="126"/>
      <c r="AQ34" s="294">
        <f t="shared" si="13"/>
        <v>35</v>
      </c>
      <c r="AR34" s="15"/>
      <c r="AS34" s="277"/>
      <c r="AT34" s="308"/>
      <c r="AU34" s="277">
        <f t="shared" si="4"/>
        <v>0</v>
      </c>
      <c r="AV34" s="278"/>
      <c r="AW34" s="279"/>
      <c r="AX34" s="288">
        <f t="shared" si="14"/>
        <v>403.26</v>
      </c>
    </row>
    <row r="35" spans="1:50" x14ac:dyDescent="0.25">
      <c r="A35" s="126"/>
      <c r="B35" s="294">
        <f t="shared" si="5"/>
        <v>52</v>
      </c>
      <c r="C35" s="15"/>
      <c r="D35" s="277"/>
      <c r="E35" s="308"/>
      <c r="F35" s="277">
        <f t="shared" si="0"/>
        <v>0</v>
      </c>
      <c r="G35" s="278"/>
      <c r="H35" s="279"/>
      <c r="I35" s="288">
        <f t="shared" si="6"/>
        <v>664.98</v>
      </c>
      <c r="K35" s="126"/>
      <c r="L35" s="294">
        <f t="shared" si="7"/>
        <v>0</v>
      </c>
      <c r="M35" s="15"/>
      <c r="N35" s="277"/>
      <c r="O35" s="308"/>
      <c r="P35" s="277">
        <f t="shared" si="1"/>
        <v>0</v>
      </c>
      <c r="Q35" s="278"/>
      <c r="R35" s="279"/>
      <c r="S35" s="288">
        <f t="shared" si="8"/>
        <v>0.19999999999998863</v>
      </c>
      <c r="V35" s="126"/>
      <c r="W35" s="294">
        <f t="shared" si="9"/>
        <v>0</v>
      </c>
      <c r="X35" s="15"/>
      <c r="Y35" s="277"/>
      <c r="Z35" s="308"/>
      <c r="AA35" s="277">
        <f t="shared" si="2"/>
        <v>0</v>
      </c>
      <c r="AB35" s="278"/>
      <c r="AC35" s="279"/>
      <c r="AD35" s="288">
        <f t="shared" si="10"/>
        <v>0</v>
      </c>
      <c r="AF35" s="126"/>
      <c r="AG35" s="294">
        <f t="shared" si="11"/>
        <v>66</v>
      </c>
      <c r="AH35" s="15"/>
      <c r="AI35" s="277"/>
      <c r="AJ35" s="308"/>
      <c r="AK35" s="277">
        <f t="shared" si="3"/>
        <v>0</v>
      </c>
      <c r="AL35" s="278"/>
      <c r="AM35" s="279"/>
      <c r="AN35" s="288">
        <f t="shared" si="12"/>
        <v>794.33</v>
      </c>
      <c r="AP35" s="126"/>
      <c r="AQ35" s="294">
        <f t="shared" si="13"/>
        <v>35</v>
      </c>
      <c r="AR35" s="15"/>
      <c r="AS35" s="277"/>
      <c r="AT35" s="308"/>
      <c r="AU35" s="277">
        <f t="shared" si="4"/>
        <v>0</v>
      </c>
      <c r="AV35" s="278"/>
      <c r="AW35" s="279"/>
      <c r="AX35" s="288">
        <f t="shared" si="14"/>
        <v>403.26</v>
      </c>
    </row>
    <row r="36" spans="1:50" x14ac:dyDescent="0.25">
      <c r="A36" s="126" t="s">
        <v>22</v>
      </c>
      <c r="B36" s="294">
        <f t="shared" si="5"/>
        <v>52</v>
      </c>
      <c r="C36" s="15"/>
      <c r="D36" s="277"/>
      <c r="E36" s="308"/>
      <c r="F36" s="277">
        <f t="shared" si="0"/>
        <v>0</v>
      </c>
      <c r="G36" s="278"/>
      <c r="H36" s="279"/>
      <c r="I36" s="288">
        <f t="shared" si="6"/>
        <v>664.98</v>
      </c>
      <c r="K36" s="126" t="s">
        <v>22</v>
      </c>
      <c r="L36" s="294">
        <f t="shared" si="7"/>
        <v>0</v>
      </c>
      <c r="M36" s="15"/>
      <c r="N36" s="277"/>
      <c r="O36" s="308"/>
      <c r="P36" s="277">
        <f t="shared" si="1"/>
        <v>0</v>
      </c>
      <c r="Q36" s="278"/>
      <c r="R36" s="279"/>
      <c r="S36" s="288">
        <f t="shared" si="8"/>
        <v>0.19999999999998863</v>
      </c>
      <c r="V36" s="126" t="s">
        <v>22</v>
      </c>
      <c r="W36" s="294">
        <f t="shared" si="9"/>
        <v>0</v>
      </c>
      <c r="X36" s="15"/>
      <c r="Y36" s="277"/>
      <c r="Z36" s="308"/>
      <c r="AA36" s="277">
        <f t="shared" si="2"/>
        <v>0</v>
      </c>
      <c r="AB36" s="278"/>
      <c r="AC36" s="279"/>
      <c r="AD36" s="288">
        <f t="shared" si="10"/>
        <v>0</v>
      </c>
      <c r="AF36" s="126" t="s">
        <v>22</v>
      </c>
      <c r="AG36" s="294">
        <f t="shared" si="11"/>
        <v>66</v>
      </c>
      <c r="AH36" s="15"/>
      <c r="AI36" s="277"/>
      <c r="AJ36" s="308"/>
      <c r="AK36" s="277">
        <f t="shared" si="3"/>
        <v>0</v>
      </c>
      <c r="AL36" s="278"/>
      <c r="AM36" s="279"/>
      <c r="AN36" s="288">
        <f t="shared" si="12"/>
        <v>794.33</v>
      </c>
      <c r="AP36" s="126" t="s">
        <v>22</v>
      </c>
      <c r="AQ36" s="294">
        <f t="shared" si="13"/>
        <v>35</v>
      </c>
      <c r="AR36" s="15"/>
      <c r="AS36" s="277"/>
      <c r="AT36" s="308"/>
      <c r="AU36" s="277">
        <f t="shared" si="4"/>
        <v>0</v>
      </c>
      <c r="AV36" s="278"/>
      <c r="AW36" s="279"/>
      <c r="AX36" s="288">
        <f t="shared" si="14"/>
        <v>403.26</v>
      </c>
    </row>
    <row r="37" spans="1:50" x14ac:dyDescent="0.25">
      <c r="A37" s="127"/>
      <c r="B37" s="294">
        <f t="shared" si="5"/>
        <v>52</v>
      </c>
      <c r="C37" s="15"/>
      <c r="D37" s="277"/>
      <c r="E37" s="308"/>
      <c r="F37" s="277">
        <f t="shared" si="0"/>
        <v>0</v>
      </c>
      <c r="G37" s="278"/>
      <c r="H37" s="279"/>
      <c r="I37" s="288">
        <f t="shared" si="6"/>
        <v>664.98</v>
      </c>
      <c r="K37" s="127"/>
      <c r="L37" s="294">
        <f t="shared" si="7"/>
        <v>0</v>
      </c>
      <c r="M37" s="15"/>
      <c r="N37" s="277"/>
      <c r="O37" s="308"/>
      <c r="P37" s="277">
        <f t="shared" si="1"/>
        <v>0</v>
      </c>
      <c r="Q37" s="278"/>
      <c r="R37" s="279"/>
      <c r="S37" s="288">
        <f t="shared" si="8"/>
        <v>0.19999999999998863</v>
      </c>
      <c r="V37" s="127"/>
      <c r="W37" s="294">
        <f t="shared" si="9"/>
        <v>0</v>
      </c>
      <c r="X37" s="15"/>
      <c r="Y37" s="277"/>
      <c r="Z37" s="308"/>
      <c r="AA37" s="277">
        <f t="shared" si="2"/>
        <v>0</v>
      </c>
      <c r="AB37" s="278"/>
      <c r="AC37" s="279"/>
      <c r="AD37" s="288">
        <f t="shared" si="10"/>
        <v>0</v>
      </c>
      <c r="AF37" s="127"/>
      <c r="AG37" s="294">
        <f t="shared" si="11"/>
        <v>66</v>
      </c>
      <c r="AH37" s="15"/>
      <c r="AI37" s="277"/>
      <c r="AJ37" s="308"/>
      <c r="AK37" s="277">
        <f t="shared" si="3"/>
        <v>0</v>
      </c>
      <c r="AL37" s="278"/>
      <c r="AM37" s="279"/>
      <c r="AN37" s="288">
        <f t="shared" si="12"/>
        <v>794.33</v>
      </c>
      <c r="AP37" s="127"/>
      <c r="AQ37" s="294">
        <f t="shared" si="13"/>
        <v>35</v>
      </c>
      <c r="AR37" s="15"/>
      <c r="AS37" s="277"/>
      <c r="AT37" s="308"/>
      <c r="AU37" s="277">
        <f t="shared" si="4"/>
        <v>0</v>
      </c>
      <c r="AV37" s="278"/>
      <c r="AW37" s="279"/>
      <c r="AX37" s="288">
        <f t="shared" si="14"/>
        <v>403.26</v>
      </c>
    </row>
    <row r="38" spans="1:50" x14ac:dyDescent="0.25">
      <c r="A38" s="126"/>
      <c r="B38" s="294">
        <f t="shared" si="5"/>
        <v>52</v>
      </c>
      <c r="C38" s="15"/>
      <c r="D38" s="277"/>
      <c r="E38" s="308"/>
      <c r="F38" s="277">
        <f t="shared" si="0"/>
        <v>0</v>
      </c>
      <c r="G38" s="278"/>
      <c r="H38" s="279"/>
      <c r="I38" s="288">
        <f t="shared" si="6"/>
        <v>664.98</v>
      </c>
      <c r="K38" s="126"/>
      <c r="L38" s="294">
        <f t="shared" si="7"/>
        <v>0</v>
      </c>
      <c r="M38" s="15"/>
      <c r="N38" s="277"/>
      <c r="O38" s="308"/>
      <c r="P38" s="277">
        <f t="shared" si="1"/>
        <v>0</v>
      </c>
      <c r="Q38" s="278"/>
      <c r="R38" s="279"/>
      <c r="S38" s="288">
        <f t="shared" si="8"/>
        <v>0.19999999999998863</v>
      </c>
      <c r="V38" s="126"/>
      <c r="W38" s="294">
        <f t="shared" si="9"/>
        <v>0</v>
      </c>
      <c r="X38" s="15"/>
      <c r="Y38" s="277"/>
      <c r="Z38" s="308"/>
      <c r="AA38" s="277">
        <f t="shared" si="2"/>
        <v>0</v>
      </c>
      <c r="AB38" s="278"/>
      <c r="AC38" s="279"/>
      <c r="AD38" s="288">
        <f t="shared" si="10"/>
        <v>0</v>
      </c>
      <c r="AF38" s="126"/>
      <c r="AG38" s="294">
        <f t="shared" si="11"/>
        <v>66</v>
      </c>
      <c r="AH38" s="15"/>
      <c r="AI38" s="277"/>
      <c r="AJ38" s="308"/>
      <c r="AK38" s="277">
        <f t="shared" si="3"/>
        <v>0</v>
      </c>
      <c r="AL38" s="278"/>
      <c r="AM38" s="279"/>
      <c r="AN38" s="288">
        <f t="shared" si="12"/>
        <v>794.33</v>
      </c>
      <c r="AP38" s="126"/>
      <c r="AQ38" s="294">
        <f t="shared" si="13"/>
        <v>35</v>
      </c>
      <c r="AR38" s="15"/>
      <c r="AS38" s="277"/>
      <c r="AT38" s="308"/>
      <c r="AU38" s="277">
        <f t="shared" si="4"/>
        <v>0</v>
      </c>
      <c r="AV38" s="278"/>
      <c r="AW38" s="279"/>
      <c r="AX38" s="288">
        <f t="shared" si="14"/>
        <v>403.26</v>
      </c>
    </row>
    <row r="39" spans="1:50" x14ac:dyDescent="0.25">
      <c r="A39" s="126"/>
      <c r="B39" s="84">
        <f t="shared" si="5"/>
        <v>52</v>
      </c>
      <c r="C39" s="15"/>
      <c r="D39" s="277"/>
      <c r="E39" s="308"/>
      <c r="F39" s="277">
        <f t="shared" si="0"/>
        <v>0</v>
      </c>
      <c r="G39" s="278"/>
      <c r="H39" s="279"/>
      <c r="I39" s="288">
        <f t="shared" si="6"/>
        <v>664.98</v>
      </c>
      <c r="K39" s="126"/>
      <c r="L39" s="84">
        <f t="shared" si="7"/>
        <v>0</v>
      </c>
      <c r="M39" s="15"/>
      <c r="N39" s="277"/>
      <c r="O39" s="308"/>
      <c r="P39" s="277">
        <f t="shared" si="1"/>
        <v>0</v>
      </c>
      <c r="Q39" s="278"/>
      <c r="R39" s="279"/>
      <c r="S39" s="288">
        <f t="shared" si="8"/>
        <v>0.19999999999998863</v>
      </c>
      <c r="V39" s="126"/>
      <c r="W39" s="84">
        <f t="shared" si="9"/>
        <v>0</v>
      </c>
      <c r="X39" s="15"/>
      <c r="Y39" s="277"/>
      <c r="Z39" s="308"/>
      <c r="AA39" s="277">
        <f t="shared" si="2"/>
        <v>0</v>
      </c>
      <c r="AB39" s="278"/>
      <c r="AC39" s="279"/>
      <c r="AD39" s="288">
        <f t="shared" si="10"/>
        <v>0</v>
      </c>
      <c r="AF39" s="126"/>
      <c r="AG39" s="84">
        <f t="shared" si="11"/>
        <v>66</v>
      </c>
      <c r="AH39" s="15"/>
      <c r="AI39" s="277"/>
      <c r="AJ39" s="308"/>
      <c r="AK39" s="277">
        <f t="shared" si="3"/>
        <v>0</v>
      </c>
      <c r="AL39" s="278"/>
      <c r="AM39" s="279"/>
      <c r="AN39" s="288">
        <f t="shared" si="12"/>
        <v>794.33</v>
      </c>
      <c r="AP39" s="126"/>
      <c r="AQ39" s="84">
        <f t="shared" si="13"/>
        <v>35</v>
      </c>
      <c r="AR39" s="15"/>
      <c r="AS39" s="277"/>
      <c r="AT39" s="308"/>
      <c r="AU39" s="277">
        <f t="shared" si="4"/>
        <v>0</v>
      </c>
      <c r="AV39" s="278"/>
      <c r="AW39" s="279"/>
      <c r="AX39" s="288">
        <f t="shared" si="14"/>
        <v>403.26</v>
      </c>
    </row>
    <row r="40" spans="1:50" x14ac:dyDescent="0.25">
      <c r="A40" s="126"/>
      <c r="B40" s="84">
        <f t="shared" si="5"/>
        <v>52</v>
      </c>
      <c r="C40" s="15"/>
      <c r="D40" s="277"/>
      <c r="E40" s="308"/>
      <c r="F40" s="277">
        <f t="shared" si="0"/>
        <v>0</v>
      </c>
      <c r="G40" s="278"/>
      <c r="H40" s="279"/>
      <c r="I40" s="288">
        <f t="shared" si="6"/>
        <v>664.98</v>
      </c>
      <c r="K40" s="126"/>
      <c r="L40" s="84">
        <f t="shared" si="7"/>
        <v>0</v>
      </c>
      <c r="M40" s="15"/>
      <c r="N40" s="277"/>
      <c r="O40" s="308"/>
      <c r="P40" s="277">
        <f t="shared" si="1"/>
        <v>0</v>
      </c>
      <c r="Q40" s="278"/>
      <c r="R40" s="279"/>
      <c r="S40" s="288">
        <f t="shared" si="8"/>
        <v>0.19999999999998863</v>
      </c>
      <c r="V40" s="126"/>
      <c r="W40" s="84">
        <f t="shared" si="9"/>
        <v>0</v>
      </c>
      <c r="X40" s="15"/>
      <c r="Y40" s="277"/>
      <c r="Z40" s="308"/>
      <c r="AA40" s="277">
        <f t="shared" si="2"/>
        <v>0</v>
      </c>
      <c r="AB40" s="278"/>
      <c r="AC40" s="279"/>
      <c r="AD40" s="288">
        <f t="shared" si="10"/>
        <v>0</v>
      </c>
      <c r="AF40" s="126"/>
      <c r="AG40" s="84">
        <f t="shared" si="11"/>
        <v>66</v>
      </c>
      <c r="AH40" s="15"/>
      <c r="AI40" s="277"/>
      <c r="AJ40" s="308"/>
      <c r="AK40" s="277">
        <f t="shared" si="3"/>
        <v>0</v>
      </c>
      <c r="AL40" s="278"/>
      <c r="AM40" s="279"/>
      <c r="AN40" s="288">
        <f t="shared" si="12"/>
        <v>794.33</v>
      </c>
      <c r="AP40" s="126"/>
      <c r="AQ40" s="84">
        <f t="shared" si="13"/>
        <v>35</v>
      </c>
      <c r="AR40" s="15"/>
      <c r="AS40" s="277"/>
      <c r="AT40" s="308"/>
      <c r="AU40" s="277">
        <f t="shared" si="4"/>
        <v>0</v>
      </c>
      <c r="AV40" s="278"/>
      <c r="AW40" s="279"/>
      <c r="AX40" s="288">
        <f t="shared" si="14"/>
        <v>403.26</v>
      </c>
    </row>
    <row r="41" spans="1:50" x14ac:dyDescent="0.25">
      <c r="A41" s="126"/>
      <c r="B41" s="84">
        <f t="shared" si="5"/>
        <v>52</v>
      </c>
      <c r="C41" s="15"/>
      <c r="D41" s="277"/>
      <c r="E41" s="308"/>
      <c r="F41" s="277">
        <f t="shared" si="0"/>
        <v>0</v>
      </c>
      <c r="G41" s="278"/>
      <c r="H41" s="279"/>
      <c r="I41" s="288">
        <f t="shared" si="6"/>
        <v>664.98</v>
      </c>
      <c r="K41" s="126"/>
      <c r="L41" s="84">
        <f t="shared" si="7"/>
        <v>0</v>
      </c>
      <c r="M41" s="15"/>
      <c r="N41" s="277"/>
      <c r="O41" s="308"/>
      <c r="P41" s="277">
        <f t="shared" si="1"/>
        <v>0</v>
      </c>
      <c r="Q41" s="278"/>
      <c r="R41" s="279"/>
      <c r="S41" s="288">
        <f t="shared" si="8"/>
        <v>0.19999999999998863</v>
      </c>
      <c r="V41" s="126"/>
      <c r="W41" s="84">
        <f t="shared" si="9"/>
        <v>0</v>
      </c>
      <c r="X41" s="15"/>
      <c r="Y41" s="277"/>
      <c r="Z41" s="308"/>
      <c r="AA41" s="277">
        <f t="shared" si="2"/>
        <v>0</v>
      </c>
      <c r="AB41" s="278"/>
      <c r="AC41" s="279"/>
      <c r="AD41" s="288">
        <f t="shared" si="10"/>
        <v>0</v>
      </c>
      <c r="AF41" s="126"/>
      <c r="AG41" s="84">
        <f t="shared" si="11"/>
        <v>66</v>
      </c>
      <c r="AH41" s="15"/>
      <c r="AI41" s="277"/>
      <c r="AJ41" s="308"/>
      <c r="AK41" s="277">
        <f t="shared" si="3"/>
        <v>0</v>
      </c>
      <c r="AL41" s="278"/>
      <c r="AM41" s="279"/>
      <c r="AN41" s="288">
        <f t="shared" si="12"/>
        <v>794.33</v>
      </c>
      <c r="AP41" s="126"/>
      <c r="AQ41" s="84">
        <f t="shared" si="13"/>
        <v>35</v>
      </c>
      <c r="AR41" s="15"/>
      <c r="AS41" s="277"/>
      <c r="AT41" s="308"/>
      <c r="AU41" s="277">
        <f t="shared" si="4"/>
        <v>0</v>
      </c>
      <c r="AV41" s="278"/>
      <c r="AW41" s="279"/>
      <c r="AX41" s="288">
        <f t="shared" si="14"/>
        <v>403.26</v>
      </c>
    </row>
    <row r="42" spans="1:50" x14ac:dyDescent="0.25">
      <c r="A42" s="126"/>
      <c r="B42" s="84">
        <f t="shared" si="5"/>
        <v>52</v>
      </c>
      <c r="C42" s="15"/>
      <c r="D42" s="277"/>
      <c r="E42" s="308"/>
      <c r="F42" s="277">
        <f t="shared" si="0"/>
        <v>0</v>
      </c>
      <c r="G42" s="278"/>
      <c r="H42" s="279"/>
      <c r="I42" s="288">
        <f t="shared" si="6"/>
        <v>664.98</v>
      </c>
      <c r="K42" s="126"/>
      <c r="L42" s="84">
        <f t="shared" si="7"/>
        <v>0</v>
      </c>
      <c r="M42" s="15"/>
      <c r="N42" s="277"/>
      <c r="O42" s="308"/>
      <c r="P42" s="277">
        <f t="shared" si="1"/>
        <v>0</v>
      </c>
      <c r="Q42" s="278"/>
      <c r="R42" s="279"/>
      <c r="S42" s="288">
        <f t="shared" si="8"/>
        <v>0.19999999999998863</v>
      </c>
      <c r="V42" s="126"/>
      <c r="W42" s="84">
        <f t="shared" si="9"/>
        <v>0</v>
      </c>
      <c r="X42" s="15"/>
      <c r="Y42" s="277"/>
      <c r="Z42" s="308"/>
      <c r="AA42" s="277">
        <f t="shared" si="2"/>
        <v>0</v>
      </c>
      <c r="AB42" s="278"/>
      <c r="AC42" s="279"/>
      <c r="AD42" s="288">
        <f t="shared" si="10"/>
        <v>0</v>
      </c>
      <c r="AF42" s="126"/>
      <c r="AG42" s="84">
        <f t="shared" si="11"/>
        <v>66</v>
      </c>
      <c r="AH42" s="15"/>
      <c r="AI42" s="277"/>
      <c r="AJ42" s="308"/>
      <c r="AK42" s="277">
        <f t="shared" si="3"/>
        <v>0</v>
      </c>
      <c r="AL42" s="278"/>
      <c r="AM42" s="279"/>
      <c r="AN42" s="288">
        <f t="shared" si="12"/>
        <v>794.33</v>
      </c>
      <c r="AP42" s="126"/>
      <c r="AQ42" s="84">
        <f t="shared" si="13"/>
        <v>35</v>
      </c>
      <c r="AR42" s="15"/>
      <c r="AS42" s="277"/>
      <c r="AT42" s="308"/>
      <c r="AU42" s="277">
        <f t="shared" si="4"/>
        <v>0</v>
      </c>
      <c r="AV42" s="278"/>
      <c r="AW42" s="279"/>
      <c r="AX42" s="288">
        <f t="shared" si="14"/>
        <v>403.26</v>
      </c>
    </row>
    <row r="43" spans="1:50" x14ac:dyDescent="0.25">
      <c r="A43" s="126"/>
      <c r="B43" s="84">
        <f t="shared" si="5"/>
        <v>52</v>
      </c>
      <c r="C43" s="15"/>
      <c r="D43" s="277"/>
      <c r="E43" s="308"/>
      <c r="F43" s="277">
        <f t="shared" si="0"/>
        <v>0</v>
      </c>
      <c r="G43" s="278"/>
      <c r="H43" s="279"/>
      <c r="I43" s="288">
        <f t="shared" si="6"/>
        <v>664.98</v>
      </c>
      <c r="K43" s="126"/>
      <c r="L43" s="84">
        <f t="shared" si="7"/>
        <v>0</v>
      </c>
      <c r="M43" s="15"/>
      <c r="N43" s="277"/>
      <c r="O43" s="308"/>
      <c r="P43" s="277">
        <f t="shared" si="1"/>
        <v>0</v>
      </c>
      <c r="Q43" s="278"/>
      <c r="R43" s="279"/>
      <c r="S43" s="288">
        <f t="shared" si="8"/>
        <v>0.19999999999998863</v>
      </c>
      <c r="V43" s="126"/>
      <c r="W43" s="84">
        <f t="shared" si="9"/>
        <v>0</v>
      </c>
      <c r="X43" s="15"/>
      <c r="Y43" s="277"/>
      <c r="Z43" s="308"/>
      <c r="AA43" s="277">
        <f t="shared" si="2"/>
        <v>0</v>
      </c>
      <c r="AB43" s="278"/>
      <c r="AC43" s="279"/>
      <c r="AD43" s="288">
        <f t="shared" si="10"/>
        <v>0</v>
      </c>
      <c r="AF43" s="126"/>
      <c r="AG43" s="84">
        <f t="shared" si="11"/>
        <v>66</v>
      </c>
      <c r="AH43" s="15"/>
      <c r="AI43" s="277"/>
      <c r="AJ43" s="308"/>
      <c r="AK43" s="277">
        <f t="shared" si="3"/>
        <v>0</v>
      </c>
      <c r="AL43" s="278"/>
      <c r="AM43" s="279"/>
      <c r="AN43" s="288">
        <f t="shared" si="12"/>
        <v>794.33</v>
      </c>
      <c r="AP43" s="126"/>
      <c r="AQ43" s="84">
        <f t="shared" si="13"/>
        <v>35</v>
      </c>
      <c r="AR43" s="15"/>
      <c r="AS43" s="277"/>
      <c r="AT43" s="308"/>
      <c r="AU43" s="277">
        <f t="shared" si="4"/>
        <v>0</v>
      </c>
      <c r="AV43" s="278"/>
      <c r="AW43" s="279"/>
      <c r="AX43" s="288">
        <f t="shared" si="14"/>
        <v>403.26</v>
      </c>
    </row>
    <row r="44" spans="1:50" x14ac:dyDescent="0.25">
      <c r="A44" s="126"/>
      <c r="B44" s="84">
        <f t="shared" si="5"/>
        <v>52</v>
      </c>
      <c r="C44" s="15"/>
      <c r="D44" s="277"/>
      <c r="E44" s="308"/>
      <c r="F44" s="277">
        <f t="shared" si="0"/>
        <v>0</v>
      </c>
      <c r="G44" s="278"/>
      <c r="H44" s="279"/>
      <c r="I44" s="288">
        <f t="shared" si="6"/>
        <v>664.98</v>
      </c>
      <c r="K44" s="126"/>
      <c r="L44" s="84">
        <f t="shared" si="7"/>
        <v>0</v>
      </c>
      <c r="M44" s="15"/>
      <c r="N44" s="277"/>
      <c r="O44" s="308"/>
      <c r="P44" s="277">
        <f t="shared" si="1"/>
        <v>0</v>
      </c>
      <c r="Q44" s="278"/>
      <c r="R44" s="279"/>
      <c r="S44" s="288">
        <f t="shared" si="8"/>
        <v>0.19999999999998863</v>
      </c>
      <c r="V44" s="126"/>
      <c r="W44" s="84">
        <f t="shared" si="9"/>
        <v>0</v>
      </c>
      <c r="X44" s="15"/>
      <c r="Y44" s="277"/>
      <c r="Z44" s="308"/>
      <c r="AA44" s="277">
        <f t="shared" si="2"/>
        <v>0</v>
      </c>
      <c r="AB44" s="278"/>
      <c r="AC44" s="279"/>
      <c r="AD44" s="288">
        <f t="shared" si="10"/>
        <v>0</v>
      </c>
      <c r="AF44" s="126"/>
      <c r="AG44" s="84">
        <f t="shared" si="11"/>
        <v>66</v>
      </c>
      <c r="AH44" s="15"/>
      <c r="AI44" s="277"/>
      <c r="AJ44" s="308"/>
      <c r="AK44" s="277">
        <f t="shared" si="3"/>
        <v>0</v>
      </c>
      <c r="AL44" s="278"/>
      <c r="AM44" s="279"/>
      <c r="AN44" s="288">
        <f t="shared" si="12"/>
        <v>794.33</v>
      </c>
      <c r="AP44" s="126"/>
      <c r="AQ44" s="84">
        <f t="shared" si="13"/>
        <v>35</v>
      </c>
      <c r="AR44" s="15"/>
      <c r="AS44" s="277"/>
      <c r="AT44" s="308"/>
      <c r="AU44" s="277">
        <f t="shared" si="4"/>
        <v>0</v>
      </c>
      <c r="AV44" s="278"/>
      <c r="AW44" s="279"/>
      <c r="AX44" s="288">
        <f t="shared" si="14"/>
        <v>403.26</v>
      </c>
    </row>
    <row r="45" spans="1:50" x14ac:dyDescent="0.25">
      <c r="A45" s="126"/>
      <c r="B45" s="84">
        <f t="shared" si="5"/>
        <v>52</v>
      </c>
      <c r="C45" s="15"/>
      <c r="D45" s="277"/>
      <c r="E45" s="308"/>
      <c r="F45" s="277">
        <f t="shared" si="0"/>
        <v>0</v>
      </c>
      <c r="G45" s="278"/>
      <c r="H45" s="279"/>
      <c r="I45" s="288">
        <f t="shared" si="6"/>
        <v>664.98</v>
      </c>
      <c r="K45" s="126"/>
      <c r="L45" s="84">
        <f t="shared" si="7"/>
        <v>0</v>
      </c>
      <c r="M45" s="15"/>
      <c r="N45" s="277"/>
      <c r="O45" s="308"/>
      <c r="P45" s="277">
        <f t="shared" si="1"/>
        <v>0</v>
      </c>
      <c r="Q45" s="278"/>
      <c r="R45" s="279"/>
      <c r="S45" s="288">
        <f t="shared" si="8"/>
        <v>0.19999999999998863</v>
      </c>
      <c r="V45" s="126"/>
      <c r="W45" s="84">
        <f t="shared" si="9"/>
        <v>0</v>
      </c>
      <c r="X45" s="15"/>
      <c r="Y45" s="277"/>
      <c r="Z45" s="308"/>
      <c r="AA45" s="277">
        <f t="shared" si="2"/>
        <v>0</v>
      </c>
      <c r="AB45" s="278"/>
      <c r="AC45" s="279"/>
      <c r="AD45" s="288">
        <f t="shared" si="10"/>
        <v>0</v>
      </c>
      <c r="AF45" s="126"/>
      <c r="AG45" s="84">
        <f t="shared" si="11"/>
        <v>66</v>
      </c>
      <c r="AH45" s="15"/>
      <c r="AI45" s="277"/>
      <c r="AJ45" s="308"/>
      <c r="AK45" s="277">
        <f t="shared" si="3"/>
        <v>0</v>
      </c>
      <c r="AL45" s="278"/>
      <c r="AM45" s="279"/>
      <c r="AN45" s="288">
        <f t="shared" si="12"/>
        <v>794.33</v>
      </c>
      <c r="AP45" s="126"/>
      <c r="AQ45" s="84">
        <f t="shared" si="13"/>
        <v>35</v>
      </c>
      <c r="AR45" s="15"/>
      <c r="AS45" s="277"/>
      <c r="AT45" s="308"/>
      <c r="AU45" s="277">
        <f t="shared" si="4"/>
        <v>0</v>
      </c>
      <c r="AV45" s="278"/>
      <c r="AW45" s="279"/>
      <c r="AX45" s="288">
        <f t="shared" si="14"/>
        <v>403.26</v>
      </c>
    </row>
    <row r="46" spans="1:50" x14ac:dyDescent="0.25">
      <c r="A46" s="126"/>
      <c r="B46" s="84">
        <f t="shared" si="5"/>
        <v>52</v>
      </c>
      <c r="C46" s="15"/>
      <c r="D46" s="277"/>
      <c r="E46" s="308"/>
      <c r="F46" s="277">
        <f t="shared" si="0"/>
        <v>0</v>
      </c>
      <c r="G46" s="278"/>
      <c r="H46" s="279"/>
      <c r="I46" s="288">
        <f t="shared" si="6"/>
        <v>664.98</v>
      </c>
      <c r="K46" s="126"/>
      <c r="L46" s="84">
        <f t="shared" si="7"/>
        <v>0</v>
      </c>
      <c r="M46" s="15"/>
      <c r="N46" s="277"/>
      <c r="O46" s="308"/>
      <c r="P46" s="277">
        <f t="shared" si="1"/>
        <v>0</v>
      </c>
      <c r="Q46" s="278"/>
      <c r="R46" s="279"/>
      <c r="S46" s="288">
        <f t="shared" si="8"/>
        <v>0.19999999999998863</v>
      </c>
      <c r="V46" s="126"/>
      <c r="W46" s="84">
        <f t="shared" si="9"/>
        <v>0</v>
      </c>
      <c r="X46" s="15"/>
      <c r="Y46" s="277"/>
      <c r="Z46" s="308"/>
      <c r="AA46" s="277">
        <f t="shared" si="2"/>
        <v>0</v>
      </c>
      <c r="AB46" s="278"/>
      <c r="AC46" s="279"/>
      <c r="AD46" s="288">
        <f t="shared" si="10"/>
        <v>0</v>
      </c>
      <c r="AF46" s="126"/>
      <c r="AG46" s="84">
        <f t="shared" si="11"/>
        <v>66</v>
      </c>
      <c r="AH46" s="15"/>
      <c r="AI46" s="277"/>
      <c r="AJ46" s="308"/>
      <c r="AK46" s="277">
        <f t="shared" si="3"/>
        <v>0</v>
      </c>
      <c r="AL46" s="278"/>
      <c r="AM46" s="279"/>
      <c r="AN46" s="288">
        <f t="shared" si="12"/>
        <v>794.33</v>
      </c>
      <c r="AP46" s="126"/>
      <c r="AQ46" s="84">
        <f t="shared" si="13"/>
        <v>35</v>
      </c>
      <c r="AR46" s="15"/>
      <c r="AS46" s="277"/>
      <c r="AT46" s="308"/>
      <c r="AU46" s="277">
        <f t="shared" si="4"/>
        <v>0</v>
      </c>
      <c r="AV46" s="278"/>
      <c r="AW46" s="279"/>
      <c r="AX46" s="288">
        <f t="shared" si="14"/>
        <v>403.26</v>
      </c>
    </row>
    <row r="47" spans="1:50" x14ac:dyDescent="0.25">
      <c r="A47" s="126"/>
      <c r="B47" s="84">
        <f t="shared" si="5"/>
        <v>52</v>
      </c>
      <c r="C47" s="15"/>
      <c r="D47" s="277"/>
      <c r="E47" s="308"/>
      <c r="F47" s="277">
        <f t="shared" si="0"/>
        <v>0</v>
      </c>
      <c r="G47" s="278"/>
      <c r="H47" s="279"/>
      <c r="I47" s="288">
        <f t="shared" si="6"/>
        <v>664.98</v>
      </c>
      <c r="K47" s="126"/>
      <c r="L47" s="84">
        <f t="shared" si="7"/>
        <v>0</v>
      </c>
      <c r="M47" s="15"/>
      <c r="N47" s="277"/>
      <c r="O47" s="308"/>
      <c r="P47" s="277">
        <f t="shared" si="1"/>
        <v>0</v>
      </c>
      <c r="Q47" s="278"/>
      <c r="R47" s="279"/>
      <c r="S47" s="288">
        <f t="shared" si="8"/>
        <v>0.19999999999998863</v>
      </c>
      <c r="V47" s="126"/>
      <c r="W47" s="84">
        <f t="shared" si="9"/>
        <v>0</v>
      </c>
      <c r="X47" s="15"/>
      <c r="Y47" s="277"/>
      <c r="Z47" s="308"/>
      <c r="AA47" s="277">
        <f t="shared" si="2"/>
        <v>0</v>
      </c>
      <c r="AB47" s="278"/>
      <c r="AC47" s="279"/>
      <c r="AD47" s="288">
        <f t="shared" si="10"/>
        <v>0</v>
      </c>
      <c r="AF47" s="126"/>
      <c r="AG47" s="84">
        <f t="shared" si="11"/>
        <v>66</v>
      </c>
      <c r="AH47" s="15"/>
      <c r="AI47" s="277"/>
      <c r="AJ47" s="308"/>
      <c r="AK47" s="277">
        <f t="shared" si="3"/>
        <v>0</v>
      </c>
      <c r="AL47" s="278"/>
      <c r="AM47" s="279"/>
      <c r="AN47" s="288">
        <f t="shared" si="12"/>
        <v>794.33</v>
      </c>
      <c r="AP47" s="126"/>
      <c r="AQ47" s="84">
        <f t="shared" si="13"/>
        <v>35</v>
      </c>
      <c r="AR47" s="15"/>
      <c r="AS47" s="277"/>
      <c r="AT47" s="308"/>
      <c r="AU47" s="277">
        <f t="shared" si="4"/>
        <v>0</v>
      </c>
      <c r="AV47" s="278"/>
      <c r="AW47" s="279"/>
      <c r="AX47" s="288">
        <f t="shared" si="14"/>
        <v>403.26</v>
      </c>
    </row>
    <row r="48" spans="1:50" x14ac:dyDescent="0.25">
      <c r="A48" s="126"/>
      <c r="B48" s="84">
        <f t="shared" si="5"/>
        <v>52</v>
      </c>
      <c r="C48" s="15"/>
      <c r="D48" s="277"/>
      <c r="E48" s="308"/>
      <c r="F48" s="277">
        <f t="shared" si="0"/>
        <v>0</v>
      </c>
      <c r="G48" s="278"/>
      <c r="H48" s="279"/>
      <c r="I48" s="288">
        <f t="shared" si="6"/>
        <v>664.98</v>
      </c>
      <c r="K48" s="126"/>
      <c r="L48" s="84">
        <f t="shared" si="7"/>
        <v>0</v>
      </c>
      <c r="M48" s="15"/>
      <c r="N48" s="277"/>
      <c r="O48" s="308"/>
      <c r="P48" s="277">
        <f t="shared" si="1"/>
        <v>0</v>
      </c>
      <c r="Q48" s="278"/>
      <c r="R48" s="279"/>
      <c r="S48" s="288">
        <f t="shared" si="8"/>
        <v>0.19999999999998863</v>
      </c>
      <c r="V48" s="126"/>
      <c r="W48" s="84">
        <f t="shared" si="9"/>
        <v>0</v>
      </c>
      <c r="X48" s="15"/>
      <c r="Y48" s="277"/>
      <c r="Z48" s="308"/>
      <c r="AA48" s="277">
        <f t="shared" si="2"/>
        <v>0</v>
      </c>
      <c r="AB48" s="278"/>
      <c r="AC48" s="279"/>
      <c r="AD48" s="288">
        <f t="shared" si="10"/>
        <v>0</v>
      </c>
      <c r="AF48" s="126"/>
      <c r="AG48" s="84">
        <f t="shared" si="11"/>
        <v>66</v>
      </c>
      <c r="AH48" s="15"/>
      <c r="AI48" s="277"/>
      <c r="AJ48" s="308"/>
      <c r="AK48" s="277">
        <f t="shared" si="3"/>
        <v>0</v>
      </c>
      <c r="AL48" s="278"/>
      <c r="AM48" s="279"/>
      <c r="AN48" s="288">
        <f t="shared" si="12"/>
        <v>794.33</v>
      </c>
      <c r="AP48" s="126"/>
      <c r="AQ48" s="84">
        <f t="shared" si="13"/>
        <v>35</v>
      </c>
      <c r="AR48" s="15"/>
      <c r="AS48" s="277"/>
      <c r="AT48" s="308"/>
      <c r="AU48" s="277">
        <f t="shared" si="4"/>
        <v>0</v>
      </c>
      <c r="AV48" s="278"/>
      <c r="AW48" s="279"/>
      <c r="AX48" s="288">
        <f t="shared" si="14"/>
        <v>403.26</v>
      </c>
    </row>
    <row r="49" spans="1:50" x14ac:dyDescent="0.25">
      <c r="A49" s="126"/>
      <c r="B49" s="84">
        <f t="shared" si="5"/>
        <v>52</v>
      </c>
      <c r="C49" s="15"/>
      <c r="D49" s="277"/>
      <c r="E49" s="308"/>
      <c r="F49" s="277">
        <f t="shared" si="0"/>
        <v>0</v>
      </c>
      <c r="G49" s="278"/>
      <c r="H49" s="279"/>
      <c r="I49" s="288">
        <f t="shared" si="6"/>
        <v>664.98</v>
      </c>
      <c r="K49" s="126"/>
      <c r="L49" s="84">
        <f t="shared" si="7"/>
        <v>0</v>
      </c>
      <c r="M49" s="15"/>
      <c r="N49" s="277"/>
      <c r="O49" s="308"/>
      <c r="P49" s="277">
        <f t="shared" si="1"/>
        <v>0</v>
      </c>
      <c r="Q49" s="278"/>
      <c r="R49" s="279"/>
      <c r="S49" s="288">
        <f t="shared" si="8"/>
        <v>0.19999999999998863</v>
      </c>
      <c r="V49" s="126"/>
      <c r="W49" s="84">
        <f t="shared" si="9"/>
        <v>0</v>
      </c>
      <c r="X49" s="15"/>
      <c r="Y49" s="277"/>
      <c r="Z49" s="308"/>
      <c r="AA49" s="277">
        <f t="shared" si="2"/>
        <v>0</v>
      </c>
      <c r="AB49" s="278"/>
      <c r="AC49" s="279"/>
      <c r="AD49" s="288">
        <f t="shared" si="10"/>
        <v>0</v>
      </c>
      <c r="AF49" s="126"/>
      <c r="AG49" s="84">
        <f t="shared" si="11"/>
        <v>66</v>
      </c>
      <c r="AH49" s="15"/>
      <c r="AI49" s="277"/>
      <c r="AJ49" s="308"/>
      <c r="AK49" s="277">
        <f t="shared" si="3"/>
        <v>0</v>
      </c>
      <c r="AL49" s="278"/>
      <c r="AM49" s="279"/>
      <c r="AN49" s="288">
        <f t="shared" si="12"/>
        <v>794.33</v>
      </c>
      <c r="AP49" s="126"/>
      <c r="AQ49" s="84">
        <f t="shared" si="13"/>
        <v>35</v>
      </c>
      <c r="AR49" s="15"/>
      <c r="AS49" s="277"/>
      <c r="AT49" s="308"/>
      <c r="AU49" s="277">
        <f t="shared" si="4"/>
        <v>0</v>
      </c>
      <c r="AV49" s="278"/>
      <c r="AW49" s="279"/>
      <c r="AX49" s="288">
        <f t="shared" si="14"/>
        <v>403.26</v>
      </c>
    </row>
    <row r="50" spans="1:50" x14ac:dyDescent="0.25">
      <c r="A50" s="126"/>
      <c r="B50" s="84">
        <f t="shared" si="5"/>
        <v>52</v>
      </c>
      <c r="C50" s="15"/>
      <c r="D50" s="277"/>
      <c r="E50" s="308"/>
      <c r="F50" s="277">
        <f t="shared" si="0"/>
        <v>0</v>
      </c>
      <c r="G50" s="278"/>
      <c r="H50" s="279"/>
      <c r="I50" s="288">
        <f t="shared" si="6"/>
        <v>664.98</v>
      </c>
      <c r="K50" s="126"/>
      <c r="L50" s="84">
        <f t="shared" si="7"/>
        <v>0</v>
      </c>
      <c r="M50" s="15"/>
      <c r="N50" s="277"/>
      <c r="O50" s="308"/>
      <c r="P50" s="277">
        <f t="shared" si="1"/>
        <v>0</v>
      </c>
      <c r="Q50" s="278"/>
      <c r="R50" s="279"/>
      <c r="S50" s="288">
        <f t="shared" si="8"/>
        <v>0.19999999999998863</v>
      </c>
      <c r="V50" s="126"/>
      <c r="W50" s="84">
        <f t="shared" si="9"/>
        <v>0</v>
      </c>
      <c r="X50" s="15"/>
      <c r="Y50" s="277"/>
      <c r="Z50" s="308"/>
      <c r="AA50" s="277">
        <f t="shared" si="2"/>
        <v>0</v>
      </c>
      <c r="AB50" s="278"/>
      <c r="AC50" s="279"/>
      <c r="AD50" s="288">
        <f t="shared" si="10"/>
        <v>0</v>
      </c>
      <c r="AF50" s="126"/>
      <c r="AG50" s="84">
        <f t="shared" si="11"/>
        <v>66</v>
      </c>
      <c r="AH50" s="15"/>
      <c r="AI50" s="277"/>
      <c r="AJ50" s="308"/>
      <c r="AK50" s="277">
        <f t="shared" si="3"/>
        <v>0</v>
      </c>
      <c r="AL50" s="278"/>
      <c r="AM50" s="279"/>
      <c r="AN50" s="288">
        <f t="shared" si="12"/>
        <v>794.33</v>
      </c>
      <c r="AP50" s="126"/>
      <c r="AQ50" s="84">
        <f t="shared" si="13"/>
        <v>35</v>
      </c>
      <c r="AR50" s="15"/>
      <c r="AS50" s="277"/>
      <c r="AT50" s="308"/>
      <c r="AU50" s="277">
        <f t="shared" si="4"/>
        <v>0</v>
      </c>
      <c r="AV50" s="278"/>
      <c r="AW50" s="279"/>
      <c r="AX50" s="288">
        <f t="shared" si="14"/>
        <v>403.26</v>
      </c>
    </row>
    <row r="51" spans="1:50" x14ac:dyDescent="0.25">
      <c r="A51" s="126"/>
      <c r="B51" s="84">
        <f t="shared" si="5"/>
        <v>52</v>
      </c>
      <c r="C51" s="15"/>
      <c r="D51" s="277"/>
      <c r="E51" s="308"/>
      <c r="F51" s="277">
        <f t="shared" si="0"/>
        <v>0</v>
      </c>
      <c r="G51" s="278"/>
      <c r="H51" s="279"/>
      <c r="I51" s="288">
        <f t="shared" si="6"/>
        <v>664.98</v>
      </c>
      <c r="K51" s="126"/>
      <c r="L51" s="84">
        <f t="shared" si="7"/>
        <v>0</v>
      </c>
      <c r="M51" s="15"/>
      <c r="N51" s="277"/>
      <c r="O51" s="308"/>
      <c r="P51" s="277">
        <f t="shared" si="1"/>
        <v>0</v>
      </c>
      <c r="Q51" s="278"/>
      <c r="R51" s="279"/>
      <c r="S51" s="288">
        <f t="shared" si="8"/>
        <v>0.19999999999998863</v>
      </c>
      <c r="V51" s="126"/>
      <c r="W51" s="84">
        <f t="shared" si="9"/>
        <v>0</v>
      </c>
      <c r="X51" s="15"/>
      <c r="Y51" s="277"/>
      <c r="Z51" s="308"/>
      <c r="AA51" s="277">
        <f t="shared" si="2"/>
        <v>0</v>
      </c>
      <c r="AB51" s="278"/>
      <c r="AC51" s="279"/>
      <c r="AD51" s="288">
        <f t="shared" si="10"/>
        <v>0</v>
      </c>
      <c r="AF51" s="126"/>
      <c r="AG51" s="84">
        <f t="shared" si="11"/>
        <v>66</v>
      </c>
      <c r="AH51" s="15"/>
      <c r="AI51" s="277"/>
      <c r="AJ51" s="308"/>
      <c r="AK51" s="277">
        <f t="shared" si="3"/>
        <v>0</v>
      </c>
      <c r="AL51" s="278"/>
      <c r="AM51" s="279"/>
      <c r="AN51" s="288">
        <f t="shared" si="12"/>
        <v>794.33</v>
      </c>
      <c r="AP51" s="126"/>
      <c r="AQ51" s="84">
        <f t="shared" si="13"/>
        <v>35</v>
      </c>
      <c r="AR51" s="15"/>
      <c r="AS51" s="277"/>
      <c r="AT51" s="308"/>
      <c r="AU51" s="277">
        <f t="shared" si="4"/>
        <v>0</v>
      </c>
      <c r="AV51" s="278"/>
      <c r="AW51" s="279"/>
      <c r="AX51" s="288">
        <f t="shared" si="14"/>
        <v>403.26</v>
      </c>
    </row>
    <row r="52" spans="1:50" x14ac:dyDescent="0.25">
      <c r="A52" s="126"/>
      <c r="B52" s="84">
        <f t="shared" si="5"/>
        <v>52</v>
      </c>
      <c r="C52" s="15"/>
      <c r="D52" s="277"/>
      <c r="E52" s="308"/>
      <c r="F52" s="277">
        <f t="shared" si="0"/>
        <v>0</v>
      </c>
      <c r="G52" s="278"/>
      <c r="H52" s="279"/>
      <c r="I52" s="288">
        <f t="shared" si="6"/>
        <v>664.98</v>
      </c>
      <c r="K52" s="126"/>
      <c r="L52" s="84">
        <f t="shared" si="7"/>
        <v>0</v>
      </c>
      <c r="M52" s="15"/>
      <c r="N52" s="277"/>
      <c r="O52" s="308"/>
      <c r="P52" s="277">
        <f t="shared" si="1"/>
        <v>0</v>
      </c>
      <c r="Q52" s="278"/>
      <c r="R52" s="279"/>
      <c r="S52" s="288">
        <f t="shared" si="8"/>
        <v>0.19999999999998863</v>
      </c>
      <c r="V52" s="126"/>
      <c r="W52" s="84">
        <f t="shared" si="9"/>
        <v>0</v>
      </c>
      <c r="X52" s="15"/>
      <c r="Y52" s="277"/>
      <c r="Z52" s="308"/>
      <c r="AA52" s="277">
        <f t="shared" si="2"/>
        <v>0</v>
      </c>
      <c r="AB52" s="278"/>
      <c r="AC52" s="279"/>
      <c r="AD52" s="288">
        <f t="shared" si="10"/>
        <v>0</v>
      </c>
      <c r="AF52" s="126"/>
      <c r="AG52" s="84">
        <f t="shared" si="11"/>
        <v>66</v>
      </c>
      <c r="AH52" s="15"/>
      <c r="AI52" s="277"/>
      <c r="AJ52" s="308"/>
      <c r="AK52" s="277">
        <f t="shared" si="3"/>
        <v>0</v>
      </c>
      <c r="AL52" s="278"/>
      <c r="AM52" s="279"/>
      <c r="AN52" s="288">
        <f t="shared" si="12"/>
        <v>794.33</v>
      </c>
      <c r="AP52" s="126"/>
      <c r="AQ52" s="84">
        <f t="shared" si="13"/>
        <v>35</v>
      </c>
      <c r="AR52" s="15"/>
      <c r="AS52" s="277"/>
      <c r="AT52" s="308"/>
      <c r="AU52" s="277">
        <f t="shared" si="4"/>
        <v>0</v>
      </c>
      <c r="AV52" s="278"/>
      <c r="AW52" s="279"/>
      <c r="AX52" s="288">
        <f t="shared" si="14"/>
        <v>403.26</v>
      </c>
    </row>
    <row r="53" spans="1:50" x14ac:dyDescent="0.25">
      <c r="A53" s="126"/>
      <c r="B53" s="84">
        <f t="shared" si="5"/>
        <v>52</v>
      </c>
      <c r="C53" s="15"/>
      <c r="D53" s="277"/>
      <c r="E53" s="308"/>
      <c r="F53" s="277">
        <f t="shared" si="0"/>
        <v>0</v>
      </c>
      <c r="G53" s="278"/>
      <c r="H53" s="279"/>
      <c r="I53" s="288">
        <f t="shared" si="6"/>
        <v>664.98</v>
      </c>
      <c r="K53" s="126"/>
      <c r="L53" s="84">
        <f t="shared" si="7"/>
        <v>0</v>
      </c>
      <c r="M53" s="15"/>
      <c r="N53" s="277"/>
      <c r="O53" s="308"/>
      <c r="P53" s="277">
        <f t="shared" si="1"/>
        <v>0</v>
      </c>
      <c r="Q53" s="278"/>
      <c r="R53" s="279"/>
      <c r="S53" s="288">
        <f t="shared" si="8"/>
        <v>0.19999999999998863</v>
      </c>
      <c r="V53" s="126"/>
      <c r="W53" s="84">
        <f t="shared" si="9"/>
        <v>0</v>
      </c>
      <c r="X53" s="15"/>
      <c r="Y53" s="277"/>
      <c r="Z53" s="308"/>
      <c r="AA53" s="277">
        <f t="shared" si="2"/>
        <v>0</v>
      </c>
      <c r="AB53" s="278"/>
      <c r="AC53" s="279"/>
      <c r="AD53" s="288">
        <f t="shared" si="10"/>
        <v>0</v>
      </c>
      <c r="AF53" s="126"/>
      <c r="AG53" s="84">
        <f t="shared" si="11"/>
        <v>66</v>
      </c>
      <c r="AH53" s="15"/>
      <c r="AI53" s="277"/>
      <c r="AJ53" s="308"/>
      <c r="AK53" s="277">
        <f t="shared" si="3"/>
        <v>0</v>
      </c>
      <c r="AL53" s="278"/>
      <c r="AM53" s="279"/>
      <c r="AN53" s="288">
        <f t="shared" si="12"/>
        <v>794.33</v>
      </c>
      <c r="AP53" s="126"/>
      <c r="AQ53" s="84">
        <f t="shared" si="13"/>
        <v>35</v>
      </c>
      <c r="AR53" s="15"/>
      <c r="AS53" s="277"/>
      <c r="AT53" s="308"/>
      <c r="AU53" s="277">
        <f t="shared" si="4"/>
        <v>0</v>
      </c>
      <c r="AV53" s="278"/>
      <c r="AW53" s="279"/>
      <c r="AX53" s="288">
        <f t="shared" si="14"/>
        <v>403.26</v>
      </c>
    </row>
    <row r="54" spans="1:50" x14ac:dyDescent="0.25">
      <c r="A54" s="126"/>
      <c r="B54" s="84">
        <f t="shared" si="5"/>
        <v>52</v>
      </c>
      <c r="C54" s="15"/>
      <c r="D54" s="277"/>
      <c r="E54" s="308"/>
      <c r="F54" s="277">
        <f t="shared" si="0"/>
        <v>0</v>
      </c>
      <c r="G54" s="278"/>
      <c r="H54" s="279"/>
      <c r="I54" s="288">
        <f t="shared" si="6"/>
        <v>664.98</v>
      </c>
      <c r="K54" s="126"/>
      <c r="L54" s="84">
        <f t="shared" si="7"/>
        <v>0</v>
      </c>
      <c r="M54" s="15"/>
      <c r="N54" s="277"/>
      <c r="O54" s="308"/>
      <c r="P54" s="277">
        <f t="shared" si="1"/>
        <v>0</v>
      </c>
      <c r="Q54" s="278"/>
      <c r="R54" s="279"/>
      <c r="S54" s="288">
        <f t="shared" si="8"/>
        <v>0.19999999999998863</v>
      </c>
      <c r="V54" s="126"/>
      <c r="W54" s="84">
        <f t="shared" si="9"/>
        <v>0</v>
      </c>
      <c r="X54" s="15"/>
      <c r="Y54" s="277"/>
      <c r="Z54" s="308"/>
      <c r="AA54" s="277">
        <f t="shared" si="2"/>
        <v>0</v>
      </c>
      <c r="AB54" s="278"/>
      <c r="AC54" s="279"/>
      <c r="AD54" s="288">
        <f t="shared" si="10"/>
        <v>0</v>
      </c>
      <c r="AF54" s="126"/>
      <c r="AG54" s="84">
        <f t="shared" si="11"/>
        <v>66</v>
      </c>
      <c r="AH54" s="15"/>
      <c r="AI54" s="277"/>
      <c r="AJ54" s="308"/>
      <c r="AK54" s="277">
        <f t="shared" si="3"/>
        <v>0</v>
      </c>
      <c r="AL54" s="278"/>
      <c r="AM54" s="279"/>
      <c r="AN54" s="288">
        <f t="shared" si="12"/>
        <v>794.33</v>
      </c>
      <c r="AP54" s="126"/>
      <c r="AQ54" s="84">
        <f t="shared" si="13"/>
        <v>35</v>
      </c>
      <c r="AR54" s="15"/>
      <c r="AS54" s="277"/>
      <c r="AT54" s="308"/>
      <c r="AU54" s="277">
        <f t="shared" si="4"/>
        <v>0</v>
      </c>
      <c r="AV54" s="278"/>
      <c r="AW54" s="279"/>
      <c r="AX54" s="288">
        <f t="shared" si="14"/>
        <v>403.26</v>
      </c>
    </row>
    <row r="55" spans="1:50" x14ac:dyDescent="0.25">
      <c r="A55" s="126"/>
      <c r="B55" s="12">
        <f>B54-C55</f>
        <v>52</v>
      </c>
      <c r="C55" s="15"/>
      <c r="D55" s="277"/>
      <c r="E55" s="308"/>
      <c r="F55" s="277">
        <f t="shared" si="0"/>
        <v>0</v>
      </c>
      <c r="G55" s="278"/>
      <c r="H55" s="279"/>
      <c r="I55" s="288">
        <f t="shared" si="6"/>
        <v>664.98</v>
      </c>
      <c r="K55" s="126"/>
      <c r="L55" s="12">
        <f>L54-M55</f>
        <v>0</v>
      </c>
      <c r="M55" s="15"/>
      <c r="N55" s="277"/>
      <c r="O55" s="308"/>
      <c r="P55" s="277">
        <f t="shared" si="1"/>
        <v>0</v>
      </c>
      <c r="Q55" s="278"/>
      <c r="R55" s="279"/>
      <c r="S55" s="288">
        <f t="shared" si="8"/>
        <v>0.19999999999998863</v>
      </c>
      <c r="V55" s="126"/>
      <c r="W55" s="12">
        <f>W54-X55</f>
        <v>0</v>
      </c>
      <c r="X55" s="15"/>
      <c r="Y55" s="277"/>
      <c r="Z55" s="308"/>
      <c r="AA55" s="277">
        <f t="shared" si="2"/>
        <v>0</v>
      </c>
      <c r="AB55" s="278"/>
      <c r="AC55" s="279"/>
      <c r="AD55" s="288">
        <f t="shared" si="10"/>
        <v>0</v>
      </c>
      <c r="AF55" s="126"/>
      <c r="AG55" s="12">
        <f>AG54-AH55</f>
        <v>66</v>
      </c>
      <c r="AH55" s="15"/>
      <c r="AI55" s="277"/>
      <c r="AJ55" s="308"/>
      <c r="AK55" s="277">
        <f t="shared" si="3"/>
        <v>0</v>
      </c>
      <c r="AL55" s="278"/>
      <c r="AM55" s="279"/>
      <c r="AN55" s="288">
        <f t="shared" si="12"/>
        <v>794.33</v>
      </c>
      <c r="AP55" s="126"/>
      <c r="AQ55" s="12">
        <f>AQ54-AR55</f>
        <v>35</v>
      </c>
      <c r="AR55" s="15"/>
      <c r="AS55" s="277"/>
      <c r="AT55" s="308"/>
      <c r="AU55" s="277">
        <f t="shared" si="4"/>
        <v>0</v>
      </c>
      <c r="AV55" s="278"/>
      <c r="AW55" s="279"/>
      <c r="AX55" s="288">
        <f t="shared" si="14"/>
        <v>403.26</v>
      </c>
    </row>
    <row r="56" spans="1:50" x14ac:dyDescent="0.25">
      <c r="A56" s="126"/>
      <c r="B56" s="12">
        <f t="shared" ref="B56:B75" si="15">B55-C56</f>
        <v>52</v>
      </c>
      <c r="C56" s="15"/>
      <c r="D56" s="277"/>
      <c r="E56" s="308"/>
      <c r="F56" s="277">
        <f t="shared" si="0"/>
        <v>0</v>
      </c>
      <c r="G56" s="278"/>
      <c r="H56" s="279"/>
      <c r="I56" s="288">
        <f t="shared" si="6"/>
        <v>664.98</v>
      </c>
      <c r="K56" s="126"/>
      <c r="L56" s="12">
        <f t="shared" ref="L56:L75" si="16">L55-M56</f>
        <v>0</v>
      </c>
      <c r="M56" s="15"/>
      <c r="N56" s="277"/>
      <c r="O56" s="308"/>
      <c r="P56" s="277">
        <f t="shared" si="1"/>
        <v>0</v>
      </c>
      <c r="Q56" s="278"/>
      <c r="R56" s="279"/>
      <c r="S56" s="288">
        <f t="shared" si="8"/>
        <v>0.19999999999998863</v>
      </c>
      <c r="V56" s="126"/>
      <c r="W56" s="12">
        <f t="shared" ref="W56:W75" si="17">W55-X56</f>
        <v>0</v>
      </c>
      <c r="X56" s="15"/>
      <c r="Y56" s="277"/>
      <c r="Z56" s="308"/>
      <c r="AA56" s="277">
        <f t="shared" si="2"/>
        <v>0</v>
      </c>
      <c r="AB56" s="278"/>
      <c r="AC56" s="279"/>
      <c r="AD56" s="288">
        <f t="shared" si="10"/>
        <v>0</v>
      </c>
      <c r="AF56" s="126"/>
      <c r="AG56" s="12">
        <f t="shared" ref="AG56:AG75" si="18">AG55-AH56</f>
        <v>66</v>
      </c>
      <c r="AH56" s="15"/>
      <c r="AI56" s="277"/>
      <c r="AJ56" s="308"/>
      <c r="AK56" s="277">
        <f t="shared" si="3"/>
        <v>0</v>
      </c>
      <c r="AL56" s="278"/>
      <c r="AM56" s="279"/>
      <c r="AN56" s="288">
        <f t="shared" si="12"/>
        <v>794.33</v>
      </c>
      <c r="AP56" s="126"/>
      <c r="AQ56" s="12">
        <f t="shared" ref="AQ56:AQ75" si="19">AQ55-AR56</f>
        <v>35</v>
      </c>
      <c r="AR56" s="15"/>
      <c r="AS56" s="277"/>
      <c r="AT56" s="308"/>
      <c r="AU56" s="277">
        <f t="shared" si="4"/>
        <v>0</v>
      </c>
      <c r="AV56" s="278"/>
      <c r="AW56" s="279"/>
      <c r="AX56" s="288">
        <f t="shared" si="14"/>
        <v>403.26</v>
      </c>
    </row>
    <row r="57" spans="1:50" x14ac:dyDescent="0.25">
      <c r="A57" s="126"/>
      <c r="B57" s="12">
        <f t="shared" si="15"/>
        <v>52</v>
      </c>
      <c r="C57" s="15"/>
      <c r="D57" s="277"/>
      <c r="E57" s="308"/>
      <c r="F57" s="277">
        <f t="shared" si="0"/>
        <v>0</v>
      </c>
      <c r="G57" s="278"/>
      <c r="H57" s="279"/>
      <c r="I57" s="288">
        <f t="shared" si="6"/>
        <v>664.98</v>
      </c>
      <c r="K57" s="126"/>
      <c r="L57" s="12">
        <f t="shared" si="16"/>
        <v>0</v>
      </c>
      <c r="M57" s="15"/>
      <c r="N57" s="277"/>
      <c r="O57" s="308"/>
      <c r="P57" s="277">
        <f t="shared" si="1"/>
        <v>0</v>
      </c>
      <c r="Q57" s="278"/>
      <c r="R57" s="279"/>
      <c r="S57" s="288">
        <f t="shared" si="8"/>
        <v>0.19999999999998863</v>
      </c>
      <c r="V57" s="126"/>
      <c r="W57" s="12">
        <f t="shared" si="17"/>
        <v>0</v>
      </c>
      <c r="X57" s="15"/>
      <c r="Y57" s="277"/>
      <c r="Z57" s="308"/>
      <c r="AA57" s="277">
        <f t="shared" si="2"/>
        <v>0</v>
      </c>
      <c r="AB57" s="278"/>
      <c r="AC57" s="279"/>
      <c r="AD57" s="288">
        <f t="shared" si="10"/>
        <v>0</v>
      </c>
      <c r="AF57" s="126"/>
      <c r="AG57" s="12">
        <f t="shared" si="18"/>
        <v>66</v>
      </c>
      <c r="AH57" s="15"/>
      <c r="AI57" s="277"/>
      <c r="AJ57" s="308"/>
      <c r="AK57" s="277">
        <f t="shared" si="3"/>
        <v>0</v>
      </c>
      <c r="AL57" s="278"/>
      <c r="AM57" s="279"/>
      <c r="AN57" s="288">
        <f t="shared" si="12"/>
        <v>794.33</v>
      </c>
      <c r="AP57" s="126"/>
      <c r="AQ57" s="12">
        <f t="shared" si="19"/>
        <v>35</v>
      </c>
      <c r="AR57" s="15"/>
      <c r="AS57" s="277"/>
      <c r="AT57" s="308"/>
      <c r="AU57" s="277">
        <f t="shared" si="4"/>
        <v>0</v>
      </c>
      <c r="AV57" s="278"/>
      <c r="AW57" s="279"/>
      <c r="AX57" s="288">
        <f t="shared" si="14"/>
        <v>403.26</v>
      </c>
    </row>
    <row r="58" spans="1:50" x14ac:dyDescent="0.25">
      <c r="A58" s="126"/>
      <c r="B58" s="12">
        <f t="shared" si="15"/>
        <v>52</v>
      </c>
      <c r="C58" s="15"/>
      <c r="D58" s="277"/>
      <c r="E58" s="308"/>
      <c r="F58" s="277">
        <f t="shared" si="0"/>
        <v>0</v>
      </c>
      <c r="G58" s="278"/>
      <c r="H58" s="279"/>
      <c r="I58" s="288">
        <f t="shared" si="6"/>
        <v>664.98</v>
      </c>
      <c r="K58" s="126"/>
      <c r="L58" s="12">
        <f t="shared" si="16"/>
        <v>0</v>
      </c>
      <c r="M58" s="15"/>
      <c r="N58" s="277"/>
      <c r="O58" s="308"/>
      <c r="P58" s="277">
        <f t="shared" si="1"/>
        <v>0</v>
      </c>
      <c r="Q58" s="278"/>
      <c r="R58" s="279"/>
      <c r="S58" s="288">
        <f t="shared" si="8"/>
        <v>0.19999999999998863</v>
      </c>
      <c r="V58" s="126"/>
      <c r="W58" s="12">
        <f t="shared" si="17"/>
        <v>0</v>
      </c>
      <c r="X58" s="15"/>
      <c r="Y58" s="277"/>
      <c r="Z58" s="308"/>
      <c r="AA58" s="277">
        <f t="shared" si="2"/>
        <v>0</v>
      </c>
      <c r="AB58" s="278"/>
      <c r="AC58" s="279"/>
      <c r="AD58" s="288">
        <f t="shared" si="10"/>
        <v>0</v>
      </c>
      <c r="AF58" s="126"/>
      <c r="AG58" s="12">
        <f t="shared" si="18"/>
        <v>66</v>
      </c>
      <c r="AH58" s="15"/>
      <c r="AI58" s="277"/>
      <c r="AJ58" s="308"/>
      <c r="AK58" s="277">
        <f t="shared" si="3"/>
        <v>0</v>
      </c>
      <c r="AL58" s="278"/>
      <c r="AM58" s="279"/>
      <c r="AN58" s="288">
        <f t="shared" si="12"/>
        <v>794.33</v>
      </c>
      <c r="AP58" s="126"/>
      <c r="AQ58" s="12">
        <f t="shared" si="19"/>
        <v>35</v>
      </c>
      <c r="AR58" s="15"/>
      <c r="AS58" s="277"/>
      <c r="AT58" s="308"/>
      <c r="AU58" s="277">
        <f t="shared" si="4"/>
        <v>0</v>
      </c>
      <c r="AV58" s="278"/>
      <c r="AW58" s="279"/>
      <c r="AX58" s="288">
        <f t="shared" si="14"/>
        <v>403.26</v>
      </c>
    </row>
    <row r="59" spans="1:50" x14ac:dyDescent="0.25">
      <c r="A59" s="126"/>
      <c r="B59" s="12">
        <f t="shared" si="15"/>
        <v>52</v>
      </c>
      <c r="C59" s="15"/>
      <c r="D59" s="277"/>
      <c r="E59" s="308"/>
      <c r="F59" s="277">
        <f t="shared" si="0"/>
        <v>0</v>
      </c>
      <c r="G59" s="278"/>
      <c r="H59" s="279"/>
      <c r="I59" s="288">
        <f t="shared" si="6"/>
        <v>664.98</v>
      </c>
      <c r="K59" s="126"/>
      <c r="L59" s="12">
        <f t="shared" si="16"/>
        <v>0</v>
      </c>
      <c r="M59" s="15"/>
      <c r="N59" s="277"/>
      <c r="O59" s="308"/>
      <c r="P59" s="277">
        <f t="shared" si="1"/>
        <v>0</v>
      </c>
      <c r="Q59" s="278"/>
      <c r="R59" s="279"/>
      <c r="S59" s="288">
        <f t="shared" si="8"/>
        <v>0.19999999999998863</v>
      </c>
      <c r="V59" s="126"/>
      <c r="W59" s="12">
        <f t="shared" si="17"/>
        <v>0</v>
      </c>
      <c r="X59" s="15"/>
      <c r="Y59" s="277"/>
      <c r="Z59" s="308"/>
      <c r="AA59" s="277">
        <f t="shared" si="2"/>
        <v>0</v>
      </c>
      <c r="AB59" s="278"/>
      <c r="AC59" s="279"/>
      <c r="AD59" s="288">
        <f t="shared" si="10"/>
        <v>0</v>
      </c>
      <c r="AF59" s="126"/>
      <c r="AG59" s="12">
        <f t="shared" si="18"/>
        <v>66</v>
      </c>
      <c r="AH59" s="15"/>
      <c r="AI59" s="277"/>
      <c r="AJ59" s="308"/>
      <c r="AK59" s="277">
        <f t="shared" si="3"/>
        <v>0</v>
      </c>
      <c r="AL59" s="278"/>
      <c r="AM59" s="279"/>
      <c r="AN59" s="288">
        <f t="shared" si="12"/>
        <v>794.33</v>
      </c>
      <c r="AP59" s="126"/>
      <c r="AQ59" s="12">
        <f t="shared" si="19"/>
        <v>35</v>
      </c>
      <c r="AR59" s="15"/>
      <c r="AS59" s="277"/>
      <c r="AT59" s="308"/>
      <c r="AU59" s="277">
        <f t="shared" si="4"/>
        <v>0</v>
      </c>
      <c r="AV59" s="278"/>
      <c r="AW59" s="279"/>
      <c r="AX59" s="288">
        <f t="shared" si="14"/>
        <v>403.26</v>
      </c>
    </row>
    <row r="60" spans="1:50" x14ac:dyDescent="0.25">
      <c r="A60" s="126"/>
      <c r="B60" s="12">
        <f t="shared" si="15"/>
        <v>52</v>
      </c>
      <c r="C60" s="15"/>
      <c r="D60" s="277"/>
      <c r="E60" s="308"/>
      <c r="F60" s="277">
        <f t="shared" si="0"/>
        <v>0</v>
      </c>
      <c r="G60" s="278"/>
      <c r="H60" s="279"/>
      <c r="I60" s="288">
        <f t="shared" si="6"/>
        <v>664.98</v>
      </c>
      <c r="K60" s="126"/>
      <c r="L60" s="12">
        <f t="shared" si="16"/>
        <v>0</v>
      </c>
      <c r="M60" s="15"/>
      <c r="N60" s="277"/>
      <c r="O60" s="308"/>
      <c r="P60" s="277">
        <f t="shared" si="1"/>
        <v>0</v>
      </c>
      <c r="Q60" s="278"/>
      <c r="R60" s="279"/>
      <c r="S60" s="288">
        <f t="shared" si="8"/>
        <v>0.19999999999998863</v>
      </c>
      <c r="V60" s="126"/>
      <c r="W60" s="12">
        <f t="shared" si="17"/>
        <v>0</v>
      </c>
      <c r="X60" s="15"/>
      <c r="Y60" s="277"/>
      <c r="Z60" s="308"/>
      <c r="AA60" s="277">
        <f t="shared" si="2"/>
        <v>0</v>
      </c>
      <c r="AB60" s="278"/>
      <c r="AC60" s="279"/>
      <c r="AD60" s="288">
        <f t="shared" si="10"/>
        <v>0</v>
      </c>
      <c r="AF60" s="126"/>
      <c r="AG60" s="12">
        <f t="shared" si="18"/>
        <v>66</v>
      </c>
      <c r="AH60" s="15"/>
      <c r="AI60" s="277"/>
      <c r="AJ60" s="308"/>
      <c r="AK60" s="277">
        <f t="shared" si="3"/>
        <v>0</v>
      </c>
      <c r="AL60" s="278"/>
      <c r="AM60" s="279"/>
      <c r="AN60" s="288">
        <f t="shared" si="12"/>
        <v>794.33</v>
      </c>
      <c r="AP60" s="126"/>
      <c r="AQ60" s="12">
        <f t="shared" si="19"/>
        <v>35</v>
      </c>
      <c r="AR60" s="15"/>
      <c r="AS60" s="277"/>
      <c r="AT60" s="308"/>
      <c r="AU60" s="277">
        <f t="shared" si="4"/>
        <v>0</v>
      </c>
      <c r="AV60" s="278"/>
      <c r="AW60" s="279"/>
      <c r="AX60" s="288">
        <f t="shared" si="14"/>
        <v>403.26</v>
      </c>
    </row>
    <row r="61" spans="1:50" x14ac:dyDescent="0.25">
      <c r="A61" s="126"/>
      <c r="B61" s="12">
        <f t="shared" si="15"/>
        <v>52</v>
      </c>
      <c r="C61" s="15"/>
      <c r="D61" s="277"/>
      <c r="E61" s="308"/>
      <c r="F61" s="277">
        <f t="shared" si="0"/>
        <v>0</v>
      </c>
      <c r="G61" s="278"/>
      <c r="H61" s="279"/>
      <c r="I61" s="288">
        <f t="shared" si="6"/>
        <v>664.98</v>
      </c>
      <c r="K61" s="126"/>
      <c r="L61" s="12">
        <f t="shared" si="16"/>
        <v>0</v>
      </c>
      <c r="M61" s="15"/>
      <c r="N61" s="277"/>
      <c r="O61" s="308"/>
      <c r="P61" s="277">
        <f t="shared" si="1"/>
        <v>0</v>
      </c>
      <c r="Q61" s="278"/>
      <c r="R61" s="279"/>
      <c r="S61" s="288">
        <f t="shared" si="8"/>
        <v>0.19999999999998863</v>
      </c>
      <c r="V61" s="126"/>
      <c r="W61" s="12">
        <f t="shared" si="17"/>
        <v>0</v>
      </c>
      <c r="X61" s="15"/>
      <c r="Y61" s="277"/>
      <c r="Z61" s="308"/>
      <c r="AA61" s="277">
        <f t="shared" si="2"/>
        <v>0</v>
      </c>
      <c r="AB61" s="278"/>
      <c r="AC61" s="279"/>
      <c r="AD61" s="288">
        <f t="shared" si="10"/>
        <v>0</v>
      </c>
      <c r="AF61" s="126"/>
      <c r="AG61" s="12">
        <f t="shared" si="18"/>
        <v>66</v>
      </c>
      <c r="AH61" s="15"/>
      <c r="AI61" s="277"/>
      <c r="AJ61" s="308"/>
      <c r="AK61" s="277">
        <f t="shared" si="3"/>
        <v>0</v>
      </c>
      <c r="AL61" s="278"/>
      <c r="AM61" s="279"/>
      <c r="AN61" s="288">
        <f t="shared" si="12"/>
        <v>794.33</v>
      </c>
      <c r="AP61" s="126"/>
      <c r="AQ61" s="12">
        <f t="shared" si="19"/>
        <v>35</v>
      </c>
      <c r="AR61" s="15"/>
      <c r="AS61" s="277"/>
      <c r="AT61" s="308"/>
      <c r="AU61" s="277">
        <f t="shared" si="4"/>
        <v>0</v>
      </c>
      <c r="AV61" s="278"/>
      <c r="AW61" s="279"/>
      <c r="AX61" s="288">
        <f t="shared" si="14"/>
        <v>403.26</v>
      </c>
    </row>
    <row r="62" spans="1:50" x14ac:dyDescent="0.25">
      <c r="A62" s="126"/>
      <c r="B62" s="12">
        <f t="shared" si="15"/>
        <v>52</v>
      </c>
      <c r="C62" s="15"/>
      <c r="D62" s="277"/>
      <c r="E62" s="308"/>
      <c r="F62" s="277">
        <f t="shared" si="0"/>
        <v>0</v>
      </c>
      <c r="G62" s="278"/>
      <c r="H62" s="279"/>
      <c r="I62" s="288">
        <f t="shared" si="6"/>
        <v>664.98</v>
      </c>
      <c r="K62" s="126"/>
      <c r="L62" s="12">
        <f t="shared" si="16"/>
        <v>0</v>
      </c>
      <c r="M62" s="15"/>
      <c r="N62" s="277"/>
      <c r="O62" s="308"/>
      <c r="P62" s="277">
        <f t="shared" si="1"/>
        <v>0</v>
      </c>
      <c r="Q62" s="278"/>
      <c r="R62" s="279"/>
      <c r="S62" s="288">
        <f t="shared" si="8"/>
        <v>0.19999999999998863</v>
      </c>
      <c r="V62" s="126"/>
      <c r="W62" s="12">
        <f t="shared" si="17"/>
        <v>0</v>
      </c>
      <c r="X62" s="15"/>
      <c r="Y62" s="277"/>
      <c r="Z62" s="308"/>
      <c r="AA62" s="277">
        <f t="shared" si="2"/>
        <v>0</v>
      </c>
      <c r="AB62" s="278"/>
      <c r="AC62" s="279"/>
      <c r="AD62" s="288">
        <f t="shared" si="10"/>
        <v>0</v>
      </c>
      <c r="AF62" s="126"/>
      <c r="AG62" s="12">
        <f t="shared" si="18"/>
        <v>66</v>
      </c>
      <c r="AH62" s="15"/>
      <c r="AI62" s="277"/>
      <c r="AJ62" s="308"/>
      <c r="AK62" s="277">
        <f t="shared" si="3"/>
        <v>0</v>
      </c>
      <c r="AL62" s="278"/>
      <c r="AM62" s="279"/>
      <c r="AN62" s="288">
        <f t="shared" si="12"/>
        <v>794.33</v>
      </c>
      <c r="AP62" s="126"/>
      <c r="AQ62" s="12">
        <f t="shared" si="19"/>
        <v>35</v>
      </c>
      <c r="AR62" s="15"/>
      <c r="AS62" s="277"/>
      <c r="AT62" s="308"/>
      <c r="AU62" s="277">
        <f t="shared" si="4"/>
        <v>0</v>
      </c>
      <c r="AV62" s="278"/>
      <c r="AW62" s="279"/>
      <c r="AX62" s="288">
        <f t="shared" si="14"/>
        <v>403.26</v>
      </c>
    </row>
    <row r="63" spans="1:50" x14ac:dyDescent="0.25">
      <c r="A63" s="126"/>
      <c r="B63" s="12">
        <f t="shared" si="15"/>
        <v>52</v>
      </c>
      <c r="C63" s="15"/>
      <c r="D63" s="277"/>
      <c r="E63" s="308"/>
      <c r="F63" s="277">
        <f t="shared" si="0"/>
        <v>0</v>
      </c>
      <c r="G63" s="278"/>
      <c r="H63" s="279"/>
      <c r="I63" s="288">
        <f t="shared" si="6"/>
        <v>664.98</v>
      </c>
      <c r="K63" s="126"/>
      <c r="L63" s="12">
        <f t="shared" si="16"/>
        <v>0</v>
      </c>
      <c r="M63" s="15"/>
      <c r="N63" s="277"/>
      <c r="O63" s="308"/>
      <c r="P63" s="277">
        <f t="shared" si="1"/>
        <v>0</v>
      </c>
      <c r="Q63" s="278"/>
      <c r="R63" s="279"/>
      <c r="S63" s="288">
        <f t="shared" si="8"/>
        <v>0.19999999999998863</v>
      </c>
      <c r="V63" s="126"/>
      <c r="W63" s="12">
        <f t="shared" si="17"/>
        <v>0</v>
      </c>
      <c r="X63" s="15"/>
      <c r="Y63" s="277"/>
      <c r="Z63" s="308"/>
      <c r="AA63" s="277">
        <f t="shared" si="2"/>
        <v>0</v>
      </c>
      <c r="AB63" s="278"/>
      <c r="AC63" s="279"/>
      <c r="AD63" s="288">
        <f t="shared" si="10"/>
        <v>0</v>
      </c>
      <c r="AF63" s="126"/>
      <c r="AG63" s="12">
        <f t="shared" si="18"/>
        <v>66</v>
      </c>
      <c r="AH63" s="15"/>
      <c r="AI63" s="277"/>
      <c r="AJ63" s="308"/>
      <c r="AK63" s="277">
        <f t="shared" si="3"/>
        <v>0</v>
      </c>
      <c r="AL63" s="278"/>
      <c r="AM63" s="279"/>
      <c r="AN63" s="288">
        <f t="shared" si="12"/>
        <v>794.33</v>
      </c>
      <c r="AP63" s="126"/>
      <c r="AQ63" s="12">
        <f t="shared" si="19"/>
        <v>35</v>
      </c>
      <c r="AR63" s="15"/>
      <c r="AS63" s="277"/>
      <c r="AT63" s="308"/>
      <c r="AU63" s="277">
        <f t="shared" si="4"/>
        <v>0</v>
      </c>
      <c r="AV63" s="278"/>
      <c r="AW63" s="279"/>
      <c r="AX63" s="288">
        <f t="shared" si="14"/>
        <v>403.26</v>
      </c>
    </row>
    <row r="64" spans="1:50" x14ac:dyDescent="0.25">
      <c r="A64" s="126"/>
      <c r="B64" s="12">
        <f t="shared" si="15"/>
        <v>52</v>
      </c>
      <c r="C64" s="15"/>
      <c r="D64" s="277"/>
      <c r="E64" s="308"/>
      <c r="F64" s="277">
        <f t="shared" si="0"/>
        <v>0</v>
      </c>
      <c r="G64" s="278"/>
      <c r="H64" s="279"/>
      <c r="I64" s="288">
        <f t="shared" si="6"/>
        <v>664.98</v>
      </c>
      <c r="K64" s="126"/>
      <c r="L64" s="12">
        <f t="shared" si="16"/>
        <v>0</v>
      </c>
      <c r="M64" s="15"/>
      <c r="N64" s="277"/>
      <c r="O64" s="308"/>
      <c r="P64" s="277">
        <f t="shared" si="1"/>
        <v>0</v>
      </c>
      <c r="Q64" s="278"/>
      <c r="R64" s="279"/>
      <c r="S64" s="288">
        <f t="shared" si="8"/>
        <v>0.19999999999998863</v>
      </c>
      <c r="V64" s="126"/>
      <c r="W64" s="12">
        <f t="shared" si="17"/>
        <v>0</v>
      </c>
      <c r="X64" s="15"/>
      <c r="Y64" s="277"/>
      <c r="Z64" s="308"/>
      <c r="AA64" s="277">
        <f t="shared" si="2"/>
        <v>0</v>
      </c>
      <c r="AB64" s="278"/>
      <c r="AC64" s="279"/>
      <c r="AD64" s="288">
        <f t="shared" si="10"/>
        <v>0</v>
      </c>
      <c r="AF64" s="126"/>
      <c r="AG64" s="12">
        <f t="shared" si="18"/>
        <v>66</v>
      </c>
      <c r="AH64" s="15"/>
      <c r="AI64" s="277"/>
      <c r="AJ64" s="308"/>
      <c r="AK64" s="277">
        <f t="shared" si="3"/>
        <v>0</v>
      </c>
      <c r="AL64" s="278"/>
      <c r="AM64" s="279"/>
      <c r="AN64" s="288">
        <f t="shared" si="12"/>
        <v>794.33</v>
      </c>
      <c r="AP64" s="126"/>
      <c r="AQ64" s="12">
        <f t="shared" si="19"/>
        <v>35</v>
      </c>
      <c r="AR64" s="15"/>
      <c r="AS64" s="277"/>
      <c r="AT64" s="308"/>
      <c r="AU64" s="277">
        <f t="shared" si="4"/>
        <v>0</v>
      </c>
      <c r="AV64" s="278"/>
      <c r="AW64" s="279"/>
      <c r="AX64" s="288">
        <f t="shared" si="14"/>
        <v>403.26</v>
      </c>
    </row>
    <row r="65" spans="1:50" x14ac:dyDescent="0.25">
      <c r="A65" s="126"/>
      <c r="B65" s="12">
        <f t="shared" si="15"/>
        <v>52</v>
      </c>
      <c r="C65" s="15"/>
      <c r="D65" s="277"/>
      <c r="E65" s="308"/>
      <c r="F65" s="277">
        <f t="shared" si="0"/>
        <v>0</v>
      </c>
      <c r="G65" s="278"/>
      <c r="H65" s="279"/>
      <c r="I65" s="288">
        <f t="shared" si="6"/>
        <v>664.98</v>
      </c>
      <c r="K65" s="126"/>
      <c r="L65" s="12">
        <f t="shared" si="16"/>
        <v>0</v>
      </c>
      <c r="M65" s="15"/>
      <c r="N65" s="277"/>
      <c r="O65" s="308"/>
      <c r="P65" s="277">
        <f t="shared" si="1"/>
        <v>0</v>
      </c>
      <c r="Q65" s="278"/>
      <c r="R65" s="279"/>
      <c r="S65" s="288">
        <f t="shared" si="8"/>
        <v>0.19999999999998863</v>
      </c>
      <c r="V65" s="126"/>
      <c r="W65" s="12">
        <f t="shared" si="17"/>
        <v>0</v>
      </c>
      <c r="X65" s="15"/>
      <c r="Y65" s="277"/>
      <c r="Z65" s="308"/>
      <c r="AA65" s="277">
        <f t="shared" si="2"/>
        <v>0</v>
      </c>
      <c r="AB65" s="278"/>
      <c r="AC65" s="279"/>
      <c r="AD65" s="288">
        <f t="shared" si="10"/>
        <v>0</v>
      </c>
      <c r="AF65" s="126"/>
      <c r="AG65" s="12">
        <f t="shared" si="18"/>
        <v>66</v>
      </c>
      <c r="AH65" s="15"/>
      <c r="AI65" s="277"/>
      <c r="AJ65" s="308"/>
      <c r="AK65" s="277">
        <f t="shared" si="3"/>
        <v>0</v>
      </c>
      <c r="AL65" s="278"/>
      <c r="AM65" s="279"/>
      <c r="AN65" s="288">
        <f t="shared" si="12"/>
        <v>794.33</v>
      </c>
      <c r="AP65" s="126"/>
      <c r="AQ65" s="12">
        <f t="shared" si="19"/>
        <v>35</v>
      </c>
      <c r="AR65" s="15"/>
      <c r="AS65" s="277"/>
      <c r="AT65" s="308"/>
      <c r="AU65" s="277">
        <f t="shared" si="4"/>
        <v>0</v>
      </c>
      <c r="AV65" s="278"/>
      <c r="AW65" s="279"/>
      <c r="AX65" s="288">
        <f t="shared" si="14"/>
        <v>403.26</v>
      </c>
    </row>
    <row r="66" spans="1:50" x14ac:dyDescent="0.25">
      <c r="A66" s="126"/>
      <c r="B66" s="12">
        <f t="shared" si="15"/>
        <v>52</v>
      </c>
      <c r="C66" s="15"/>
      <c r="D66" s="277"/>
      <c r="E66" s="308"/>
      <c r="F66" s="277">
        <f t="shared" si="0"/>
        <v>0</v>
      </c>
      <c r="G66" s="278"/>
      <c r="H66" s="279"/>
      <c r="I66" s="288">
        <f t="shared" si="6"/>
        <v>664.98</v>
      </c>
      <c r="K66" s="126"/>
      <c r="L66" s="12">
        <f t="shared" si="16"/>
        <v>0</v>
      </c>
      <c r="M66" s="15"/>
      <c r="N66" s="277"/>
      <c r="O66" s="308"/>
      <c r="P66" s="277">
        <f t="shared" si="1"/>
        <v>0</v>
      </c>
      <c r="Q66" s="278"/>
      <c r="R66" s="279"/>
      <c r="S66" s="288">
        <f t="shared" si="8"/>
        <v>0.19999999999998863</v>
      </c>
      <c r="V66" s="126"/>
      <c r="W66" s="12">
        <f t="shared" si="17"/>
        <v>0</v>
      </c>
      <c r="X66" s="15"/>
      <c r="Y66" s="277"/>
      <c r="Z66" s="308"/>
      <c r="AA66" s="277">
        <f t="shared" si="2"/>
        <v>0</v>
      </c>
      <c r="AB66" s="278"/>
      <c r="AC66" s="279"/>
      <c r="AD66" s="288">
        <f t="shared" si="10"/>
        <v>0</v>
      </c>
      <c r="AF66" s="126"/>
      <c r="AG66" s="12">
        <f t="shared" si="18"/>
        <v>66</v>
      </c>
      <c r="AH66" s="15"/>
      <c r="AI66" s="277"/>
      <c r="AJ66" s="308"/>
      <c r="AK66" s="277">
        <f t="shared" si="3"/>
        <v>0</v>
      </c>
      <c r="AL66" s="278"/>
      <c r="AM66" s="279"/>
      <c r="AN66" s="288">
        <f t="shared" si="12"/>
        <v>794.33</v>
      </c>
      <c r="AP66" s="126"/>
      <c r="AQ66" s="12">
        <f t="shared" si="19"/>
        <v>35</v>
      </c>
      <c r="AR66" s="15"/>
      <c r="AS66" s="277"/>
      <c r="AT66" s="308"/>
      <c r="AU66" s="277">
        <f t="shared" si="4"/>
        <v>0</v>
      </c>
      <c r="AV66" s="278"/>
      <c r="AW66" s="279"/>
      <c r="AX66" s="288">
        <f t="shared" si="14"/>
        <v>403.26</v>
      </c>
    </row>
    <row r="67" spans="1:50" x14ac:dyDescent="0.25">
      <c r="A67" s="126"/>
      <c r="B67" s="12">
        <f t="shared" si="15"/>
        <v>52</v>
      </c>
      <c r="C67" s="15"/>
      <c r="D67" s="70"/>
      <c r="E67" s="228"/>
      <c r="F67" s="70">
        <f t="shared" si="0"/>
        <v>0</v>
      </c>
      <c r="G67" s="71"/>
      <c r="H67" s="72"/>
      <c r="I67" s="107">
        <f t="shared" si="6"/>
        <v>664.98</v>
      </c>
      <c r="K67" s="126"/>
      <c r="L67" s="12">
        <f t="shared" si="16"/>
        <v>0</v>
      </c>
      <c r="M67" s="15"/>
      <c r="N67" s="70"/>
      <c r="O67" s="228"/>
      <c r="P67" s="70">
        <f t="shared" si="1"/>
        <v>0</v>
      </c>
      <c r="Q67" s="71"/>
      <c r="R67" s="72"/>
      <c r="S67" s="107">
        <f t="shared" si="8"/>
        <v>0.19999999999998863</v>
      </c>
      <c r="V67" s="126"/>
      <c r="W67" s="12">
        <f t="shared" si="17"/>
        <v>0</v>
      </c>
      <c r="X67" s="15"/>
      <c r="Y67" s="70"/>
      <c r="Z67" s="228"/>
      <c r="AA67" s="70">
        <f t="shared" si="2"/>
        <v>0</v>
      </c>
      <c r="AB67" s="71"/>
      <c r="AC67" s="72"/>
      <c r="AD67" s="107">
        <f t="shared" si="10"/>
        <v>0</v>
      </c>
      <c r="AF67" s="126"/>
      <c r="AG67" s="12">
        <f t="shared" si="18"/>
        <v>66</v>
      </c>
      <c r="AH67" s="15"/>
      <c r="AI67" s="70"/>
      <c r="AJ67" s="228"/>
      <c r="AK67" s="70">
        <f t="shared" si="3"/>
        <v>0</v>
      </c>
      <c r="AL67" s="71"/>
      <c r="AM67" s="72"/>
      <c r="AN67" s="107">
        <f t="shared" si="12"/>
        <v>794.33</v>
      </c>
      <c r="AP67" s="126"/>
      <c r="AQ67" s="12">
        <f t="shared" si="19"/>
        <v>35</v>
      </c>
      <c r="AR67" s="15"/>
      <c r="AS67" s="70"/>
      <c r="AT67" s="228"/>
      <c r="AU67" s="70">
        <f t="shared" si="4"/>
        <v>0</v>
      </c>
      <c r="AV67" s="71"/>
      <c r="AW67" s="72"/>
      <c r="AX67" s="107">
        <f t="shared" si="14"/>
        <v>403.26</v>
      </c>
    </row>
    <row r="68" spans="1:50" x14ac:dyDescent="0.25">
      <c r="A68" s="126"/>
      <c r="B68" s="12">
        <f t="shared" si="15"/>
        <v>52</v>
      </c>
      <c r="C68" s="15"/>
      <c r="D68" s="60"/>
      <c r="E68" s="236"/>
      <c r="F68" s="70">
        <f t="shared" si="0"/>
        <v>0</v>
      </c>
      <c r="G68" s="71"/>
      <c r="H68" s="72"/>
      <c r="I68" s="107">
        <f t="shared" si="6"/>
        <v>664.98</v>
      </c>
      <c r="K68" s="126"/>
      <c r="L68" s="12">
        <f t="shared" si="16"/>
        <v>0</v>
      </c>
      <c r="M68" s="15"/>
      <c r="N68" s="60"/>
      <c r="O68" s="236"/>
      <c r="P68" s="70">
        <f t="shared" si="1"/>
        <v>0</v>
      </c>
      <c r="Q68" s="71"/>
      <c r="R68" s="72"/>
      <c r="S68" s="107">
        <f t="shared" si="8"/>
        <v>0.19999999999998863</v>
      </c>
      <c r="V68" s="126"/>
      <c r="W68" s="12">
        <f t="shared" si="17"/>
        <v>0</v>
      </c>
      <c r="X68" s="15"/>
      <c r="Y68" s="60"/>
      <c r="Z68" s="236"/>
      <c r="AA68" s="70">
        <f t="shared" si="2"/>
        <v>0</v>
      </c>
      <c r="AB68" s="71"/>
      <c r="AC68" s="72"/>
      <c r="AD68" s="107">
        <f t="shared" si="10"/>
        <v>0</v>
      </c>
      <c r="AF68" s="126"/>
      <c r="AG68" s="12">
        <f t="shared" si="18"/>
        <v>66</v>
      </c>
      <c r="AH68" s="15"/>
      <c r="AI68" s="60"/>
      <c r="AJ68" s="236"/>
      <c r="AK68" s="70">
        <f t="shared" si="3"/>
        <v>0</v>
      </c>
      <c r="AL68" s="71"/>
      <c r="AM68" s="72"/>
      <c r="AN68" s="107">
        <f t="shared" si="12"/>
        <v>794.33</v>
      </c>
      <c r="AP68" s="126"/>
      <c r="AQ68" s="12">
        <f t="shared" si="19"/>
        <v>35</v>
      </c>
      <c r="AR68" s="15"/>
      <c r="AS68" s="60"/>
      <c r="AT68" s="236"/>
      <c r="AU68" s="70">
        <f t="shared" si="4"/>
        <v>0</v>
      </c>
      <c r="AV68" s="71"/>
      <c r="AW68" s="72"/>
      <c r="AX68" s="107">
        <f t="shared" si="14"/>
        <v>403.26</v>
      </c>
    </row>
    <row r="69" spans="1:50" x14ac:dyDescent="0.25">
      <c r="A69" s="126"/>
      <c r="B69" s="12">
        <f t="shared" si="15"/>
        <v>52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6"/>
        <v>664.98</v>
      </c>
      <c r="K69" s="126"/>
      <c r="L69" s="12">
        <f t="shared" si="16"/>
        <v>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8"/>
        <v>0.19999999999998863</v>
      </c>
      <c r="V69" s="126"/>
      <c r="W69" s="12">
        <f t="shared" si="17"/>
        <v>0</v>
      </c>
      <c r="X69" s="15"/>
      <c r="Y69" s="60"/>
      <c r="Z69" s="236"/>
      <c r="AA69" s="70">
        <f t="shared" si="2"/>
        <v>0</v>
      </c>
      <c r="AB69" s="71"/>
      <c r="AC69" s="72"/>
      <c r="AD69" s="107">
        <f t="shared" si="10"/>
        <v>0</v>
      </c>
      <c r="AF69" s="126"/>
      <c r="AG69" s="12">
        <f t="shared" si="18"/>
        <v>66</v>
      </c>
      <c r="AH69" s="15"/>
      <c r="AI69" s="60"/>
      <c r="AJ69" s="236"/>
      <c r="AK69" s="70">
        <f t="shared" si="3"/>
        <v>0</v>
      </c>
      <c r="AL69" s="71"/>
      <c r="AM69" s="72"/>
      <c r="AN69" s="107">
        <f t="shared" si="12"/>
        <v>794.33</v>
      </c>
      <c r="AP69" s="126"/>
      <c r="AQ69" s="12">
        <f t="shared" si="19"/>
        <v>35</v>
      </c>
      <c r="AR69" s="15"/>
      <c r="AS69" s="60"/>
      <c r="AT69" s="236"/>
      <c r="AU69" s="70">
        <f t="shared" si="4"/>
        <v>0</v>
      </c>
      <c r="AV69" s="71"/>
      <c r="AW69" s="72"/>
      <c r="AX69" s="107">
        <f t="shared" si="14"/>
        <v>403.26</v>
      </c>
    </row>
    <row r="70" spans="1:50" x14ac:dyDescent="0.25">
      <c r="A70" s="126"/>
      <c r="B70" s="12">
        <f t="shared" si="15"/>
        <v>52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6"/>
        <v>664.98</v>
      </c>
      <c r="K70" s="126"/>
      <c r="L70" s="12">
        <f t="shared" si="16"/>
        <v>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8"/>
        <v>0.19999999999998863</v>
      </c>
      <c r="V70" s="126"/>
      <c r="W70" s="12">
        <f t="shared" si="17"/>
        <v>0</v>
      </c>
      <c r="X70" s="15"/>
      <c r="Y70" s="60"/>
      <c r="Z70" s="236"/>
      <c r="AA70" s="70">
        <f t="shared" si="2"/>
        <v>0</v>
      </c>
      <c r="AB70" s="71"/>
      <c r="AC70" s="72"/>
      <c r="AD70" s="107">
        <f t="shared" si="10"/>
        <v>0</v>
      </c>
      <c r="AF70" s="126"/>
      <c r="AG70" s="12">
        <f t="shared" si="18"/>
        <v>66</v>
      </c>
      <c r="AH70" s="15"/>
      <c r="AI70" s="60"/>
      <c r="AJ70" s="236"/>
      <c r="AK70" s="70">
        <f t="shared" si="3"/>
        <v>0</v>
      </c>
      <c r="AL70" s="71"/>
      <c r="AM70" s="72"/>
      <c r="AN70" s="107">
        <f t="shared" si="12"/>
        <v>794.33</v>
      </c>
      <c r="AP70" s="126"/>
      <c r="AQ70" s="12">
        <f t="shared" si="19"/>
        <v>35</v>
      </c>
      <c r="AR70" s="15"/>
      <c r="AS70" s="60"/>
      <c r="AT70" s="236"/>
      <c r="AU70" s="70">
        <f t="shared" si="4"/>
        <v>0</v>
      </c>
      <c r="AV70" s="71"/>
      <c r="AW70" s="72"/>
      <c r="AX70" s="107">
        <f t="shared" si="14"/>
        <v>403.26</v>
      </c>
    </row>
    <row r="71" spans="1:50" x14ac:dyDescent="0.25">
      <c r="A71" s="126"/>
      <c r="B71" s="12">
        <f t="shared" si="15"/>
        <v>52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6"/>
        <v>664.98</v>
      </c>
      <c r="K71" s="126"/>
      <c r="L71" s="12">
        <f t="shared" si="16"/>
        <v>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8"/>
        <v>0.19999999999998863</v>
      </c>
      <c r="V71" s="126"/>
      <c r="W71" s="12">
        <f t="shared" si="17"/>
        <v>0</v>
      </c>
      <c r="X71" s="15"/>
      <c r="Y71" s="60"/>
      <c r="Z71" s="236"/>
      <c r="AA71" s="70">
        <f t="shared" si="2"/>
        <v>0</v>
      </c>
      <c r="AB71" s="71"/>
      <c r="AC71" s="72"/>
      <c r="AD71" s="107">
        <f t="shared" si="10"/>
        <v>0</v>
      </c>
      <c r="AF71" s="126"/>
      <c r="AG71" s="12">
        <f t="shared" si="18"/>
        <v>66</v>
      </c>
      <c r="AH71" s="15"/>
      <c r="AI71" s="60"/>
      <c r="AJ71" s="236"/>
      <c r="AK71" s="70">
        <f t="shared" si="3"/>
        <v>0</v>
      </c>
      <c r="AL71" s="71"/>
      <c r="AM71" s="72"/>
      <c r="AN71" s="107">
        <f t="shared" si="12"/>
        <v>794.33</v>
      </c>
      <c r="AP71" s="126"/>
      <c r="AQ71" s="12">
        <f t="shared" si="19"/>
        <v>35</v>
      </c>
      <c r="AR71" s="15"/>
      <c r="AS71" s="60"/>
      <c r="AT71" s="236"/>
      <c r="AU71" s="70">
        <f t="shared" si="4"/>
        <v>0</v>
      </c>
      <c r="AV71" s="71"/>
      <c r="AW71" s="72"/>
      <c r="AX71" s="107">
        <f t="shared" si="14"/>
        <v>403.26</v>
      </c>
    </row>
    <row r="72" spans="1:50" x14ac:dyDescent="0.25">
      <c r="A72" s="126"/>
      <c r="B72" s="12">
        <f t="shared" si="15"/>
        <v>52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6"/>
        <v>664.98</v>
      </c>
      <c r="K72" s="126"/>
      <c r="L72" s="12">
        <f t="shared" si="16"/>
        <v>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8"/>
        <v>0.19999999999998863</v>
      </c>
      <c r="V72" s="126"/>
      <c r="W72" s="12">
        <f t="shared" si="17"/>
        <v>0</v>
      </c>
      <c r="X72" s="15"/>
      <c r="Y72" s="60"/>
      <c r="Z72" s="236"/>
      <c r="AA72" s="70">
        <f t="shared" si="2"/>
        <v>0</v>
      </c>
      <c r="AB72" s="71"/>
      <c r="AC72" s="72"/>
      <c r="AD72" s="107">
        <f t="shared" si="10"/>
        <v>0</v>
      </c>
      <c r="AF72" s="126"/>
      <c r="AG72" s="12">
        <f t="shared" si="18"/>
        <v>66</v>
      </c>
      <c r="AH72" s="15"/>
      <c r="AI72" s="60"/>
      <c r="AJ72" s="236"/>
      <c r="AK72" s="70">
        <f t="shared" si="3"/>
        <v>0</v>
      </c>
      <c r="AL72" s="71"/>
      <c r="AM72" s="72"/>
      <c r="AN72" s="107">
        <f t="shared" si="12"/>
        <v>794.33</v>
      </c>
      <c r="AP72" s="126"/>
      <c r="AQ72" s="12">
        <f t="shared" si="19"/>
        <v>35</v>
      </c>
      <c r="AR72" s="15"/>
      <c r="AS72" s="60"/>
      <c r="AT72" s="236"/>
      <c r="AU72" s="70">
        <f t="shared" si="4"/>
        <v>0</v>
      </c>
      <c r="AV72" s="71"/>
      <c r="AW72" s="72"/>
      <c r="AX72" s="107">
        <f t="shared" si="14"/>
        <v>403.26</v>
      </c>
    </row>
    <row r="73" spans="1:50" x14ac:dyDescent="0.25">
      <c r="A73" s="126"/>
      <c r="B73" s="12">
        <f t="shared" si="15"/>
        <v>52</v>
      </c>
      <c r="C73" s="15"/>
      <c r="D73" s="60"/>
      <c r="E73" s="236"/>
      <c r="F73" s="70">
        <f t="shared" ref="F73" si="20">D73</f>
        <v>0</v>
      </c>
      <c r="G73" s="71"/>
      <c r="H73" s="72"/>
      <c r="I73" s="107">
        <f t="shared" si="6"/>
        <v>664.98</v>
      </c>
      <c r="K73" s="126"/>
      <c r="L73" s="12">
        <f t="shared" si="16"/>
        <v>0</v>
      </c>
      <c r="M73" s="15"/>
      <c r="N73" s="60"/>
      <c r="O73" s="236"/>
      <c r="P73" s="70">
        <f t="shared" ref="P73" si="21">N73</f>
        <v>0</v>
      </c>
      <c r="Q73" s="71"/>
      <c r="R73" s="72"/>
      <c r="S73" s="107">
        <f t="shared" si="8"/>
        <v>0.19999999999998863</v>
      </c>
      <c r="V73" s="126"/>
      <c r="W73" s="12">
        <f t="shared" si="17"/>
        <v>0</v>
      </c>
      <c r="X73" s="15"/>
      <c r="Y73" s="60"/>
      <c r="Z73" s="236"/>
      <c r="AA73" s="70">
        <f t="shared" ref="AA73" si="22">Y73</f>
        <v>0</v>
      </c>
      <c r="AB73" s="71"/>
      <c r="AC73" s="72"/>
      <c r="AD73" s="107">
        <f t="shared" si="10"/>
        <v>0</v>
      </c>
      <c r="AF73" s="126"/>
      <c r="AG73" s="12">
        <f t="shared" si="18"/>
        <v>66</v>
      </c>
      <c r="AH73" s="15"/>
      <c r="AI73" s="60"/>
      <c r="AJ73" s="236"/>
      <c r="AK73" s="70">
        <f t="shared" ref="AK73" si="23">AI73</f>
        <v>0</v>
      </c>
      <c r="AL73" s="71"/>
      <c r="AM73" s="72"/>
      <c r="AN73" s="107">
        <f t="shared" si="12"/>
        <v>794.33</v>
      </c>
      <c r="AP73" s="126"/>
      <c r="AQ73" s="12">
        <f t="shared" si="19"/>
        <v>35</v>
      </c>
      <c r="AR73" s="15"/>
      <c r="AS73" s="60"/>
      <c r="AT73" s="236"/>
      <c r="AU73" s="70">
        <f t="shared" ref="AU73" si="24">AS73</f>
        <v>0</v>
      </c>
      <c r="AV73" s="71"/>
      <c r="AW73" s="72"/>
      <c r="AX73" s="107">
        <f t="shared" si="14"/>
        <v>403.26</v>
      </c>
    </row>
    <row r="74" spans="1:50" x14ac:dyDescent="0.25">
      <c r="A74" s="126"/>
      <c r="B74" s="12">
        <f t="shared" si="15"/>
        <v>52</v>
      </c>
      <c r="C74" s="15"/>
      <c r="D74" s="60"/>
      <c r="E74" s="236"/>
      <c r="F74" s="70">
        <f>D74</f>
        <v>0</v>
      </c>
      <c r="G74" s="71"/>
      <c r="H74" s="72"/>
      <c r="I74" s="107">
        <f t="shared" si="6"/>
        <v>664.98</v>
      </c>
      <c r="K74" s="126"/>
      <c r="L74" s="12">
        <f t="shared" si="16"/>
        <v>0</v>
      </c>
      <c r="M74" s="15"/>
      <c r="N74" s="60"/>
      <c r="O74" s="236"/>
      <c r="P74" s="70">
        <f>N74</f>
        <v>0</v>
      </c>
      <c r="Q74" s="71"/>
      <c r="R74" s="72"/>
      <c r="S74" s="107">
        <f t="shared" si="8"/>
        <v>0.19999999999998863</v>
      </c>
      <c r="V74" s="126"/>
      <c r="W74" s="12">
        <f t="shared" si="17"/>
        <v>0</v>
      </c>
      <c r="X74" s="15"/>
      <c r="Y74" s="60"/>
      <c r="Z74" s="236"/>
      <c r="AA74" s="70">
        <f>Y74</f>
        <v>0</v>
      </c>
      <c r="AB74" s="71"/>
      <c r="AC74" s="72"/>
      <c r="AD74" s="107">
        <f t="shared" si="10"/>
        <v>0</v>
      </c>
      <c r="AF74" s="126"/>
      <c r="AG74" s="12">
        <f t="shared" si="18"/>
        <v>66</v>
      </c>
      <c r="AH74" s="15"/>
      <c r="AI74" s="60"/>
      <c r="AJ74" s="236"/>
      <c r="AK74" s="70">
        <f>AI74</f>
        <v>0</v>
      </c>
      <c r="AL74" s="71"/>
      <c r="AM74" s="72"/>
      <c r="AN74" s="107">
        <f t="shared" si="12"/>
        <v>794.33</v>
      </c>
      <c r="AP74" s="126"/>
      <c r="AQ74" s="12">
        <f t="shared" si="19"/>
        <v>35</v>
      </c>
      <c r="AR74" s="15"/>
      <c r="AS74" s="60"/>
      <c r="AT74" s="236"/>
      <c r="AU74" s="70">
        <f>AS74</f>
        <v>0</v>
      </c>
      <c r="AV74" s="71"/>
      <c r="AW74" s="72"/>
      <c r="AX74" s="107">
        <f t="shared" si="14"/>
        <v>403.26</v>
      </c>
    </row>
    <row r="75" spans="1:50" x14ac:dyDescent="0.25">
      <c r="A75" s="126"/>
      <c r="B75" s="12">
        <f t="shared" si="15"/>
        <v>52</v>
      </c>
      <c r="C75" s="15"/>
      <c r="D75" s="60"/>
      <c r="E75" s="236"/>
      <c r="F75" s="70">
        <f>D75</f>
        <v>0</v>
      </c>
      <c r="G75" s="71"/>
      <c r="H75" s="72"/>
      <c r="I75" s="107">
        <f t="shared" ref="I75:I76" si="25">I74-F75</f>
        <v>664.98</v>
      </c>
      <c r="K75" s="126"/>
      <c r="L75" s="12">
        <f t="shared" si="16"/>
        <v>0</v>
      </c>
      <c r="M75" s="15"/>
      <c r="N75" s="60"/>
      <c r="O75" s="236"/>
      <c r="P75" s="70">
        <f>N75</f>
        <v>0</v>
      </c>
      <c r="Q75" s="71"/>
      <c r="R75" s="72"/>
      <c r="S75" s="107">
        <f t="shared" ref="S75:S76" si="26">S74-P75</f>
        <v>0.19999999999998863</v>
      </c>
      <c r="V75" s="126"/>
      <c r="W75" s="12">
        <f t="shared" si="17"/>
        <v>0</v>
      </c>
      <c r="X75" s="15"/>
      <c r="Y75" s="60"/>
      <c r="Z75" s="236"/>
      <c r="AA75" s="70">
        <f>Y75</f>
        <v>0</v>
      </c>
      <c r="AB75" s="71"/>
      <c r="AC75" s="72"/>
      <c r="AD75" s="107">
        <f t="shared" ref="AD75:AD76" si="27">AD74-AA75</f>
        <v>0</v>
      </c>
      <c r="AF75" s="126"/>
      <c r="AG75" s="12">
        <f t="shared" si="18"/>
        <v>66</v>
      </c>
      <c r="AH75" s="15"/>
      <c r="AI75" s="60"/>
      <c r="AJ75" s="236"/>
      <c r="AK75" s="70">
        <f>AI75</f>
        <v>0</v>
      </c>
      <c r="AL75" s="71"/>
      <c r="AM75" s="72"/>
      <c r="AN75" s="107">
        <f t="shared" ref="AN75:AN76" si="28">AN74-AK75</f>
        <v>794.33</v>
      </c>
      <c r="AP75" s="126"/>
      <c r="AQ75" s="12">
        <f t="shared" si="19"/>
        <v>35</v>
      </c>
      <c r="AR75" s="15"/>
      <c r="AS75" s="60"/>
      <c r="AT75" s="236"/>
      <c r="AU75" s="70">
        <f>AS75</f>
        <v>0</v>
      </c>
      <c r="AV75" s="71"/>
      <c r="AW75" s="72"/>
      <c r="AX75" s="107">
        <f t="shared" ref="AX75:AX76" si="29">AX74-AU75</f>
        <v>403.26</v>
      </c>
    </row>
    <row r="76" spans="1:50" x14ac:dyDescent="0.25">
      <c r="A76" s="126"/>
      <c r="C76" s="15"/>
      <c r="D76" s="60"/>
      <c r="E76" s="236"/>
      <c r="F76" s="70">
        <f>D76</f>
        <v>0</v>
      </c>
      <c r="G76" s="71"/>
      <c r="H76" s="72"/>
      <c r="I76" s="107">
        <f t="shared" si="25"/>
        <v>664.98</v>
      </c>
      <c r="K76" s="126"/>
      <c r="M76" s="15"/>
      <c r="N76" s="60"/>
      <c r="O76" s="236"/>
      <c r="P76" s="70">
        <f>N76</f>
        <v>0</v>
      </c>
      <c r="Q76" s="71"/>
      <c r="R76" s="72"/>
      <c r="S76" s="107">
        <f t="shared" si="26"/>
        <v>0.19999999999998863</v>
      </c>
      <c r="V76" s="126"/>
      <c r="X76" s="15"/>
      <c r="Y76" s="60"/>
      <c r="Z76" s="236"/>
      <c r="AA76" s="70">
        <f>Y76</f>
        <v>0</v>
      </c>
      <c r="AB76" s="71"/>
      <c r="AC76" s="72"/>
      <c r="AD76" s="107">
        <f t="shared" si="27"/>
        <v>0</v>
      </c>
      <c r="AF76" s="126"/>
      <c r="AH76" s="15"/>
      <c r="AI76" s="60"/>
      <c r="AJ76" s="236"/>
      <c r="AK76" s="70">
        <f>AI76</f>
        <v>0</v>
      </c>
      <c r="AL76" s="71"/>
      <c r="AM76" s="72"/>
      <c r="AN76" s="107">
        <f t="shared" si="28"/>
        <v>794.33</v>
      </c>
      <c r="AP76" s="126"/>
      <c r="AR76" s="15"/>
      <c r="AS76" s="60"/>
      <c r="AT76" s="236"/>
      <c r="AU76" s="70">
        <f>AS76</f>
        <v>0</v>
      </c>
      <c r="AV76" s="71"/>
      <c r="AW76" s="72"/>
      <c r="AX76" s="107">
        <f t="shared" si="29"/>
        <v>403.26</v>
      </c>
    </row>
    <row r="77" spans="1:50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V77" s="126"/>
      <c r="W77" s="16"/>
      <c r="X77" s="52"/>
      <c r="Y77" s="109"/>
      <c r="Z77" s="219"/>
      <c r="AA77" s="105"/>
      <c r="AB77" s="106"/>
      <c r="AC77" s="61"/>
      <c r="AF77" s="126"/>
      <c r="AG77" s="16"/>
      <c r="AH77" s="52"/>
      <c r="AI77" s="109"/>
      <c r="AJ77" s="219"/>
      <c r="AK77" s="105"/>
      <c r="AL77" s="106"/>
      <c r="AM77" s="61"/>
      <c r="AP77" s="126"/>
      <c r="AQ77" s="16"/>
      <c r="AR77" s="52"/>
      <c r="AS77" s="109"/>
      <c r="AT77" s="219"/>
      <c r="AU77" s="105"/>
      <c r="AV77" s="106"/>
      <c r="AW77" s="61"/>
    </row>
    <row r="78" spans="1:50" x14ac:dyDescent="0.25">
      <c r="C78" s="53">
        <f>SUM(C9:C77)</f>
        <v>55</v>
      </c>
      <c r="D78" s="6">
        <f>SUM(D9:D77)</f>
        <v>700.4</v>
      </c>
      <c r="F78" s="6">
        <f>SUM(F9:F77)</f>
        <v>700.4</v>
      </c>
      <c r="M78" s="53">
        <f>SUM(M9:M77)</f>
        <v>138.5</v>
      </c>
      <c r="N78" s="6">
        <f>SUM(N9:N77)</f>
        <v>1638.44</v>
      </c>
      <c r="P78" s="6">
        <f>SUM(P9:P77)</f>
        <v>1638.44</v>
      </c>
      <c r="X78" s="53">
        <f>SUM(X9:X77)</f>
        <v>65</v>
      </c>
      <c r="Y78" s="6">
        <f>SUM(Y9:Y77)</f>
        <v>783.15999999999985</v>
      </c>
      <c r="AA78" s="6">
        <f>SUM(AA9:AA77)</f>
        <v>783.15999999999985</v>
      </c>
      <c r="AH78" s="53">
        <f>SUM(AH9:AH77)</f>
        <v>17</v>
      </c>
      <c r="AI78" s="6">
        <f>SUM(AI9:AI77)</f>
        <v>207.82</v>
      </c>
      <c r="AK78" s="6">
        <f>SUM(AK9:AK77)</f>
        <v>207.82</v>
      </c>
      <c r="AR78" s="53">
        <f>SUM(AR9:AR77)</f>
        <v>15</v>
      </c>
      <c r="AS78" s="6">
        <f>SUM(AS9:AS77)</f>
        <v>170.4</v>
      </c>
      <c r="AU78" s="6">
        <f>SUM(AU9:AU77)</f>
        <v>170.4</v>
      </c>
    </row>
    <row r="80" spans="1:50" ht="15.75" thickBot="1" x14ac:dyDescent="0.3"/>
    <row r="81" spans="3:47" ht="15.75" thickBot="1" x14ac:dyDescent="0.3">
      <c r="D81" s="45" t="s">
        <v>4</v>
      </c>
      <c r="E81" s="57">
        <f>F5+F6-C78+F7</f>
        <v>52</v>
      </c>
      <c r="N81" s="45" t="s">
        <v>4</v>
      </c>
      <c r="O81" s="57">
        <f>P5+P6-M78+P7</f>
        <v>0</v>
      </c>
      <c r="Y81" s="45" t="s">
        <v>4</v>
      </c>
      <c r="Z81" s="57">
        <f>AA5+AA6-X78+AA7</f>
        <v>0</v>
      </c>
      <c r="AI81" s="45" t="s">
        <v>4</v>
      </c>
      <c r="AJ81" s="57">
        <f>AK5+AK6-AH78+AK7</f>
        <v>66</v>
      </c>
      <c r="AS81" s="45" t="s">
        <v>4</v>
      </c>
      <c r="AT81" s="57">
        <f>AU5+AU6-AR78+AU7</f>
        <v>35</v>
      </c>
    </row>
    <row r="82" spans="3:47" ht="15.75" thickBot="1" x14ac:dyDescent="0.3"/>
    <row r="83" spans="3:47" ht="15.75" thickBot="1" x14ac:dyDescent="0.3">
      <c r="C83" s="1170" t="s">
        <v>11</v>
      </c>
      <c r="D83" s="1171"/>
      <c r="E83" s="58">
        <f>E5+E6-F78+E7</f>
        <v>664.98000000000013</v>
      </c>
      <c r="F83" s="74"/>
      <c r="M83" s="1170" t="s">
        <v>11</v>
      </c>
      <c r="N83" s="1171"/>
      <c r="O83" s="58">
        <f>O5+O6-P78+O7</f>
        <v>0.19999999999993179</v>
      </c>
      <c r="P83" s="74"/>
      <c r="X83" s="1170" t="s">
        <v>11</v>
      </c>
      <c r="Y83" s="1171"/>
      <c r="Z83" s="58">
        <f>Z5+Z6-AA78+Z7</f>
        <v>0</v>
      </c>
      <c r="AA83" s="74"/>
      <c r="AH83" s="1170" t="s">
        <v>11</v>
      </c>
      <c r="AI83" s="1171"/>
      <c r="AJ83" s="58">
        <f>AJ5+AJ6-AK78+AJ7</f>
        <v>794.33000000000015</v>
      </c>
      <c r="AK83" s="74"/>
      <c r="AR83" s="1170" t="s">
        <v>11</v>
      </c>
      <c r="AS83" s="1171"/>
      <c r="AT83" s="58">
        <f>AT5+AT6-AU78+AT7</f>
        <v>403.26</v>
      </c>
      <c r="AU83" s="74"/>
    </row>
  </sheetData>
  <sortState ref="M5:P7">
    <sortCondition ref="N5:N7"/>
  </sortState>
  <mergeCells count="15">
    <mergeCell ref="AP1:AV1"/>
    <mergeCell ref="AQ5:AQ6"/>
    <mergeCell ref="AR83:AS83"/>
    <mergeCell ref="AF1:AL1"/>
    <mergeCell ref="AG5:AG6"/>
    <mergeCell ref="AH83:AI83"/>
    <mergeCell ref="C83:D83"/>
    <mergeCell ref="M83:N83"/>
    <mergeCell ref="X83:Y83"/>
    <mergeCell ref="A1:G1"/>
    <mergeCell ref="K1:Q1"/>
    <mergeCell ref="V1:AB1"/>
    <mergeCell ref="B5:B6"/>
    <mergeCell ref="L5:L6"/>
    <mergeCell ref="W5:W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C18" sqref="C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  <col min="11" max="11" width="32.42578125" bestFit="1" customWidth="1"/>
    <col min="12" max="12" width="17.7109375" style="74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72" t="s">
        <v>254</v>
      </c>
      <c r="B1" s="1172"/>
      <c r="C1" s="1172"/>
      <c r="D1" s="1172"/>
      <c r="E1" s="1172"/>
      <c r="F1" s="1172"/>
      <c r="G1" s="1172"/>
      <c r="H1" s="11">
        <v>1</v>
      </c>
      <c r="K1" s="1162" t="s">
        <v>246</v>
      </c>
      <c r="L1" s="1162"/>
      <c r="M1" s="1162"/>
      <c r="N1" s="1162"/>
      <c r="O1" s="1162"/>
      <c r="P1" s="1162"/>
      <c r="Q1" s="1162"/>
      <c r="R1" s="378">
        <v>1</v>
      </c>
      <c r="S1" s="631"/>
    </row>
    <row r="2" spans="1:20" ht="15.75" thickBot="1" x14ac:dyDescent="0.3">
      <c r="K2" s="76"/>
      <c r="L2" s="76"/>
      <c r="M2" s="76"/>
      <c r="N2" s="76"/>
      <c r="O2" s="76"/>
      <c r="P2" s="76"/>
      <c r="Q2" s="76"/>
      <c r="R2" s="76"/>
      <c r="S2" s="627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8" t="s">
        <v>20</v>
      </c>
      <c r="R3" s="387" t="s">
        <v>6</v>
      </c>
      <c r="S3" s="632"/>
    </row>
    <row r="4" spans="1:20" ht="15.75" customHeight="1" thickTop="1" x14ac:dyDescent="0.25">
      <c r="B4" s="1237" t="s">
        <v>72</v>
      </c>
      <c r="C4" s="132"/>
      <c r="D4" s="141"/>
      <c r="E4" s="87"/>
      <c r="F4" s="74"/>
      <c r="G4" s="475"/>
      <c r="K4" s="76"/>
      <c r="L4" s="76"/>
      <c r="M4" s="624"/>
      <c r="N4" s="261"/>
      <c r="O4" s="259"/>
      <c r="P4" s="256"/>
      <c r="Q4" s="1033"/>
      <c r="R4" s="159"/>
      <c r="S4" s="636"/>
    </row>
    <row r="5" spans="1:20" ht="15" customHeight="1" x14ac:dyDescent="0.25">
      <c r="A5" s="74" t="s">
        <v>67</v>
      </c>
      <c r="B5" s="1238"/>
      <c r="C5" s="132">
        <v>70</v>
      </c>
      <c r="D5" s="141">
        <v>44517</v>
      </c>
      <c r="E5" s="107">
        <v>504</v>
      </c>
      <c r="F5" s="74">
        <v>21</v>
      </c>
      <c r="G5" s="48">
        <f>F33</f>
        <v>51.36</v>
      </c>
      <c r="H5" s="144">
        <f>E5-G5+E4+E6+E7</f>
        <v>1442.27</v>
      </c>
      <c r="K5" s="1032" t="s">
        <v>67</v>
      </c>
      <c r="L5" s="1239" t="s">
        <v>337</v>
      </c>
      <c r="M5" s="338">
        <v>73</v>
      </c>
      <c r="N5" s="261">
        <v>44547</v>
      </c>
      <c r="O5" s="255">
        <v>577.95000000000005</v>
      </c>
      <c r="P5" s="256">
        <v>20</v>
      </c>
      <c r="Q5" s="254">
        <f>P30</f>
        <v>0</v>
      </c>
      <c r="R5" s="144">
        <f>O5-Q5</f>
        <v>577.95000000000005</v>
      </c>
      <c r="S5" s="633"/>
    </row>
    <row r="6" spans="1:20" ht="15.75" thickBot="1" x14ac:dyDescent="0.3">
      <c r="C6" s="132">
        <v>71</v>
      </c>
      <c r="D6" s="141">
        <v>44519</v>
      </c>
      <c r="E6" s="76">
        <v>989.63</v>
      </c>
      <c r="F6" s="74">
        <v>40</v>
      </c>
      <c r="G6" s="74"/>
      <c r="K6" s="263"/>
      <c r="L6" s="1240"/>
      <c r="M6" s="627"/>
      <c r="N6" s="261"/>
      <c r="O6" s="76"/>
      <c r="P6" s="74"/>
      <c r="Q6" s="256"/>
      <c r="R6" s="255"/>
      <c r="S6" s="338"/>
    </row>
    <row r="7" spans="1:20" ht="14.25" customHeight="1" thickBot="1" x14ac:dyDescent="0.3">
      <c r="A7" s="332"/>
      <c r="B7" s="24"/>
      <c r="C7" s="570"/>
      <c r="D7" s="425"/>
      <c r="E7" s="107"/>
      <c r="F7" s="74"/>
      <c r="G7" s="74"/>
      <c r="K7" s="263"/>
      <c r="L7" s="806"/>
      <c r="M7" s="627"/>
      <c r="N7" s="261"/>
      <c r="O7" s="76"/>
      <c r="P7" s="74"/>
      <c r="Q7" s="256"/>
      <c r="R7" s="255"/>
      <c r="S7" s="338"/>
    </row>
    <row r="8" spans="1:20" ht="16.5" thickTop="1" thickBot="1" x14ac:dyDescent="0.3">
      <c r="B8" s="24" t="s">
        <v>7</v>
      </c>
      <c r="C8" s="555" t="s">
        <v>8</v>
      </c>
      <c r="D8" s="556" t="s">
        <v>3</v>
      </c>
      <c r="E8" s="23" t="s">
        <v>2</v>
      </c>
      <c r="F8" s="26" t="s">
        <v>18</v>
      </c>
      <c r="G8" s="10" t="s">
        <v>15</v>
      </c>
      <c r="H8" s="24"/>
      <c r="I8" s="504" t="s">
        <v>69</v>
      </c>
      <c r="K8" s="76"/>
      <c r="L8" s="397" t="s">
        <v>7</v>
      </c>
      <c r="M8" s="392" t="s">
        <v>8</v>
      </c>
      <c r="N8" s="393" t="s">
        <v>17</v>
      </c>
      <c r="O8" s="394" t="s">
        <v>2</v>
      </c>
      <c r="P8" s="386" t="s">
        <v>18</v>
      </c>
      <c r="Q8" s="395" t="s">
        <v>15</v>
      </c>
      <c r="R8" s="396"/>
      <c r="S8" s="634"/>
    </row>
    <row r="9" spans="1:20" ht="15.75" thickTop="1" x14ac:dyDescent="0.25">
      <c r="A9" s="56"/>
      <c r="B9" s="297">
        <f>F4+F5+F6+F7-C9</f>
        <v>59</v>
      </c>
      <c r="C9" s="15">
        <v>2</v>
      </c>
      <c r="D9" s="707">
        <v>51.36</v>
      </c>
      <c r="E9" s="710">
        <v>44563</v>
      </c>
      <c r="F9" s="292">
        <f>D9</f>
        <v>51.36</v>
      </c>
      <c r="G9" s="334" t="s">
        <v>679</v>
      </c>
      <c r="H9" s="279">
        <v>71</v>
      </c>
      <c r="I9" s="283">
        <f>E6+E5+E4-F9+E7</f>
        <v>1442.2700000000002</v>
      </c>
      <c r="K9" s="62"/>
      <c r="L9" s="205">
        <f>P4+P5+P6-M9+P7</f>
        <v>20</v>
      </c>
      <c r="M9" s="15"/>
      <c r="N9" s="70">
        <v>0</v>
      </c>
      <c r="O9" s="357"/>
      <c r="P9" s="292">
        <f>N9</f>
        <v>0</v>
      </c>
      <c r="Q9" s="71"/>
      <c r="R9" s="72"/>
      <c r="S9" s="627">
        <f>O4+O5+O6-P9+O7</f>
        <v>577.95000000000005</v>
      </c>
      <c r="T9" s="61">
        <f>R9*P9</f>
        <v>0</v>
      </c>
    </row>
    <row r="10" spans="1:20" x14ac:dyDescent="0.25">
      <c r="A10" s="76"/>
      <c r="B10" s="502">
        <f>B9-C10</f>
        <v>59</v>
      </c>
      <c r="C10" s="459"/>
      <c r="D10" s="720"/>
      <c r="E10" s="711"/>
      <c r="F10" s="460">
        <f t="shared" ref="F10:F29" si="0">D10</f>
        <v>0</v>
      </c>
      <c r="G10" s="492"/>
      <c r="H10" s="647"/>
      <c r="I10" s="283">
        <f>I9-F10</f>
        <v>1442.2700000000002</v>
      </c>
      <c r="J10" s="253"/>
      <c r="K10" s="76"/>
      <c r="L10" s="205">
        <f>L9-M10</f>
        <v>20</v>
      </c>
      <c r="M10" s="15"/>
      <c r="N10" s="70">
        <v>0</v>
      </c>
      <c r="O10" s="545"/>
      <c r="P10" s="292">
        <f t="shared" ref="P10:P29" si="1">N10</f>
        <v>0</v>
      </c>
      <c r="Q10" s="278"/>
      <c r="R10" s="279"/>
      <c r="S10" s="338">
        <f>S9-P10</f>
        <v>577.95000000000005</v>
      </c>
      <c r="T10" s="61">
        <f t="shared" ref="T10:T28" si="2">R10*P10</f>
        <v>0</v>
      </c>
    </row>
    <row r="11" spans="1:20" x14ac:dyDescent="0.25">
      <c r="A11" s="76"/>
      <c r="B11" s="502">
        <f t="shared" ref="B11:B29" si="3">B10-C11</f>
        <v>59</v>
      </c>
      <c r="C11" s="459"/>
      <c r="D11" s="720"/>
      <c r="E11" s="746"/>
      <c r="F11" s="460">
        <f t="shared" si="0"/>
        <v>0</v>
      </c>
      <c r="G11" s="492"/>
      <c r="H11" s="647"/>
      <c r="I11" s="283">
        <f t="shared" ref="I11:I29" si="4">I10-F11</f>
        <v>1442.2700000000002</v>
      </c>
      <c r="J11" s="253"/>
      <c r="K11" s="76"/>
      <c r="L11" s="205">
        <f t="shared" ref="L11:L29" si="5">L10-M11</f>
        <v>20</v>
      </c>
      <c r="M11" s="15"/>
      <c r="N11" s="70">
        <v>0</v>
      </c>
      <c r="O11" s="545"/>
      <c r="P11" s="292">
        <f t="shared" si="1"/>
        <v>0</v>
      </c>
      <c r="Q11" s="278"/>
      <c r="R11" s="279"/>
      <c r="S11" s="338">
        <f t="shared" ref="S11:S27" si="6">S10-P11</f>
        <v>577.95000000000005</v>
      </c>
      <c r="T11" s="61">
        <f t="shared" si="2"/>
        <v>0</v>
      </c>
    </row>
    <row r="12" spans="1:20" x14ac:dyDescent="0.25">
      <c r="A12" s="56"/>
      <c r="B12" s="502">
        <f t="shared" si="3"/>
        <v>59</v>
      </c>
      <c r="C12" s="459"/>
      <c r="D12" s="720"/>
      <c r="E12" s="746"/>
      <c r="F12" s="460">
        <f t="shared" si="0"/>
        <v>0</v>
      </c>
      <c r="G12" s="492"/>
      <c r="H12" s="647"/>
      <c r="I12" s="283">
        <f t="shared" si="4"/>
        <v>1442.2700000000002</v>
      </c>
      <c r="J12" s="253"/>
      <c r="K12" s="62"/>
      <c r="L12" s="205">
        <f t="shared" si="5"/>
        <v>20</v>
      </c>
      <c r="M12" s="15"/>
      <c r="N12" s="70">
        <v>0</v>
      </c>
      <c r="O12" s="545"/>
      <c r="P12" s="292">
        <f t="shared" si="1"/>
        <v>0</v>
      </c>
      <c r="Q12" s="278"/>
      <c r="R12" s="279"/>
      <c r="S12" s="338">
        <f t="shared" si="6"/>
        <v>577.95000000000005</v>
      </c>
      <c r="T12" s="61">
        <f t="shared" si="2"/>
        <v>0</v>
      </c>
    </row>
    <row r="13" spans="1:20" x14ac:dyDescent="0.25">
      <c r="A13" s="76"/>
      <c r="B13" s="502">
        <f t="shared" si="3"/>
        <v>59</v>
      </c>
      <c r="C13" s="459"/>
      <c r="D13" s="720"/>
      <c r="E13" s="746"/>
      <c r="F13" s="460">
        <f t="shared" si="0"/>
        <v>0</v>
      </c>
      <c r="G13" s="492"/>
      <c r="H13" s="647"/>
      <c r="I13" s="283">
        <f t="shared" si="4"/>
        <v>1442.2700000000002</v>
      </c>
      <c r="J13" s="253"/>
      <c r="K13" s="76"/>
      <c r="L13" s="205">
        <f t="shared" si="5"/>
        <v>20</v>
      </c>
      <c r="M13" s="15"/>
      <c r="N13" s="70">
        <v>0</v>
      </c>
      <c r="O13" s="545"/>
      <c r="P13" s="292">
        <f t="shared" si="1"/>
        <v>0</v>
      </c>
      <c r="Q13" s="278"/>
      <c r="R13" s="279"/>
      <c r="S13" s="338">
        <f t="shared" si="6"/>
        <v>577.95000000000005</v>
      </c>
      <c r="T13" s="61">
        <f t="shared" si="2"/>
        <v>0</v>
      </c>
    </row>
    <row r="14" spans="1:20" x14ac:dyDescent="0.25">
      <c r="A14" s="76"/>
      <c r="B14" s="502">
        <f t="shared" si="3"/>
        <v>59</v>
      </c>
      <c r="C14" s="459"/>
      <c r="D14" s="720"/>
      <c r="E14" s="711"/>
      <c r="F14" s="460">
        <f t="shared" si="0"/>
        <v>0</v>
      </c>
      <c r="G14" s="492"/>
      <c r="H14" s="647"/>
      <c r="I14" s="283">
        <f t="shared" si="4"/>
        <v>1442.2700000000002</v>
      </c>
      <c r="J14" s="253"/>
      <c r="K14" s="76"/>
      <c r="L14" s="205">
        <f t="shared" si="5"/>
        <v>20</v>
      </c>
      <c r="M14" s="15"/>
      <c r="N14" s="70">
        <v>0</v>
      </c>
      <c r="O14" s="545"/>
      <c r="P14" s="292">
        <f t="shared" si="1"/>
        <v>0</v>
      </c>
      <c r="Q14" s="278"/>
      <c r="R14" s="279"/>
      <c r="S14" s="338">
        <f t="shared" si="6"/>
        <v>577.95000000000005</v>
      </c>
      <c r="T14" s="61">
        <f t="shared" si="2"/>
        <v>0</v>
      </c>
    </row>
    <row r="15" spans="1:20" x14ac:dyDescent="0.25">
      <c r="B15" s="502">
        <f t="shared" si="3"/>
        <v>59</v>
      </c>
      <c r="C15" s="459"/>
      <c r="D15" s="720"/>
      <c r="E15" s="711"/>
      <c r="F15" s="460">
        <f t="shared" si="0"/>
        <v>0</v>
      </c>
      <c r="G15" s="492"/>
      <c r="H15" s="647"/>
      <c r="I15" s="283">
        <f t="shared" si="4"/>
        <v>1442.2700000000002</v>
      </c>
      <c r="J15" s="253"/>
      <c r="K15" s="76"/>
      <c r="L15" s="205">
        <f t="shared" si="5"/>
        <v>20</v>
      </c>
      <c r="M15" s="15"/>
      <c r="N15" s="70">
        <v>0</v>
      </c>
      <c r="O15" s="357"/>
      <c r="P15" s="292">
        <f t="shared" si="1"/>
        <v>0</v>
      </c>
      <c r="Q15" s="278"/>
      <c r="R15" s="279"/>
      <c r="S15" s="338">
        <f t="shared" si="6"/>
        <v>577.95000000000005</v>
      </c>
      <c r="T15" s="61">
        <f t="shared" si="2"/>
        <v>0</v>
      </c>
    </row>
    <row r="16" spans="1:20" x14ac:dyDescent="0.25">
      <c r="B16" s="502">
        <f t="shared" si="3"/>
        <v>59</v>
      </c>
      <c r="C16" s="459"/>
      <c r="D16" s="720"/>
      <c r="E16" s="711"/>
      <c r="F16" s="460">
        <f t="shared" si="0"/>
        <v>0</v>
      </c>
      <c r="G16" s="492"/>
      <c r="H16" s="647"/>
      <c r="I16" s="283">
        <f t="shared" si="4"/>
        <v>1442.2700000000002</v>
      </c>
      <c r="J16" s="253"/>
      <c r="K16" s="76"/>
      <c r="L16" s="205">
        <f t="shared" si="5"/>
        <v>20</v>
      </c>
      <c r="M16" s="15"/>
      <c r="N16" s="70">
        <v>0</v>
      </c>
      <c r="O16" s="357"/>
      <c r="P16" s="292">
        <f t="shared" si="1"/>
        <v>0</v>
      </c>
      <c r="Q16" s="278"/>
      <c r="R16" s="279"/>
      <c r="S16" s="338">
        <f t="shared" si="6"/>
        <v>577.95000000000005</v>
      </c>
      <c r="T16" s="61">
        <f t="shared" si="2"/>
        <v>0</v>
      </c>
    </row>
    <row r="17" spans="2:20" x14ac:dyDescent="0.25">
      <c r="B17" s="502">
        <f t="shared" si="3"/>
        <v>59</v>
      </c>
      <c r="C17" s="459"/>
      <c r="D17" s="720"/>
      <c r="E17" s="712"/>
      <c r="F17" s="460">
        <f t="shared" si="0"/>
        <v>0</v>
      </c>
      <c r="G17" s="492"/>
      <c r="H17" s="647"/>
      <c r="I17" s="283">
        <f t="shared" si="4"/>
        <v>1442.2700000000002</v>
      </c>
      <c r="J17" s="253"/>
      <c r="K17" s="76"/>
      <c r="L17" s="205">
        <f t="shared" si="5"/>
        <v>20</v>
      </c>
      <c r="M17" s="15"/>
      <c r="N17" s="70">
        <v>0</v>
      </c>
      <c r="O17" s="357"/>
      <c r="P17" s="292">
        <f t="shared" si="1"/>
        <v>0</v>
      </c>
      <c r="Q17" s="278"/>
      <c r="R17" s="279"/>
      <c r="S17" s="338">
        <f t="shared" si="6"/>
        <v>577.95000000000005</v>
      </c>
      <c r="T17" s="61">
        <f t="shared" si="2"/>
        <v>0</v>
      </c>
    </row>
    <row r="18" spans="2:20" x14ac:dyDescent="0.25">
      <c r="B18" s="502">
        <f t="shared" si="3"/>
        <v>59</v>
      </c>
      <c r="C18" s="459"/>
      <c r="D18" s="720"/>
      <c r="E18" s="712"/>
      <c r="F18" s="460">
        <f t="shared" si="0"/>
        <v>0</v>
      </c>
      <c r="G18" s="492"/>
      <c r="H18" s="647"/>
      <c r="I18" s="283">
        <f t="shared" si="4"/>
        <v>1442.2700000000002</v>
      </c>
      <c r="J18" s="253"/>
      <c r="K18" s="76"/>
      <c r="L18" s="205">
        <f t="shared" si="5"/>
        <v>20</v>
      </c>
      <c r="M18" s="15"/>
      <c r="N18" s="70">
        <v>0</v>
      </c>
      <c r="O18" s="357"/>
      <c r="P18" s="292">
        <f t="shared" si="1"/>
        <v>0</v>
      </c>
      <c r="Q18" s="71"/>
      <c r="R18" s="72"/>
      <c r="S18" s="627">
        <f t="shared" si="6"/>
        <v>577.95000000000005</v>
      </c>
      <c r="T18" s="61">
        <f t="shared" si="2"/>
        <v>0</v>
      </c>
    </row>
    <row r="19" spans="2:20" x14ac:dyDescent="0.25">
      <c r="B19" s="502">
        <f t="shared" si="3"/>
        <v>59</v>
      </c>
      <c r="C19" s="459"/>
      <c r="D19" s="720"/>
      <c r="E19" s="712"/>
      <c r="F19" s="460">
        <f t="shared" si="0"/>
        <v>0</v>
      </c>
      <c r="G19" s="461"/>
      <c r="H19" s="628"/>
      <c r="I19" s="283">
        <f t="shared" si="4"/>
        <v>1442.2700000000002</v>
      </c>
      <c r="K19" s="76"/>
      <c r="L19" s="205">
        <f t="shared" si="5"/>
        <v>20</v>
      </c>
      <c r="M19" s="15"/>
      <c r="N19" s="70">
        <v>0</v>
      </c>
      <c r="O19" s="357"/>
      <c r="P19" s="292">
        <f t="shared" si="1"/>
        <v>0</v>
      </c>
      <c r="Q19" s="71"/>
      <c r="R19" s="72"/>
      <c r="S19" s="627">
        <f t="shared" si="6"/>
        <v>577.95000000000005</v>
      </c>
      <c r="T19" s="61">
        <f t="shared" si="2"/>
        <v>0</v>
      </c>
    </row>
    <row r="20" spans="2:20" x14ac:dyDescent="0.25">
      <c r="B20" s="502">
        <f t="shared" si="3"/>
        <v>59</v>
      </c>
      <c r="C20" s="459"/>
      <c r="D20" s="720"/>
      <c r="E20" s="712"/>
      <c r="F20" s="460">
        <f t="shared" si="0"/>
        <v>0</v>
      </c>
      <c r="G20" s="461"/>
      <c r="H20" s="628"/>
      <c r="I20" s="283">
        <f t="shared" si="4"/>
        <v>1442.2700000000002</v>
      </c>
      <c r="K20" s="76"/>
      <c r="L20" s="205">
        <f t="shared" si="5"/>
        <v>20</v>
      </c>
      <c r="M20" s="15"/>
      <c r="N20" s="70">
        <v>0</v>
      </c>
      <c r="O20" s="357"/>
      <c r="P20" s="292">
        <f t="shared" si="1"/>
        <v>0</v>
      </c>
      <c r="Q20" s="71"/>
      <c r="R20" s="72"/>
      <c r="S20" s="627">
        <f t="shared" si="6"/>
        <v>577.95000000000005</v>
      </c>
      <c r="T20" s="61">
        <f t="shared" si="2"/>
        <v>0</v>
      </c>
    </row>
    <row r="21" spans="2:20" x14ac:dyDescent="0.25">
      <c r="B21" s="502">
        <f t="shared" si="3"/>
        <v>59</v>
      </c>
      <c r="C21" s="459"/>
      <c r="D21" s="720"/>
      <c r="E21" s="712"/>
      <c r="F21" s="460">
        <f t="shared" si="0"/>
        <v>0</v>
      </c>
      <c r="G21" s="461"/>
      <c r="H21" s="628"/>
      <c r="I21" s="283">
        <f t="shared" si="4"/>
        <v>1442.2700000000002</v>
      </c>
      <c r="K21" s="76"/>
      <c r="L21" s="205">
        <f t="shared" si="5"/>
        <v>20</v>
      </c>
      <c r="M21" s="15"/>
      <c r="N21" s="70">
        <v>0</v>
      </c>
      <c r="O21" s="357"/>
      <c r="P21" s="292">
        <f t="shared" si="1"/>
        <v>0</v>
      </c>
      <c r="Q21" s="71"/>
      <c r="R21" s="72"/>
      <c r="S21" s="627">
        <f t="shared" si="6"/>
        <v>577.95000000000005</v>
      </c>
      <c r="T21" s="61">
        <f t="shared" si="2"/>
        <v>0</v>
      </c>
    </row>
    <row r="22" spans="2:20" x14ac:dyDescent="0.25">
      <c r="B22" s="502">
        <f t="shared" si="3"/>
        <v>59</v>
      </c>
      <c r="C22" s="459"/>
      <c r="D22" s="720"/>
      <c r="E22" s="712"/>
      <c r="F22" s="460">
        <f t="shared" si="0"/>
        <v>0</v>
      </c>
      <c r="G22" s="461"/>
      <c r="H22" s="628"/>
      <c r="I22" s="283">
        <f t="shared" si="4"/>
        <v>1442.2700000000002</v>
      </c>
      <c r="K22" s="76"/>
      <c r="L22" s="205">
        <f t="shared" si="5"/>
        <v>20</v>
      </c>
      <c r="M22" s="15"/>
      <c r="N22" s="70">
        <v>0</v>
      </c>
      <c r="O22" s="357"/>
      <c r="P22" s="292">
        <f t="shared" si="1"/>
        <v>0</v>
      </c>
      <c r="Q22" s="71"/>
      <c r="R22" s="72"/>
      <c r="S22" s="627">
        <f t="shared" si="6"/>
        <v>577.95000000000005</v>
      </c>
      <c r="T22" s="61">
        <f t="shared" si="2"/>
        <v>0</v>
      </c>
    </row>
    <row r="23" spans="2:20" x14ac:dyDescent="0.25">
      <c r="B23" s="502">
        <f t="shared" si="3"/>
        <v>59</v>
      </c>
      <c r="C23" s="459"/>
      <c r="D23" s="720"/>
      <c r="E23" s="712"/>
      <c r="F23" s="460">
        <f t="shared" si="0"/>
        <v>0</v>
      </c>
      <c r="G23" s="461"/>
      <c r="H23" s="628"/>
      <c r="I23" s="283">
        <f t="shared" si="4"/>
        <v>1442.2700000000002</v>
      </c>
      <c r="K23" s="19"/>
      <c r="L23" s="205">
        <f t="shared" si="5"/>
        <v>20</v>
      </c>
      <c r="M23" s="74"/>
      <c r="N23" s="70">
        <v>0</v>
      </c>
      <c r="O23" s="140"/>
      <c r="P23" s="292">
        <f t="shared" si="1"/>
        <v>0</v>
      </c>
      <c r="Q23" s="71"/>
      <c r="R23" s="72"/>
      <c r="S23" s="627">
        <f t="shared" si="6"/>
        <v>577.95000000000005</v>
      </c>
      <c r="T23" s="61">
        <f t="shared" si="2"/>
        <v>0</v>
      </c>
    </row>
    <row r="24" spans="2:20" x14ac:dyDescent="0.25">
      <c r="B24" s="502">
        <f t="shared" si="3"/>
        <v>59</v>
      </c>
      <c r="C24" s="459"/>
      <c r="D24" s="708"/>
      <c r="E24" s="712"/>
      <c r="F24" s="460">
        <f t="shared" si="0"/>
        <v>0</v>
      </c>
      <c r="G24" s="461"/>
      <c r="H24" s="628"/>
      <c r="I24" s="283">
        <f t="shared" si="4"/>
        <v>1442.2700000000002</v>
      </c>
      <c r="K24" s="19"/>
      <c r="L24" s="205">
        <f t="shared" si="5"/>
        <v>20</v>
      </c>
      <c r="M24" s="74"/>
      <c r="N24" s="70">
        <v>0</v>
      </c>
      <c r="O24" s="140"/>
      <c r="P24" s="292">
        <f t="shared" si="1"/>
        <v>0</v>
      </c>
      <c r="Q24" s="71"/>
      <c r="R24" s="72"/>
      <c r="S24" s="627">
        <f t="shared" si="6"/>
        <v>577.95000000000005</v>
      </c>
      <c r="T24" s="61">
        <f t="shared" si="2"/>
        <v>0</v>
      </c>
    </row>
    <row r="25" spans="2:20" x14ac:dyDescent="0.25">
      <c r="B25" s="502">
        <f t="shared" si="3"/>
        <v>59</v>
      </c>
      <c r="C25" s="459"/>
      <c r="D25" s="708"/>
      <c r="E25" s="712"/>
      <c r="F25" s="460">
        <f t="shared" si="0"/>
        <v>0</v>
      </c>
      <c r="G25" s="461"/>
      <c r="H25" s="628"/>
      <c r="I25" s="283">
        <f t="shared" si="4"/>
        <v>1442.2700000000002</v>
      </c>
      <c r="K25" s="19"/>
      <c r="L25" s="205">
        <f t="shared" si="5"/>
        <v>20</v>
      </c>
      <c r="M25" s="74"/>
      <c r="N25" s="70">
        <v>0</v>
      </c>
      <c r="O25" s="140"/>
      <c r="P25" s="292">
        <f t="shared" si="1"/>
        <v>0</v>
      </c>
      <c r="Q25" s="71"/>
      <c r="R25" s="72"/>
      <c r="S25" s="627">
        <f t="shared" si="6"/>
        <v>577.95000000000005</v>
      </c>
      <c r="T25" s="61">
        <f t="shared" si="2"/>
        <v>0</v>
      </c>
    </row>
    <row r="26" spans="2:20" x14ac:dyDescent="0.25">
      <c r="B26" s="502">
        <f t="shared" si="3"/>
        <v>59</v>
      </c>
      <c r="C26" s="459"/>
      <c r="D26" s="708"/>
      <c r="E26" s="712"/>
      <c r="F26" s="460">
        <f t="shared" si="0"/>
        <v>0</v>
      </c>
      <c r="G26" s="461"/>
      <c r="H26" s="628"/>
      <c r="I26" s="283">
        <f t="shared" si="4"/>
        <v>1442.2700000000002</v>
      </c>
      <c r="K26" s="19"/>
      <c r="L26" s="205">
        <f t="shared" si="5"/>
        <v>20</v>
      </c>
      <c r="M26" s="15"/>
      <c r="N26" s="70">
        <v>0</v>
      </c>
      <c r="O26" s="140"/>
      <c r="P26" s="292">
        <f t="shared" si="1"/>
        <v>0</v>
      </c>
      <c r="Q26" s="71"/>
      <c r="R26" s="72"/>
      <c r="S26" s="627">
        <f t="shared" si="6"/>
        <v>577.95000000000005</v>
      </c>
      <c r="T26" s="61">
        <f t="shared" si="2"/>
        <v>0</v>
      </c>
    </row>
    <row r="27" spans="2:20" x14ac:dyDescent="0.25">
      <c r="B27" s="502">
        <f t="shared" si="3"/>
        <v>59</v>
      </c>
      <c r="C27" s="459"/>
      <c r="D27" s="708"/>
      <c r="E27" s="712"/>
      <c r="F27" s="460">
        <f t="shared" si="0"/>
        <v>0</v>
      </c>
      <c r="G27" s="461"/>
      <c r="H27" s="628"/>
      <c r="I27" s="283">
        <f t="shared" si="4"/>
        <v>1442.2700000000002</v>
      </c>
      <c r="K27" s="19"/>
      <c r="L27" s="205">
        <f t="shared" si="5"/>
        <v>20</v>
      </c>
      <c r="M27" s="15"/>
      <c r="N27" s="70">
        <v>0</v>
      </c>
      <c r="O27" s="140"/>
      <c r="P27" s="292">
        <f t="shared" si="1"/>
        <v>0</v>
      </c>
      <c r="Q27" s="71"/>
      <c r="R27" s="72"/>
      <c r="S27" s="627">
        <f t="shared" si="6"/>
        <v>577.95000000000005</v>
      </c>
      <c r="T27" s="61">
        <f t="shared" si="2"/>
        <v>0</v>
      </c>
    </row>
    <row r="28" spans="2:20" x14ac:dyDescent="0.25">
      <c r="B28" s="502">
        <f t="shared" si="3"/>
        <v>59</v>
      </c>
      <c r="C28" s="459"/>
      <c r="D28" s="708"/>
      <c r="E28" s="712"/>
      <c r="F28" s="460">
        <f t="shared" si="0"/>
        <v>0</v>
      </c>
      <c r="G28" s="461"/>
      <c r="H28" s="628"/>
      <c r="I28" s="283">
        <f t="shared" si="4"/>
        <v>1442.2700000000002</v>
      </c>
      <c r="L28" s="205">
        <f t="shared" si="5"/>
        <v>20</v>
      </c>
      <c r="M28" s="15"/>
      <c r="N28" s="70">
        <v>0</v>
      </c>
      <c r="O28" s="140"/>
      <c r="P28" s="292">
        <f t="shared" si="1"/>
        <v>0</v>
      </c>
      <c r="Q28" s="71"/>
      <c r="R28" s="72"/>
      <c r="S28" s="627">
        <f>SUM(S9:S27)</f>
        <v>10981.050000000001</v>
      </c>
      <c r="T28" s="61">
        <f t="shared" si="2"/>
        <v>0</v>
      </c>
    </row>
    <row r="29" spans="2:20" ht="15.75" thickBot="1" x14ac:dyDescent="0.3">
      <c r="B29" s="502">
        <f t="shared" si="3"/>
        <v>59</v>
      </c>
      <c r="C29" s="459"/>
      <c r="D29" s="708"/>
      <c r="E29" s="712"/>
      <c r="F29" s="460">
        <f t="shared" si="0"/>
        <v>0</v>
      </c>
      <c r="G29" s="461"/>
      <c r="H29" s="495"/>
      <c r="I29" s="283">
        <f t="shared" si="4"/>
        <v>1442.2700000000002</v>
      </c>
      <c r="K29" s="125"/>
      <c r="L29" s="205">
        <f t="shared" si="5"/>
        <v>20</v>
      </c>
      <c r="M29" s="37"/>
      <c r="N29" s="70">
        <v>0</v>
      </c>
      <c r="O29" s="345"/>
      <c r="P29" s="292">
        <f t="shared" si="1"/>
        <v>0</v>
      </c>
      <c r="Q29" s="145"/>
      <c r="R29" s="221"/>
      <c r="S29" s="163"/>
      <c r="T29" s="61">
        <f>SUM(T9:T28)</f>
        <v>0</v>
      </c>
    </row>
    <row r="30" spans="2:20" ht="15.75" thickTop="1" x14ac:dyDescent="0.25">
      <c r="B30" s="503"/>
      <c r="C30" s="459"/>
      <c r="D30" s="708"/>
      <c r="E30" s="713"/>
      <c r="F30" s="491"/>
      <c r="G30" s="496"/>
      <c r="H30" s="495"/>
      <c r="K30" s="47">
        <f>SUM(K29:K29)</f>
        <v>0</v>
      </c>
      <c r="M30" s="74"/>
      <c r="N30" s="107">
        <f>SUM(N9:N29)</f>
        <v>0</v>
      </c>
      <c r="O30" s="140"/>
      <c r="P30" s="107">
        <f>SUM(P9:P29)</f>
        <v>0</v>
      </c>
      <c r="Q30" s="163"/>
      <c r="R30" s="163"/>
    </row>
    <row r="31" spans="2:20" ht="15.75" thickBot="1" x14ac:dyDescent="0.3">
      <c r="B31" s="503"/>
      <c r="C31" s="459"/>
      <c r="D31" s="708"/>
      <c r="E31" s="714"/>
      <c r="F31" s="491"/>
      <c r="G31" s="497"/>
      <c r="H31" s="497"/>
      <c r="K31" s="47"/>
    </row>
    <row r="32" spans="2:20" ht="15.75" thickBot="1" x14ac:dyDescent="0.3">
      <c r="B32" s="75"/>
      <c r="C32" s="462"/>
      <c r="D32" s="709"/>
      <c r="E32" s="715"/>
      <c r="F32" s="498"/>
      <c r="G32" s="500"/>
      <c r="H32" s="500"/>
      <c r="I32" s="396"/>
      <c r="L32" s="207"/>
      <c r="N32" s="1158" t="s">
        <v>21</v>
      </c>
      <c r="O32" s="1159"/>
      <c r="P32" s="147">
        <f>Q5-P30</f>
        <v>0</v>
      </c>
    </row>
    <row r="33" spans="1:16" ht="16.5" thickTop="1" thickBot="1" x14ac:dyDescent="0.3">
      <c r="A33" s="76"/>
      <c r="B33" s="76"/>
      <c r="C33" s="107">
        <f>SUM(C9:C32)</f>
        <v>2</v>
      </c>
      <c r="D33" s="107">
        <f>SUM(D9:D32)</f>
        <v>51.36</v>
      </c>
      <c r="E33" s="76"/>
      <c r="F33" s="107">
        <f>SUM(F9:F32)</f>
        <v>51.36</v>
      </c>
      <c r="G33" s="76"/>
      <c r="H33" s="76"/>
      <c r="K33" s="129"/>
      <c r="N33" s="1030" t="s">
        <v>4</v>
      </c>
      <c r="O33" s="1031"/>
      <c r="P33" s="49">
        <v>0</v>
      </c>
    </row>
    <row r="34" spans="1:16" ht="15.75" thickBot="1" x14ac:dyDescent="0.3">
      <c r="A34" s="76"/>
      <c r="B34" s="76"/>
      <c r="C34" s="107"/>
      <c r="D34" s="107"/>
      <c r="E34" s="76"/>
      <c r="F34" s="107"/>
      <c r="G34" s="76"/>
      <c r="H34" s="76"/>
      <c r="L34" s="207"/>
    </row>
    <row r="35" spans="1:16" ht="16.5" customHeight="1" x14ac:dyDescent="0.25">
      <c r="A35" s="76"/>
      <c r="B35" s="76"/>
      <c r="C35" s="76"/>
      <c r="D35" s="471" t="s">
        <v>21</v>
      </c>
      <c r="E35" s="472"/>
      <c r="F35" s="147">
        <f>E6+E5+E4-F33+E7</f>
        <v>1442.2700000000002</v>
      </c>
      <c r="G35" s="76"/>
      <c r="H35" s="76"/>
    </row>
    <row r="36" spans="1:16" ht="15.75" thickBot="1" x14ac:dyDescent="0.3">
      <c r="A36" s="76"/>
      <c r="B36" s="76"/>
      <c r="C36" s="76"/>
      <c r="D36" s="473" t="s">
        <v>4</v>
      </c>
      <c r="E36" s="474"/>
      <c r="F36" s="551">
        <f>F4+F5+F6+F7-C33</f>
        <v>59</v>
      </c>
      <c r="G36" s="76"/>
      <c r="H36" s="76"/>
    </row>
    <row r="37" spans="1:16" x14ac:dyDescent="0.25">
      <c r="A37" s="76"/>
      <c r="B37" s="76"/>
      <c r="C37" s="76"/>
      <c r="D37" s="76"/>
      <c r="E37" s="76"/>
      <c r="F37" s="76"/>
      <c r="G37" s="76"/>
      <c r="H37" s="76"/>
    </row>
    <row r="38" spans="1:16" x14ac:dyDescent="0.25">
      <c r="A38" s="76"/>
      <c r="B38" s="76"/>
      <c r="C38" s="76"/>
      <c r="D38" s="76"/>
      <c r="E38" s="76"/>
      <c r="F38" s="76"/>
      <c r="G38" s="76"/>
      <c r="H38" s="76"/>
    </row>
    <row r="39" spans="1:16" x14ac:dyDescent="0.25">
      <c r="A39" s="76"/>
      <c r="B39" s="76"/>
      <c r="C39" s="76"/>
      <c r="D39" s="76"/>
      <c r="E39" s="76"/>
      <c r="F39" s="76"/>
      <c r="G39" s="76"/>
      <c r="H39" s="76"/>
    </row>
    <row r="40" spans="1:16" x14ac:dyDescent="0.25">
      <c r="A40" s="76"/>
      <c r="B40" s="76"/>
      <c r="C40" s="76"/>
      <c r="D40" s="76"/>
      <c r="E40" s="76"/>
      <c r="F40" s="76"/>
      <c r="G40" s="76"/>
      <c r="H40" s="76"/>
    </row>
    <row r="41" spans="1:16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C38" sqref="C38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72" t="s">
        <v>259</v>
      </c>
      <c r="B1" s="1172"/>
      <c r="C1" s="1172"/>
      <c r="D1" s="1172"/>
      <c r="E1" s="1172"/>
      <c r="F1" s="1172"/>
      <c r="G1" s="117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3"/>
      <c r="B4" s="311"/>
      <c r="C4" s="363">
        <v>18161.3</v>
      </c>
      <c r="D4" s="261" t="s">
        <v>3</v>
      </c>
      <c r="E4" s="323"/>
      <c r="F4" s="256"/>
      <c r="G4" s="74"/>
    </row>
    <row r="5" spans="1:10" ht="15" customHeight="1" x14ac:dyDescent="0.25">
      <c r="A5" s="1167" t="s">
        <v>53</v>
      </c>
      <c r="B5" s="1169" t="s">
        <v>54</v>
      </c>
      <c r="C5" s="257">
        <v>48.5</v>
      </c>
      <c r="D5" s="261">
        <v>43808</v>
      </c>
      <c r="E5" s="323">
        <v>18137.12</v>
      </c>
      <c r="F5" s="256">
        <v>880</v>
      </c>
      <c r="G5" s="275">
        <f>F55</f>
        <v>18136.37</v>
      </c>
      <c r="H5" s="7">
        <f>E5-G5+E4+E6+E7</f>
        <v>0.75</v>
      </c>
    </row>
    <row r="6" spans="1:10" ht="15.75" thickBot="1" x14ac:dyDescent="0.3">
      <c r="A6" s="1167"/>
      <c r="B6" s="1169"/>
      <c r="C6" s="257"/>
      <c r="D6" s="287"/>
      <c r="E6" s="288"/>
      <c r="F6" s="256"/>
      <c r="G6" s="253"/>
    </row>
    <row r="7" spans="1:10" ht="15.75" thickBot="1" x14ac:dyDescent="0.3">
      <c r="A7" s="253"/>
      <c r="B7" s="256"/>
      <c r="C7" s="257"/>
      <c r="D7" s="287"/>
      <c r="E7" s="288"/>
      <c r="F7" s="256"/>
      <c r="I7" s="361"/>
      <c r="J7" s="360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2" t="s">
        <v>66</v>
      </c>
      <c r="J8" s="360"/>
    </row>
    <row r="9" spans="1:10" ht="15.75" thickTop="1" x14ac:dyDescent="0.25">
      <c r="A9" s="56" t="s">
        <v>32</v>
      </c>
      <c r="B9" s="205">
        <f>F4+F5+F6+F7-C9</f>
        <v>860</v>
      </c>
      <c r="C9" s="15">
        <v>20</v>
      </c>
      <c r="D9" s="70">
        <v>420.5</v>
      </c>
      <c r="E9" s="342">
        <v>43809</v>
      </c>
      <c r="F9" s="70">
        <f t="shared" ref="F9:F54" si="0">D9</f>
        <v>420.5</v>
      </c>
      <c r="G9" s="278" t="s">
        <v>55</v>
      </c>
      <c r="H9" s="279">
        <v>60</v>
      </c>
      <c r="I9" s="79">
        <f>E6+E5+E4-F9+E7</f>
        <v>17716.62</v>
      </c>
      <c r="J9" s="131"/>
    </row>
    <row r="10" spans="1:10" x14ac:dyDescent="0.25">
      <c r="A10" s="354" t="s">
        <v>57</v>
      </c>
      <c r="B10" s="205">
        <f>B9-C10</f>
        <v>420</v>
      </c>
      <c r="C10" s="352">
        <v>440</v>
      </c>
      <c r="D10" s="353">
        <v>8994.83</v>
      </c>
      <c r="E10" s="342">
        <v>43809</v>
      </c>
      <c r="F10" s="70">
        <f t="shared" si="0"/>
        <v>8994.83</v>
      </c>
      <c r="G10" s="278" t="s">
        <v>56</v>
      </c>
      <c r="H10" s="279">
        <v>48.5</v>
      </c>
      <c r="I10" s="79">
        <f>I9-F10</f>
        <v>8721.7899999999991</v>
      </c>
      <c r="J10" s="131"/>
    </row>
    <row r="11" spans="1:10" x14ac:dyDescent="0.25">
      <c r="A11" s="12"/>
      <c r="B11" s="205">
        <f t="shared" ref="B11:B53" si="1">B10-C11</f>
        <v>415</v>
      </c>
      <c r="C11" s="15">
        <v>5</v>
      </c>
      <c r="D11" s="70">
        <v>108.24</v>
      </c>
      <c r="E11" s="342">
        <v>43811</v>
      </c>
      <c r="F11" s="70">
        <f t="shared" si="0"/>
        <v>108.24</v>
      </c>
      <c r="G11" s="278" t="s">
        <v>58</v>
      </c>
      <c r="H11" s="279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5">
        <f t="shared" si="1"/>
        <v>400</v>
      </c>
      <c r="C12" s="15">
        <v>15</v>
      </c>
      <c r="D12" s="70">
        <v>317.29000000000002</v>
      </c>
      <c r="E12" s="342">
        <v>43812</v>
      </c>
      <c r="F12" s="70">
        <f t="shared" si="0"/>
        <v>317.29000000000002</v>
      </c>
      <c r="G12" s="278" t="s">
        <v>59</v>
      </c>
      <c r="H12" s="279">
        <v>60</v>
      </c>
      <c r="I12" s="79">
        <f t="shared" si="2"/>
        <v>8296.2599999999984</v>
      </c>
      <c r="J12" s="131"/>
    </row>
    <row r="13" spans="1:10" x14ac:dyDescent="0.25">
      <c r="A13" s="78"/>
      <c r="B13" s="205">
        <f t="shared" si="1"/>
        <v>398</v>
      </c>
      <c r="C13" s="15">
        <v>2</v>
      </c>
      <c r="D13" s="70">
        <v>42.26</v>
      </c>
      <c r="E13" s="342">
        <v>43812</v>
      </c>
      <c r="F13" s="70">
        <f t="shared" si="0"/>
        <v>42.26</v>
      </c>
      <c r="G13" s="278" t="s">
        <v>60</v>
      </c>
      <c r="H13" s="279">
        <v>60</v>
      </c>
      <c r="I13" s="79">
        <f t="shared" si="2"/>
        <v>8253.9999999999982</v>
      </c>
      <c r="J13" s="131"/>
    </row>
    <row r="14" spans="1:10" x14ac:dyDescent="0.25">
      <c r="A14" s="12"/>
      <c r="B14" s="205">
        <f t="shared" si="1"/>
        <v>366</v>
      </c>
      <c r="C14" s="15">
        <v>32</v>
      </c>
      <c r="D14" s="70">
        <v>624.80999999999995</v>
      </c>
      <c r="E14" s="342">
        <v>43812</v>
      </c>
      <c r="F14" s="70">
        <f t="shared" si="0"/>
        <v>624.80999999999995</v>
      </c>
      <c r="G14" s="278" t="s">
        <v>61</v>
      </c>
      <c r="H14" s="279">
        <v>59</v>
      </c>
      <c r="I14" s="79">
        <f t="shared" si="2"/>
        <v>7629.1899999999987</v>
      </c>
      <c r="J14" s="131"/>
    </row>
    <row r="15" spans="1:10" x14ac:dyDescent="0.25">
      <c r="B15" s="205">
        <f t="shared" si="1"/>
        <v>338</v>
      </c>
      <c r="C15" s="53">
        <v>28</v>
      </c>
      <c r="D15" s="70">
        <v>576.4</v>
      </c>
      <c r="E15" s="342">
        <v>43812</v>
      </c>
      <c r="F15" s="70">
        <f t="shared" si="0"/>
        <v>576.4</v>
      </c>
      <c r="G15" s="278" t="s">
        <v>62</v>
      </c>
      <c r="H15" s="279">
        <v>59</v>
      </c>
      <c r="I15" s="79">
        <f t="shared" si="2"/>
        <v>7052.7899999999991</v>
      </c>
      <c r="J15" s="131"/>
    </row>
    <row r="16" spans="1:10" x14ac:dyDescent="0.25">
      <c r="B16" s="205">
        <f t="shared" si="1"/>
        <v>310</v>
      </c>
      <c r="C16" s="15">
        <v>28</v>
      </c>
      <c r="D16" s="70">
        <v>581.91999999999996</v>
      </c>
      <c r="E16" s="342">
        <v>43816</v>
      </c>
      <c r="F16" s="70">
        <f t="shared" si="0"/>
        <v>581.91999999999996</v>
      </c>
      <c r="G16" s="278" t="s">
        <v>63</v>
      </c>
      <c r="H16" s="279">
        <v>59</v>
      </c>
      <c r="I16" s="79">
        <f t="shared" si="2"/>
        <v>6470.869999999999</v>
      </c>
      <c r="J16" s="131"/>
    </row>
    <row r="17" spans="2:10" x14ac:dyDescent="0.25">
      <c r="B17" s="205">
        <f t="shared" si="1"/>
        <v>282</v>
      </c>
      <c r="C17" s="15">
        <v>28</v>
      </c>
      <c r="D17" s="70">
        <v>572.48</v>
      </c>
      <c r="E17" s="342">
        <v>43816</v>
      </c>
      <c r="F17" s="70">
        <f t="shared" si="0"/>
        <v>572.48</v>
      </c>
      <c r="G17" s="278" t="s">
        <v>63</v>
      </c>
      <c r="H17" s="279">
        <v>59</v>
      </c>
      <c r="I17" s="79">
        <f t="shared" si="2"/>
        <v>5898.3899999999994</v>
      </c>
      <c r="J17" s="131"/>
    </row>
    <row r="18" spans="2:10" x14ac:dyDescent="0.25">
      <c r="B18" s="205">
        <f t="shared" si="1"/>
        <v>254</v>
      </c>
      <c r="C18" s="53">
        <v>28</v>
      </c>
      <c r="D18" s="70">
        <v>587.80999999999995</v>
      </c>
      <c r="E18" s="342">
        <v>43821</v>
      </c>
      <c r="F18" s="70">
        <f t="shared" si="0"/>
        <v>587.80999999999995</v>
      </c>
      <c r="G18" s="278" t="s">
        <v>64</v>
      </c>
      <c r="H18" s="279">
        <v>59</v>
      </c>
      <c r="I18" s="79">
        <f t="shared" si="2"/>
        <v>5310.58</v>
      </c>
      <c r="J18" s="131"/>
    </row>
    <row r="19" spans="2:10" x14ac:dyDescent="0.25">
      <c r="B19" s="205">
        <f t="shared" si="1"/>
        <v>226</v>
      </c>
      <c r="C19" s="15">
        <v>28</v>
      </c>
      <c r="D19" s="463">
        <v>568.71</v>
      </c>
      <c r="E19" s="464">
        <v>43821</v>
      </c>
      <c r="F19" s="463">
        <f t="shared" si="0"/>
        <v>568.71</v>
      </c>
      <c r="G19" s="465" t="s">
        <v>65</v>
      </c>
      <c r="H19" s="466">
        <v>59</v>
      </c>
      <c r="I19" s="467">
        <f t="shared" si="2"/>
        <v>4741.87</v>
      </c>
      <c r="J19" s="131"/>
    </row>
    <row r="20" spans="2:10" x14ac:dyDescent="0.25">
      <c r="B20" s="205">
        <f t="shared" si="1"/>
        <v>218</v>
      </c>
      <c r="C20" s="15">
        <v>8</v>
      </c>
      <c r="D20" s="517">
        <v>168.41</v>
      </c>
      <c r="E20" s="520">
        <v>44174</v>
      </c>
      <c r="F20" s="517">
        <f t="shared" si="0"/>
        <v>168.41</v>
      </c>
      <c r="G20" s="518" t="s">
        <v>75</v>
      </c>
      <c r="H20" s="592">
        <v>68</v>
      </c>
      <c r="I20" s="79">
        <f t="shared" si="2"/>
        <v>4573.46</v>
      </c>
      <c r="J20" s="131"/>
    </row>
    <row r="21" spans="2:10" x14ac:dyDescent="0.25">
      <c r="B21" s="205">
        <f t="shared" si="1"/>
        <v>218</v>
      </c>
      <c r="C21" s="15"/>
      <c r="D21" s="517">
        <v>5.64</v>
      </c>
      <c r="E21" s="520">
        <v>44174</v>
      </c>
      <c r="F21" s="517">
        <f t="shared" si="0"/>
        <v>5.64</v>
      </c>
      <c r="G21" s="518" t="s">
        <v>76</v>
      </c>
      <c r="H21" s="592">
        <v>68</v>
      </c>
      <c r="I21" s="79">
        <f t="shared" si="2"/>
        <v>4567.82</v>
      </c>
      <c r="J21" s="131"/>
    </row>
    <row r="22" spans="2:10" x14ac:dyDescent="0.25">
      <c r="B22" s="205">
        <f t="shared" si="1"/>
        <v>199</v>
      </c>
      <c r="C22" s="15">
        <v>19</v>
      </c>
      <c r="D22" s="517">
        <v>415.3</v>
      </c>
      <c r="E22" s="520">
        <v>44177</v>
      </c>
      <c r="F22" s="517">
        <f t="shared" si="0"/>
        <v>415.3</v>
      </c>
      <c r="G22" s="593" t="s">
        <v>78</v>
      </c>
      <c r="H22" s="594">
        <v>68</v>
      </c>
      <c r="I22" s="79">
        <f t="shared" si="2"/>
        <v>4152.5199999999995</v>
      </c>
      <c r="J22" s="131"/>
    </row>
    <row r="23" spans="2:10" x14ac:dyDescent="0.25">
      <c r="B23" s="205">
        <f t="shared" si="1"/>
        <v>198</v>
      </c>
      <c r="C23" s="15">
        <v>1</v>
      </c>
      <c r="D23" s="517">
        <v>11.08</v>
      </c>
      <c r="E23" s="520">
        <v>44180</v>
      </c>
      <c r="F23" s="517">
        <f t="shared" si="0"/>
        <v>11.08</v>
      </c>
      <c r="G23" s="593" t="s">
        <v>79</v>
      </c>
      <c r="H23" s="594">
        <v>68</v>
      </c>
      <c r="I23" s="79">
        <f t="shared" si="2"/>
        <v>4141.4399999999996</v>
      </c>
      <c r="J23" s="131"/>
    </row>
    <row r="24" spans="2:10" x14ac:dyDescent="0.25">
      <c r="B24" s="205">
        <f t="shared" si="1"/>
        <v>188</v>
      </c>
      <c r="C24" s="15">
        <v>10</v>
      </c>
      <c r="D24" s="517">
        <v>205.26</v>
      </c>
      <c r="E24" s="520">
        <v>44180</v>
      </c>
      <c r="F24" s="517">
        <f t="shared" si="0"/>
        <v>205.26</v>
      </c>
      <c r="G24" s="593" t="s">
        <v>80</v>
      </c>
      <c r="H24" s="594">
        <v>68</v>
      </c>
      <c r="I24" s="79">
        <f t="shared" si="2"/>
        <v>3936.1799999999994</v>
      </c>
      <c r="J24" s="131"/>
    </row>
    <row r="25" spans="2:10" x14ac:dyDescent="0.25">
      <c r="B25" s="205">
        <f t="shared" si="1"/>
        <v>178</v>
      </c>
      <c r="C25" s="15">
        <v>10</v>
      </c>
      <c r="D25" s="517">
        <v>214.21</v>
      </c>
      <c r="E25" s="520">
        <v>44181</v>
      </c>
      <c r="F25" s="517">
        <f t="shared" si="0"/>
        <v>214.21</v>
      </c>
      <c r="G25" s="593" t="s">
        <v>81</v>
      </c>
      <c r="H25" s="594">
        <v>68</v>
      </c>
      <c r="I25" s="79">
        <f t="shared" si="2"/>
        <v>3721.9699999999993</v>
      </c>
      <c r="J25" s="131"/>
    </row>
    <row r="26" spans="2:10" x14ac:dyDescent="0.25">
      <c r="B26" s="205">
        <f t="shared" si="1"/>
        <v>168</v>
      </c>
      <c r="C26" s="15">
        <v>10</v>
      </c>
      <c r="D26" s="517">
        <v>214.81</v>
      </c>
      <c r="E26" s="520">
        <v>44182</v>
      </c>
      <c r="F26" s="517">
        <f t="shared" si="0"/>
        <v>214.81</v>
      </c>
      <c r="G26" s="593" t="s">
        <v>82</v>
      </c>
      <c r="H26" s="594">
        <v>68</v>
      </c>
      <c r="I26" s="79">
        <f t="shared" si="2"/>
        <v>3507.1599999999994</v>
      </c>
      <c r="J26" s="131"/>
    </row>
    <row r="27" spans="2:10" x14ac:dyDescent="0.25">
      <c r="B27" s="205">
        <f t="shared" si="1"/>
        <v>153</v>
      </c>
      <c r="C27" s="15">
        <v>15</v>
      </c>
      <c r="D27" s="517">
        <v>318.17</v>
      </c>
      <c r="E27" s="520">
        <v>44183</v>
      </c>
      <c r="F27" s="517">
        <f t="shared" si="0"/>
        <v>318.17</v>
      </c>
      <c r="G27" s="593" t="s">
        <v>77</v>
      </c>
      <c r="H27" s="594">
        <v>68</v>
      </c>
      <c r="I27" s="79">
        <f t="shared" si="2"/>
        <v>3188.9899999999993</v>
      </c>
      <c r="J27" s="131"/>
    </row>
    <row r="28" spans="2:10" x14ac:dyDescent="0.25">
      <c r="B28" s="205">
        <f t="shared" si="1"/>
        <v>133</v>
      </c>
      <c r="C28" s="15">
        <v>20</v>
      </c>
      <c r="D28" s="517">
        <v>426.83</v>
      </c>
      <c r="E28" s="520">
        <v>44185</v>
      </c>
      <c r="F28" s="517">
        <f t="shared" si="0"/>
        <v>426.83</v>
      </c>
      <c r="G28" s="593" t="s">
        <v>83</v>
      </c>
      <c r="H28" s="594">
        <v>68</v>
      </c>
      <c r="I28" s="79">
        <f t="shared" si="2"/>
        <v>2762.1599999999994</v>
      </c>
      <c r="J28" s="131"/>
    </row>
    <row r="29" spans="2:10" x14ac:dyDescent="0.25">
      <c r="B29" s="205">
        <f t="shared" si="1"/>
        <v>125</v>
      </c>
      <c r="C29" s="15">
        <v>8</v>
      </c>
      <c r="D29" s="517">
        <v>157.77000000000001</v>
      </c>
      <c r="E29" s="520">
        <v>44185</v>
      </c>
      <c r="F29" s="517">
        <f t="shared" si="0"/>
        <v>157.77000000000001</v>
      </c>
      <c r="G29" s="593" t="s">
        <v>84</v>
      </c>
      <c r="H29" s="594">
        <v>68</v>
      </c>
      <c r="I29" s="79">
        <f t="shared" si="2"/>
        <v>2604.3899999999994</v>
      </c>
      <c r="J29" s="131"/>
    </row>
    <row r="30" spans="2:10" x14ac:dyDescent="0.25">
      <c r="B30" s="205">
        <f t="shared" si="1"/>
        <v>100</v>
      </c>
      <c r="C30" s="15">
        <v>25</v>
      </c>
      <c r="D30" s="517">
        <v>533.09</v>
      </c>
      <c r="E30" s="520">
        <v>44187</v>
      </c>
      <c r="F30" s="517">
        <f t="shared" si="0"/>
        <v>533.09</v>
      </c>
      <c r="G30" s="593" t="s">
        <v>85</v>
      </c>
      <c r="H30" s="594">
        <v>68</v>
      </c>
      <c r="I30" s="79">
        <f t="shared" si="2"/>
        <v>2071.2999999999993</v>
      </c>
      <c r="J30" s="131"/>
    </row>
    <row r="31" spans="2:10" x14ac:dyDescent="0.25">
      <c r="B31" s="205">
        <f t="shared" si="1"/>
        <v>98</v>
      </c>
      <c r="C31" s="15">
        <v>2</v>
      </c>
      <c r="D31" s="517">
        <v>41.29</v>
      </c>
      <c r="E31" s="520">
        <v>44187</v>
      </c>
      <c r="F31" s="517">
        <f t="shared" si="0"/>
        <v>41.29</v>
      </c>
      <c r="G31" s="593" t="s">
        <v>86</v>
      </c>
      <c r="H31" s="594">
        <v>68</v>
      </c>
      <c r="I31" s="79">
        <f t="shared" si="2"/>
        <v>2030.0099999999993</v>
      </c>
      <c r="J31" s="131"/>
    </row>
    <row r="32" spans="2:10" x14ac:dyDescent="0.25">
      <c r="B32" s="205">
        <f t="shared" si="1"/>
        <v>73</v>
      </c>
      <c r="C32" s="15">
        <v>25</v>
      </c>
      <c r="D32" s="517">
        <v>531.59</v>
      </c>
      <c r="E32" s="520">
        <v>44187</v>
      </c>
      <c r="F32" s="517">
        <f t="shared" si="0"/>
        <v>531.59</v>
      </c>
      <c r="G32" s="593" t="s">
        <v>87</v>
      </c>
      <c r="H32" s="594">
        <v>68</v>
      </c>
      <c r="I32" s="79">
        <f t="shared" si="2"/>
        <v>1498.4199999999992</v>
      </c>
      <c r="J32" s="131"/>
    </row>
    <row r="33" spans="2:10" x14ac:dyDescent="0.25">
      <c r="B33" s="205">
        <f t="shared" si="1"/>
        <v>63</v>
      </c>
      <c r="C33" s="15">
        <v>10</v>
      </c>
      <c r="D33" s="517">
        <v>195.28</v>
      </c>
      <c r="E33" s="520">
        <v>44188</v>
      </c>
      <c r="F33" s="517">
        <f t="shared" si="0"/>
        <v>195.28</v>
      </c>
      <c r="G33" s="593" t="s">
        <v>88</v>
      </c>
      <c r="H33" s="594">
        <v>68</v>
      </c>
      <c r="I33" s="79">
        <f t="shared" si="2"/>
        <v>1303.1399999999992</v>
      </c>
      <c r="J33" s="131"/>
    </row>
    <row r="34" spans="2:10" x14ac:dyDescent="0.25">
      <c r="B34" s="205">
        <f t="shared" si="1"/>
        <v>43</v>
      </c>
      <c r="C34" s="15">
        <v>20</v>
      </c>
      <c r="D34" s="517">
        <v>392.99</v>
      </c>
      <c r="E34" s="520">
        <v>44188</v>
      </c>
      <c r="F34" s="517">
        <f t="shared" si="0"/>
        <v>392.99</v>
      </c>
      <c r="G34" s="593" t="s">
        <v>89</v>
      </c>
      <c r="H34" s="594">
        <v>68</v>
      </c>
      <c r="I34" s="79">
        <f t="shared" si="2"/>
        <v>910.14999999999918</v>
      </c>
      <c r="J34" s="131"/>
    </row>
    <row r="35" spans="2:10" x14ac:dyDescent="0.25">
      <c r="B35" s="205">
        <f t="shared" si="1"/>
        <v>0</v>
      </c>
      <c r="C35" s="15">
        <v>43</v>
      </c>
      <c r="D35" s="705">
        <v>909.4</v>
      </c>
      <c r="E35" s="811">
        <v>44536</v>
      </c>
      <c r="F35" s="705">
        <f t="shared" si="0"/>
        <v>909.4</v>
      </c>
      <c r="G35" s="706" t="s">
        <v>445</v>
      </c>
      <c r="H35" s="186">
        <v>68</v>
      </c>
      <c r="I35" s="79">
        <f t="shared" si="2"/>
        <v>0.74999999999920419</v>
      </c>
      <c r="J35" s="131"/>
    </row>
    <row r="36" spans="2:10" x14ac:dyDescent="0.25">
      <c r="B36" s="205">
        <f t="shared" si="1"/>
        <v>0</v>
      </c>
      <c r="C36" s="15"/>
      <c r="D36" s="705"/>
      <c r="E36" s="811"/>
      <c r="F36" s="1111">
        <f t="shared" si="0"/>
        <v>0</v>
      </c>
      <c r="G36" s="1087"/>
      <c r="H36" s="1088"/>
      <c r="I36" s="856">
        <f t="shared" si="2"/>
        <v>0.74999999999920419</v>
      </c>
      <c r="J36" s="131"/>
    </row>
    <row r="37" spans="2:10" x14ac:dyDescent="0.25">
      <c r="B37" s="205">
        <f t="shared" si="1"/>
        <v>0</v>
      </c>
      <c r="C37" s="15"/>
      <c r="D37" s="705"/>
      <c r="E37" s="811"/>
      <c r="F37" s="1111">
        <f t="shared" si="0"/>
        <v>0</v>
      </c>
      <c r="G37" s="1087"/>
      <c r="H37" s="1088"/>
      <c r="I37" s="856">
        <f t="shared" si="2"/>
        <v>0.74999999999920419</v>
      </c>
      <c r="J37" s="131"/>
    </row>
    <row r="38" spans="2:10" x14ac:dyDescent="0.25">
      <c r="B38" s="205">
        <f t="shared" si="1"/>
        <v>0</v>
      </c>
      <c r="C38" s="15"/>
      <c r="D38" s="705"/>
      <c r="E38" s="811"/>
      <c r="F38" s="1111">
        <f t="shared" si="0"/>
        <v>0</v>
      </c>
      <c r="G38" s="1087"/>
      <c r="H38" s="1088"/>
      <c r="I38" s="856">
        <f t="shared" si="2"/>
        <v>0.74999999999920419</v>
      </c>
      <c r="J38" s="131"/>
    </row>
    <row r="39" spans="2:10" x14ac:dyDescent="0.25">
      <c r="B39" s="205">
        <f t="shared" si="1"/>
        <v>0</v>
      </c>
      <c r="C39" s="15"/>
      <c r="D39" s="705"/>
      <c r="E39" s="811"/>
      <c r="F39" s="1111">
        <f t="shared" si="0"/>
        <v>0</v>
      </c>
      <c r="G39" s="1087"/>
      <c r="H39" s="1088"/>
      <c r="I39" s="856">
        <f t="shared" si="2"/>
        <v>0.74999999999920419</v>
      </c>
      <c r="J39" s="131"/>
    </row>
    <row r="40" spans="2:10" x14ac:dyDescent="0.25">
      <c r="B40" s="205">
        <f t="shared" si="1"/>
        <v>0</v>
      </c>
      <c r="C40" s="15"/>
      <c r="D40" s="705"/>
      <c r="E40" s="811"/>
      <c r="F40" s="705">
        <f t="shared" si="0"/>
        <v>0</v>
      </c>
      <c r="G40" s="706"/>
      <c r="H40" s="186"/>
      <c r="I40" s="79">
        <f t="shared" si="2"/>
        <v>0.74999999999920419</v>
      </c>
      <c r="J40" s="131"/>
    </row>
    <row r="41" spans="2:10" x14ac:dyDescent="0.25">
      <c r="B41" s="205">
        <f t="shared" si="1"/>
        <v>0</v>
      </c>
      <c r="C41" s="15"/>
      <c r="D41" s="705"/>
      <c r="E41" s="811"/>
      <c r="F41" s="705">
        <f t="shared" si="0"/>
        <v>0</v>
      </c>
      <c r="G41" s="706"/>
      <c r="H41" s="186"/>
      <c r="I41" s="79">
        <f t="shared" si="2"/>
        <v>0.74999999999920419</v>
      </c>
      <c r="J41" s="131"/>
    </row>
    <row r="42" spans="2:10" x14ac:dyDescent="0.25">
      <c r="B42" s="205">
        <f t="shared" si="1"/>
        <v>0</v>
      </c>
      <c r="C42" s="15"/>
      <c r="D42" s="705"/>
      <c r="E42" s="811"/>
      <c r="F42" s="705">
        <f t="shared" si="0"/>
        <v>0</v>
      </c>
      <c r="G42" s="706"/>
      <c r="H42" s="186"/>
      <c r="I42" s="79">
        <f t="shared" si="2"/>
        <v>0.74999999999920419</v>
      </c>
      <c r="J42" s="131"/>
    </row>
    <row r="43" spans="2:10" x14ac:dyDescent="0.25">
      <c r="B43" s="205">
        <f t="shared" si="1"/>
        <v>0</v>
      </c>
      <c r="C43" s="15"/>
      <c r="D43" s="705"/>
      <c r="E43" s="811"/>
      <c r="F43" s="705">
        <f t="shared" si="0"/>
        <v>0</v>
      </c>
      <c r="G43" s="706"/>
      <c r="H43" s="186"/>
      <c r="I43" s="79">
        <f t="shared" si="2"/>
        <v>0.74999999999920419</v>
      </c>
      <c r="J43" s="131"/>
    </row>
    <row r="44" spans="2:10" x14ac:dyDescent="0.25">
      <c r="B44" s="205">
        <f t="shared" si="1"/>
        <v>0</v>
      </c>
      <c r="C44" s="15"/>
      <c r="D44" s="705"/>
      <c r="E44" s="811"/>
      <c r="F44" s="705">
        <f t="shared" si="0"/>
        <v>0</v>
      </c>
      <c r="G44" s="706"/>
      <c r="H44" s="186"/>
      <c r="I44" s="79">
        <f t="shared" si="2"/>
        <v>0.74999999999920419</v>
      </c>
      <c r="J44" s="131"/>
    </row>
    <row r="45" spans="2:10" x14ac:dyDescent="0.25">
      <c r="B45" s="205">
        <f t="shared" si="1"/>
        <v>0</v>
      </c>
      <c r="C45" s="15"/>
      <c r="D45" s="705"/>
      <c r="E45" s="811"/>
      <c r="F45" s="705">
        <f t="shared" si="0"/>
        <v>0</v>
      </c>
      <c r="G45" s="706"/>
      <c r="H45" s="186"/>
      <c r="I45" s="79">
        <f t="shared" si="2"/>
        <v>0.74999999999920419</v>
      </c>
      <c r="J45" s="131"/>
    </row>
    <row r="46" spans="2:10" x14ac:dyDescent="0.25">
      <c r="B46" s="205">
        <f t="shared" si="1"/>
        <v>0</v>
      </c>
      <c r="C46" s="15"/>
      <c r="D46" s="705"/>
      <c r="E46" s="811"/>
      <c r="F46" s="705">
        <f t="shared" si="0"/>
        <v>0</v>
      </c>
      <c r="G46" s="706"/>
      <c r="H46" s="186"/>
      <c r="I46" s="79">
        <f t="shared" si="2"/>
        <v>0.74999999999920419</v>
      </c>
      <c r="J46" s="131"/>
    </row>
    <row r="47" spans="2:10" x14ac:dyDescent="0.25">
      <c r="B47" s="205">
        <f t="shared" si="1"/>
        <v>0</v>
      </c>
      <c r="C47" s="15"/>
      <c r="D47" s="705"/>
      <c r="E47" s="811"/>
      <c r="F47" s="705">
        <f t="shared" si="0"/>
        <v>0</v>
      </c>
      <c r="G47" s="706"/>
      <c r="H47" s="186"/>
      <c r="I47" s="79">
        <f t="shared" si="2"/>
        <v>0.74999999999920419</v>
      </c>
      <c r="J47" s="131"/>
    </row>
    <row r="48" spans="2:10" x14ac:dyDescent="0.25">
      <c r="B48" s="205">
        <f t="shared" si="1"/>
        <v>0</v>
      </c>
      <c r="C48" s="15"/>
      <c r="D48" s="705"/>
      <c r="E48" s="811"/>
      <c r="F48" s="705">
        <f t="shared" si="0"/>
        <v>0</v>
      </c>
      <c r="G48" s="706"/>
      <c r="H48" s="186"/>
      <c r="I48" s="79">
        <f t="shared" si="2"/>
        <v>0.74999999999920419</v>
      </c>
      <c r="J48" s="131"/>
    </row>
    <row r="49" spans="2:10" x14ac:dyDescent="0.25">
      <c r="B49" s="205">
        <f t="shared" si="1"/>
        <v>0</v>
      </c>
      <c r="C49" s="15"/>
      <c r="D49" s="705"/>
      <c r="E49" s="811"/>
      <c r="F49" s="705">
        <f t="shared" si="0"/>
        <v>0</v>
      </c>
      <c r="G49" s="706"/>
      <c r="H49" s="186"/>
      <c r="I49" s="79">
        <f t="shared" si="2"/>
        <v>0.74999999999920419</v>
      </c>
      <c r="J49" s="131"/>
    </row>
    <row r="50" spans="2:10" x14ac:dyDescent="0.25">
      <c r="B50" s="205">
        <f t="shared" si="1"/>
        <v>0</v>
      </c>
      <c r="C50" s="15"/>
      <c r="D50" s="70"/>
      <c r="E50" s="342"/>
      <c r="F50" s="70">
        <f t="shared" si="0"/>
        <v>0</v>
      </c>
      <c r="G50" s="71"/>
      <c r="H50" s="72"/>
      <c r="I50" s="79">
        <f t="shared" si="2"/>
        <v>0.74999999999920419</v>
      </c>
      <c r="J50" s="131"/>
    </row>
    <row r="51" spans="2:10" x14ac:dyDescent="0.25">
      <c r="B51" s="205">
        <f t="shared" si="1"/>
        <v>0</v>
      </c>
      <c r="C51" s="15"/>
      <c r="D51" s="70"/>
      <c r="E51" s="342"/>
      <c r="F51" s="70">
        <f t="shared" si="0"/>
        <v>0</v>
      </c>
      <c r="G51" s="71"/>
      <c r="H51" s="72"/>
      <c r="I51" s="79">
        <f t="shared" si="2"/>
        <v>0.74999999999920419</v>
      </c>
      <c r="J51" s="131"/>
    </row>
    <row r="52" spans="2:10" x14ac:dyDescent="0.25">
      <c r="B52" s="205">
        <f t="shared" si="1"/>
        <v>0</v>
      </c>
      <c r="C52" s="15"/>
      <c r="D52" s="70"/>
      <c r="E52" s="342"/>
      <c r="F52" s="70">
        <f t="shared" si="0"/>
        <v>0</v>
      </c>
      <c r="G52" s="71"/>
      <c r="H52" s="72"/>
      <c r="I52" s="79">
        <f t="shared" si="2"/>
        <v>0.74999999999920419</v>
      </c>
      <c r="J52" s="131"/>
    </row>
    <row r="53" spans="2:10" x14ac:dyDescent="0.25">
      <c r="B53" s="205">
        <f t="shared" si="1"/>
        <v>0</v>
      </c>
      <c r="C53" s="15"/>
      <c r="D53" s="70"/>
      <c r="E53" s="342"/>
      <c r="F53" s="70">
        <f t="shared" si="0"/>
        <v>0</v>
      </c>
      <c r="G53" s="71"/>
      <c r="H53" s="72"/>
      <c r="I53" s="79">
        <f t="shared" si="2"/>
        <v>0.74999999999920419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3"/>
      <c r="H54" s="76"/>
      <c r="I54" s="79">
        <f t="shared" si="2"/>
        <v>0.74999999999920419</v>
      </c>
      <c r="J54" s="131"/>
    </row>
    <row r="55" spans="2:10" x14ac:dyDescent="0.25">
      <c r="C55" s="53">
        <f>SUM(C9:C54)</f>
        <v>880</v>
      </c>
      <c r="D55" s="128">
        <f>SUM(D9:D54)</f>
        <v>18136.37</v>
      </c>
      <c r="E55" s="179"/>
      <c r="F55" s="128">
        <f>SUM(F9:F54)</f>
        <v>18136.37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0</v>
      </c>
    </row>
    <row r="59" spans="2:10" ht="15.75" thickBot="1" x14ac:dyDescent="0.3">
      <c r="B59" s="129"/>
    </row>
    <row r="60" spans="2:10" ht="15.75" thickBot="1" x14ac:dyDescent="0.3">
      <c r="B60" s="92"/>
      <c r="C60" s="1170" t="s">
        <v>11</v>
      </c>
      <c r="D60" s="1171"/>
      <c r="E60" s="58">
        <f>E5-F55+E4+E6+E7</f>
        <v>0.75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I15" sqref="I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72" t="s">
        <v>260</v>
      </c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74"/>
      <c r="C4" s="104"/>
      <c r="D4" s="141"/>
      <c r="E4" s="87"/>
      <c r="F4" s="74"/>
      <c r="G4" s="881"/>
    </row>
    <row r="5" spans="1:9" ht="29.25" x14ac:dyDescent="0.25">
      <c r="A5" s="12" t="s">
        <v>67</v>
      </c>
      <c r="B5" s="880" t="s">
        <v>124</v>
      </c>
      <c r="C5" s="104">
        <v>34</v>
      </c>
      <c r="D5" s="141">
        <v>44494</v>
      </c>
      <c r="E5" s="898">
        <v>2022.78</v>
      </c>
      <c r="F5" s="896">
        <v>70</v>
      </c>
      <c r="G5" s="48">
        <f>F34</f>
        <v>2065.98</v>
      </c>
      <c r="H5" s="144">
        <f>E5-G5+E4+E6+E7+E8</f>
        <v>3454.7699999999995</v>
      </c>
    </row>
    <row r="6" spans="1:9" ht="15.75" thickBot="1" x14ac:dyDescent="0.3">
      <c r="B6" s="74"/>
      <c r="C6" s="104">
        <v>32</v>
      </c>
      <c r="D6" s="141">
        <v>44496</v>
      </c>
      <c r="E6" s="898">
        <v>3497.97</v>
      </c>
      <c r="F6" s="896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04" t="s">
        <v>69</v>
      </c>
    </row>
    <row r="10" spans="1:9" ht="15.75" thickTop="1" x14ac:dyDescent="0.25">
      <c r="A10" s="56"/>
      <c r="B10" s="297">
        <f>F4+F5+F6+F7+F8-C10</f>
        <v>180</v>
      </c>
      <c r="C10" s="15">
        <v>10</v>
      </c>
      <c r="D10" s="14">
        <v>291.05</v>
      </c>
      <c r="E10" s="341">
        <v>44496</v>
      </c>
      <c r="F10" s="292">
        <f>D10</f>
        <v>291.05</v>
      </c>
      <c r="G10" s="334" t="s">
        <v>135</v>
      </c>
      <c r="H10" s="279">
        <v>34</v>
      </c>
      <c r="I10" s="283">
        <f>E6+E5+E4-F10+E7+E8</f>
        <v>5229.7</v>
      </c>
    </row>
    <row r="11" spans="1:9" x14ac:dyDescent="0.25">
      <c r="A11" s="76"/>
      <c r="B11" s="502">
        <f>B10-C11</f>
        <v>172</v>
      </c>
      <c r="C11" s="950">
        <v>8</v>
      </c>
      <c r="D11" s="920">
        <v>231.09</v>
      </c>
      <c r="E11" s="919">
        <v>44516</v>
      </c>
      <c r="F11" s="920">
        <f t="shared" ref="F11:F30" si="0">D11</f>
        <v>231.09</v>
      </c>
      <c r="G11" s="921" t="s">
        <v>178</v>
      </c>
      <c r="H11" s="922">
        <v>35</v>
      </c>
      <c r="I11" s="283">
        <f>I10-F11</f>
        <v>4998.6099999999997</v>
      </c>
    </row>
    <row r="12" spans="1:9" x14ac:dyDescent="0.25">
      <c r="A12" s="76"/>
      <c r="B12" s="502">
        <f t="shared" ref="B12:B30" si="1">B11-C12</f>
        <v>171</v>
      </c>
      <c r="C12" s="950">
        <v>1</v>
      </c>
      <c r="D12" s="920">
        <v>29.56</v>
      </c>
      <c r="E12" s="919">
        <v>44520</v>
      </c>
      <c r="F12" s="920">
        <f t="shared" si="0"/>
        <v>29.56</v>
      </c>
      <c r="G12" s="921" t="s">
        <v>202</v>
      </c>
      <c r="H12" s="922">
        <v>35</v>
      </c>
      <c r="I12" s="283">
        <f t="shared" ref="I12:I30" si="2">I11-F12</f>
        <v>4969.0499999999993</v>
      </c>
    </row>
    <row r="13" spans="1:9" x14ac:dyDescent="0.25">
      <c r="A13" s="56"/>
      <c r="B13" s="502">
        <f t="shared" si="1"/>
        <v>164</v>
      </c>
      <c r="C13" s="459">
        <v>7</v>
      </c>
      <c r="D13" s="918">
        <v>199.58</v>
      </c>
      <c r="E13" s="919">
        <v>44522</v>
      </c>
      <c r="F13" s="920">
        <f t="shared" si="0"/>
        <v>199.58</v>
      </c>
      <c r="G13" s="921" t="s">
        <v>203</v>
      </c>
      <c r="H13" s="922">
        <v>35</v>
      </c>
      <c r="I13" s="283">
        <f t="shared" si="2"/>
        <v>4769.4699999999993</v>
      </c>
    </row>
    <row r="14" spans="1:9" x14ac:dyDescent="0.25">
      <c r="A14" s="76"/>
      <c r="B14" s="502">
        <f t="shared" si="1"/>
        <v>157</v>
      </c>
      <c r="C14" s="459">
        <v>7</v>
      </c>
      <c r="D14" s="918">
        <v>205.88</v>
      </c>
      <c r="E14" s="919">
        <v>44524</v>
      </c>
      <c r="F14" s="920">
        <f t="shared" si="0"/>
        <v>205.88</v>
      </c>
      <c r="G14" s="921" t="s">
        <v>215</v>
      </c>
      <c r="H14" s="922">
        <v>35</v>
      </c>
      <c r="I14" s="283">
        <f>I13-F14</f>
        <v>4563.5899999999992</v>
      </c>
    </row>
    <row r="15" spans="1:9" x14ac:dyDescent="0.25">
      <c r="A15" s="76"/>
      <c r="B15" s="502">
        <f t="shared" si="1"/>
        <v>152</v>
      </c>
      <c r="C15" s="459">
        <v>5</v>
      </c>
      <c r="D15" s="918">
        <v>146.31</v>
      </c>
      <c r="E15" s="919">
        <v>44525</v>
      </c>
      <c r="F15" s="920">
        <f t="shared" si="0"/>
        <v>146.31</v>
      </c>
      <c r="G15" s="921" t="s">
        <v>218</v>
      </c>
      <c r="H15" s="922">
        <v>35</v>
      </c>
      <c r="I15" s="283">
        <f t="shared" si="2"/>
        <v>4417.2799999999988</v>
      </c>
    </row>
    <row r="16" spans="1:9" x14ac:dyDescent="0.25">
      <c r="B16" s="502">
        <f t="shared" si="1"/>
        <v>151</v>
      </c>
      <c r="C16" s="459">
        <v>1</v>
      </c>
      <c r="D16" s="998">
        <v>29.57</v>
      </c>
      <c r="E16" s="999">
        <v>44542</v>
      </c>
      <c r="F16" s="1000">
        <f t="shared" si="0"/>
        <v>29.57</v>
      </c>
      <c r="G16" s="1001" t="s">
        <v>510</v>
      </c>
      <c r="H16" s="1002">
        <v>35</v>
      </c>
      <c r="I16" s="283">
        <f t="shared" si="2"/>
        <v>4387.7099999999991</v>
      </c>
    </row>
    <row r="17" spans="2:9" x14ac:dyDescent="0.25">
      <c r="B17" s="502">
        <f t="shared" si="1"/>
        <v>148</v>
      </c>
      <c r="C17" s="459">
        <v>3</v>
      </c>
      <c r="D17" s="998">
        <v>92.09</v>
      </c>
      <c r="E17" s="999">
        <v>44547</v>
      </c>
      <c r="F17" s="1000">
        <f t="shared" si="0"/>
        <v>92.09</v>
      </c>
      <c r="G17" s="1001" t="s">
        <v>536</v>
      </c>
      <c r="H17" s="1002">
        <v>35</v>
      </c>
      <c r="I17" s="283">
        <f t="shared" si="2"/>
        <v>4295.619999999999</v>
      </c>
    </row>
    <row r="18" spans="2:9" x14ac:dyDescent="0.25">
      <c r="B18" s="502">
        <f t="shared" si="1"/>
        <v>141</v>
      </c>
      <c r="C18" s="459">
        <v>7</v>
      </c>
      <c r="D18" s="998">
        <v>200.8</v>
      </c>
      <c r="E18" s="999">
        <v>44549</v>
      </c>
      <c r="F18" s="1000">
        <f t="shared" si="0"/>
        <v>200.8</v>
      </c>
      <c r="G18" s="1001" t="s">
        <v>555</v>
      </c>
      <c r="H18" s="1002">
        <v>35</v>
      </c>
      <c r="I18" s="283">
        <f t="shared" si="2"/>
        <v>4094.8199999999988</v>
      </c>
    </row>
    <row r="19" spans="2:9" x14ac:dyDescent="0.25">
      <c r="B19" s="502">
        <f t="shared" si="1"/>
        <v>139</v>
      </c>
      <c r="C19" s="459">
        <v>2</v>
      </c>
      <c r="D19" s="998">
        <v>59.46</v>
      </c>
      <c r="E19" s="999">
        <v>44550</v>
      </c>
      <c r="F19" s="1000">
        <f t="shared" si="0"/>
        <v>59.46</v>
      </c>
      <c r="G19" s="1001" t="s">
        <v>551</v>
      </c>
      <c r="H19" s="1002">
        <v>35</v>
      </c>
      <c r="I19" s="283">
        <f t="shared" si="2"/>
        <v>4035.3599999999988</v>
      </c>
    </row>
    <row r="20" spans="2:9" x14ac:dyDescent="0.25">
      <c r="B20" s="502">
        <f t="shared" si="1"/>
        <v>134</v>
      </c>
      <c r="C20" s="459">
        <v>5</v>
      </c>
      <c r="D20" s="998">
        <v>147.29</v>
      </c>
      <c r="E20" s="999">
        <v>44551</v>
      </c>
      <c r="F20" s="1000">
        <f t="shared" si="0"/>
        <v>147.29</v>
      </c>
      <c r="G20" s="1001" t="s">
        <v>570</v>
      </c>
      <c r="H20" s="1002">
        <v>35</v>
      </c>
      <c r="I20" s="283">
        <f t="shared" si="2"/>
        <v>3888.0699999999988</v>
      </c>
    </row>
    <row r="21" spans="2:9" x14ac:dyDescent="0.25">
      <c r="B21" s="502">
        <f t="shared" si="1"/>
        <v>127</v>
      </c>
      <c r="C21" s="459">
        <v>7</v>
      </c>
      <c r="D21" s="998">
        <v>197.99</v>
      </c>
      <c r="E21" s="999">
        <v>44560</v>
      </c>
      <c r="F21" s="1000">
        <f t="shared" si="0"/>
        <v>197.99</v>
      </c>
      <c r="G21" s="1003" t="s">
        <v>645</v>
      </c>
      <c r="H21" s="1004">
        <v>35</v>
      </c>
      <c r="I21" s="136">
        <f t="shared" si="2"/>
        <v>3690.079999999999</v>
      </c>
    </row>
    <row r="22" spans="2:9" x14ac:dyDescent="0.25">
      <c r="B22" s="502">
        <f t="shared" si="1"/>
        <v>119</v>
      </c>
      <c r="C22" s="459">
        <v>8</v>
      </c>
      <c r="D22" s="998">
        <v>235.31</v>
      </c>
      <c r="E22" s="999">
        <v>44561</v>
      </c>
      <c r="F22" s="1000">
        <f t="shared" si="0"/>
        <v>235.31</v>
      </c>
      <c r="G22" s="1003" t="s">
        <v>675</v>
      </c>
      <c r="H22" s="1004">
        <v>35</v>
      </c>
      <c r="I22" s="136">
        <f t="shared" si="2"/>
        <v>3454.7699999999991</v>
      </c>
    </row>
    <row r="23" spans="2:9" x14ac:dyDescent="0.25">
      <c r="B23" s="502">
        <f t="shared" si="1"/>
        <v>119</v>
      </c>
      <c r="C23" s="459"/>
      <c r="D23" s="998"/>
      <c r="E23" s="999"/>
      <c r="F23" s="1000">
        <f t="shared" si="0"/>
        <v>0</v>
      </c>
      <c r="G23" s="1003"/>
      <c r="H23" s="1004"/>
      <c r="I23" s="136">
        <f t="shared" si="2"/>
        <v>3454.7699999999991</v>
      </c>
    </row>
    <row r="24" spans="2:9" x14ac:dyDescent="0.25">
      <c r="B24" s="502">
        <f t="shared" si="1"/>
        <v>119</v>
      </c>
      <c r="C24" s="459"/>
      <c r="D24" s="998"/>
      <c r="E24" s="999"/>
      <c r="F24" s="1000">
        <f t="shared" si="0"/>
        <v>0</v>
      </c>
      <c r="G24" s="1003"/>
      <c r="H24" s="1004"/>
      <c r="I24" s="136">
        <f t="shared" si="2"/>
        <v>3454.7699999999991</v>
      </c>
    </row>
    <row r="25" spans="2:9" x14ac:dyDescent="0.25">
      <c r="B25" s="502">
        <f t="shared" si="1"/>
        <v>119</v>
      </c>
      <c r="C25" s="459"/>
      <c r="D25" s="998"/>
      <c r="E25" s="999"/>
      <c r="F25" s="1000">
        <f t="shared" si="0"/>
        <v>0</v>
      </c>
      <c r="G25" s="1003"/>
      <c r="H25" s="1004"/>
      <c r="I25" s="136">
        <f t="shared" si="2"/>
        <v>3454.7699999999991</v>
      </c>
    </row>
    <row r="26" spans="2:9" x14ac:dyDescent="0.25">
      <c r="B26" s="502">
        <f t="shared" si="1"/>
        <v>119</v>
      </c>
      <c r="C26" s="459"/>
      <c r="D26" s="998"/>
      <c r="E26" s="999"/>
      <c r="F26" s="1000">
        <f t="shared" si="0"/>
        <v>0</v>
      </c>
      <c r="G26" s="1003"/>
      <c r="H26" s="1004"/>
      <c r="I26" s="136">
        <f t="shared" si="2"/>
        <v>3454.7699999999991</v>
      </c>
    </row>
    <row r="27" spans="2:9" x14ac:dyDescent="0.25">
      <c r="B27" s="502">
        <f t="shared" si="1"/>
        <v>119</v>
      </c>
      <c r="C27" s="459"/>
      <c r="D27" s="998"/>
      <c r="E27" s="999"/>
      <c r="F27" s="1000">
        <f t="shared" si="0"/>
        <v>0</v>
      </c>
      <c r="G27" s="1003"/>
      <c r="H27" s="1005"/>
      <c r="I27" s="136">
        <f t="shared" si="2"/>
        <v>3454.7699999999991</v>
      </c>
    </row>
    <row r="28" spans="2:9" x14ac:dyDescent="0.25">
      <c r="B28" s="502">
        <f t="shared" si="1"/>
        <v>119</v>
      </c>
      <c r="C28" s="459"/>
      <c r="D28" s="998"/>
      <c r="E28" s="999"/>
      <c r="F28" s="1000">
        <f t="shared" si="0"/>
        <v>0</v>
      </c>
      <c r="G28" s="1003"/>
      <c r="H28" s="1005"/>
      <c r="I28" s="136">
        <f t="shared" si="2"/>
        <v>3454.7699999999991</v>
      </c>
    </row>
    <row r="29" spans="2:9" x14ac:dyDescent="0.25">
      <c r="B29" s="502">
        <f t="shared" si="1"/>
        <v>119</v>
      </c>
      <c r="C29" s="459"/>
      <c r="D29" s="998"/>
      <c r="E29" s="999"/>
      <c r="F29" s="1000">
        <f t="shared" si="0"/>
        <v>0</v>
      </c>
      <c r="G29" s="1003"/>
      <c r="H29" s="1005"/>
      <c r="I29" s="136">
        <f t="shared" si="2"/>
        <v>3454.7699999999991</v>
      </c>
    </row>
    <row r="30" spans="2:9" x14ac:dyDescent="0.25">
      <c r="B30" s="502">
        <f t="shared" si="1"/>
        <v>119</v>
      </c>
      <c r="C30" s="459"/>
      <c r="D30" s="1006"/>
      <c r="E30" s="999"/>
      <c r="F30" s="1000">
        <f t="shared" si="0"/>
        <v>0</v>
      </c>
      <c r="G30" s="1003"/>
      <c r="H30" s="1005"/>
      <c r="I30" s="136">
        <f t="shared" si="2"/>
        <v>3454.7699999999991</v>
      </c>
    </row>
    <row r="31" spans="2:9" x14ac:dyDescent="0.25">
      <c r="B31" s="503"/>
      <c r="C31" s="459"/>
      <c r="D31" s="491"/>
      <c r="E31" s="1096"/>
      <c r="F31" s="491"/>
      <c r="G31" s="496"/>
      <c r="H31" s="495"/>
    </row>
    <row r="32" spans="2:9" x14ac:dyDescent="0.25">
      <c r="B32" s="503"/>
      <c r="C32" s="459"/>
      <c r="D32" s="491"/>
      <c r="E32" s="1097"/>
      <c r="F32" s="491"/>
      <c r="G32" s="497"/>
      <c r="H32" s="497"/>
    </row>
    <row r="33" spans="1:9" ht="15.75" thickBot="1" x14ac:dyDescent="0.3">
      <c r="B33" s="75"/>
      <c r="C33" s="462"/>
      <c r="D33" s="498"/>
      <c r="E33" s="499"/>
      <c r="F33" s="498"/>
      <c r="G33" s="500"/>
      <c r="H33" s="500"/>
      <c r="I33" s="396"/>
    </row>
    <row r="34" spans="1:9" ht="16.5" thickTop="1" thickBot="1" x14ac:dyDescent="0.3">
      <c r="A34" s="76"/>
      <c r="B34" s="76"/>
      <c r="C34" s="76"/>
      <c r="D34" s="107">
        <f>SUM(D10:D33)</f>
        <v>2065.98</v>
      </c>
      <c r="E34" s="76"/>
      <c r="F34" s="107">
        <f>SUM(F10:F33)</f>
        <v>2065.98</v>
      </c>
      <c r="G34" s="76"/>
      <c r="H34" s="76"/>
    </row>
    <row r="35" spans="1:9" x14ac:dyDescent="0.25">
      <c r="A35" s="76"/>
      <c r="B35" s="76"/>
      <c r="C35" s="76"/>
      <c r="D35" s="876" t="s">
        <v>21</v>
      </c>
      <c r="E35" s="877"/>
      <c r="F35" s="147">
        <f>E6+E5+E4-F34</f>
        <v>3454.77</v>
      </c>
      <c r="G35" s="76"/>
      <c r="H35" s="76"/>
    </row>
    <row r="36" spans="1:9" ht="15.75" thickBot="1" x14ac:dyDescent="0.3">
      <c r="A36" s="76"/>
      <c r="B36" s="76"/>
      <c r="C36" s="76"/>
      <c r="D36" s="878" t="s">
        <v>4</v>
      </c>
      <c r="E36" s="879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1" t="s">
        <v>123</v>
      </c>
      <c r="C4" s="104"/>
      <c r="D4" s="141"/>
      <c r="E4" s="87"/>
      <c r="F4" s="74"/>
      <c r="G4" s="798"/>
    </row>
    <row r="5" spans="1:9" x14ac:dyDescent="0.25">
      <c r="A5" s="76"/>
      <c r="B5" s="1242"/>
      <c r="C5" s="262"/>
      <c r="D5" s="258"/>
      <c r="E5" s="259"/>
      <c r="F5" s="256"/>
      <c r="G5" s="48">
        <f>F32</f>
        <v>0</v>
      </c>
      <c r="H5" s="144">
        <f>E5-G5</f>
        <v>0</v>
      </c>
    </row>
    <row r="6" spans="1:9" ht="15.75" thickBot="1" x14ac:dyDescent="0.3">
      <c r="C6" s="627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47"/>
      <c r="E8" s="341"/>
      <c r="F8" s="292">
        <f t="shared" ref="F8:F28" si="0">D8</f>
        <v>0</v>
      </c>
      <c r="G8" s="334"/>
      <c r="H8" s="279"/>
      <c r="I8" s="283">
        <f>E4+E5+E6-D8</f>
        <v>0</v>
      </c>
    </row>
    <row r="9" spans="1:9" x14ac:dyDescent="0.25">
      <c r="A9" s="76"/>
      <c r="B9" s="2"/>
      <c r="C9" s="15"/>
      <c r="D9" s="747"/>
      <c r="E9" s="346"/>
      <c r="F9" s="292">
        <f t="shared" si="0"/>
        <v>0</v>
      </c>
      <c r="G9" s="334"/>
      <c r="H9" s="279"/>
      <c r="I9" s="283">
        <f>I8-D9</f>
        <v>0</v>
      </c>
    </row>
    <row r="10" spans="1:9" x14ac:dyDescent="0.25">
      <c r="A10" s="76"/>
      <c r="B10" s="2"/>
      <c r="C10" s="15"/>
      <c r="D10" s="747"/>
      <c r="E10" s="346"/>
      <c r="F10" s="292">
        <f t="shared" si="0"/>
        <v>0</v>
      </c>
      <c r="G10" s="334"/>
      <c r="H10" s="279"/>
      <c r="I10" s="283">
        <f t="shared" ref="I10:I27" si="1">I9-D10</f>
        <v>0</v>
      </c>
    </row>
    <row r="11" spans="1:9" x14ac:dyDescent="0.25">
      <c r="A11" s="56"/>
      <c r="B11" s="2"/>
      <c r="C11" s="15"/>
      <c r="D11" s="747"/>
      <c r="E11" s="346"/>
      <c r="F11" s="292">
        <f t="shared" si="0"/>
        <v>0</v>
      </c>
      <c r="G11" s="334"/>
      <c r="H11" s="279"/>
      <c r="I11" s="283">
        <f t="shared" si="1"/>
        <v>0</v>
      </c>
    </row>
    <row r="12" spans="1:9" x14ac:dyDescent="0.25">
      <c r="A12" s="76"/>
      <c r="B12" s="2"/>
      <c r="C12" s="15"/>
      <c r="D12" s="747"/>
      <c r="E12" s="346"/>
      <c r="F12" s="292">
        <f t="shared" si="0"/>
        <v>0</v>
      </c>
      <c r="G12" s="334"/>
      <c r="H12" s="279"/>
      <c r="I12" s="283">
        <f t="shared" si="1"/>
        <v>0</v>
      </c>
    </row>
    <row r="13" spans="1:9" x14ac:dyDescent="0.25">
      <c r="A13" s="76"/>
      <c r="B13" s="2"/>
      <c r="C13" s="15"/>
      <c r="D13" s="747"/>
      <c r="E13" s="346"/>
      <c r="F13" s="292">
        <f t="shared" si="0"/>
        <v>0</v>
      </c>
      <c r="G13" s="334"/>
      <c r="H13" s="279"/>
      <c r="I13" s="283">
        <f t="shared" si="1"/>
        <v>0</v>
      </c>
    </row>
    <row r="14" spans="1:9" x14ac:dyDescent="0.25">
      <c r="B14" s="2"/>
      <c r="C14" s="15"/>
      <c r="D14" s="747"/>
      <c r="E14" s="341"/>
      <c r="F14" s="292">
        <f t="shared" si="0"/>
        <v>0</v>
      </c>
      <c r="G14" s="334"/>
      <c r="H14" s="279"/>
      <c r="I14" s="136">
        <f t="shared" si="1"/>
        <v>0</v>
      </c>
    </row>
    <row r="15" spans="1:9" x14ac:dyDescent="0.25">
      <c r="B15" s="2"/>
      <c r="C15" s="15"/>
      <c r="D15" s="747"/>
      <c r="E15" s="341"/>
      <c r="F15" s="292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47"/>
      <c r="E16" s="748"/>
      <c r="F16" s="292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49"/>
      <c r="E17" s="748"/>
      <c r="F17" s="292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47"/>
      <c r="E18" s="748"/>
      <c r="F18" s="292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47"/>
      <c r="E19" s="748"/>
      <c r="F19" s="292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47"/>
      <c r="E20" s="748"/>
      <c r="F20" s="292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47"/>
      <c r="E21" s="748"/>
      <c r="F21" s="292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47"/>
      <c r="E22" s="748"/>
      <c r="F22" s="292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47"/>
      <c r="E23" s="748"/>
      <c r="F23" s="292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47"/>
      <c r="E24" s="748"/>
      <c r="F24" s="292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47"/>
      <c r="E25" s="748"/>
      <c r="F25" s="292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47"/>
      <c r="E26" s="748"/>
      <c r="F26" s="292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2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2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18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794" t="s">
        <v>21</v>
      </c>
      <c r="E33" s="795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796" t="s">
        <v>4</v>
      </c>
      <c r="E34" s="79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0" sqref="B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2" t="s">
        <v>255</v>
      </c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1" t="s">
        <v>688</v>
      </c>
      <c r="C4" s="104"/>
      <c r="D4" s="141"/>
      <c r="E4" s="87"/>
      <c r="F4" s="74"/>
      <c r="G4" s="591"/>
    </row>
    <row r="5" spans="1:9" x14ac:dyDescent="0.25">
      <c r="A5" s="76" t="s">
        <v>67</v>
      </c>
      <c r="B5" s="1242"/>
      <c r="C5" s="104">
        <v>98</v>
      </c>
      <c r="D5" s="141">
        <v>44519</v>
      </c>
      <c r="E5" s="87">
        <v>443.65</v>
      </c>
      <c r="F5" s="74">
        <v>21</v>
      </c>
      <c r="G5" s="48">
        <f>F32</f>
        <v>60.3</v>
      </c>
      <c r="H5" s="144">
        <f>E5-G5</f>
        <v>383.34999999999997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2">
        <f t="shared" ref="F8:F28" si="0">D8</f>
        <v>41.6</v>
      </c>
      <c r="G8" s="334" t="s">
        <v>241</v>
      </c>
      <c r="H8" s="279">
        <v>100</v>
      </c>
      <c r="I8" s="47">
        <f>E4+E5+E6-D8</f>
        <v>402.04999999999995</v>
      </c>
    </row>
    <row r="9" spans="1:9" x14ac:dyDescent="0.25">
      <c r="A9" s="76"/>
      <c r="B9" s="2"/>
      <c r="C9" s="15">
        <v>1</v>
      </c>
      <c r="D9" s="1007">
        <v>18.7</v>
      </c>
      <c r="E9" s="1008">
        <v>44539</v>
      </c>
      <c r="F9" s="1009">
        <f t="shared" si="0"/>
        <v>18.7</v>
      </c>
      <c r="G9" s="1074" t="s">
        <v>482</v>
      </c>
      <c r="H9" s="279">
        <v>100</v>
      </c>
      <c r="I9" s="275">
        <f>I8-D9</f>
        <v>383.34999999999997</v>
      </c>
    </row>
    <row r="10" spans="1:9" x14ac:dyDescent="0.25">
      <c r="A10" s="76"/>
      <c r="B10" s="2"/>
      <c r="C10" s="15"/>
      <c r="D10" s="1007"/>
      <c r="E10" s="1008"/>
      <c r="F10" s="1009">
        <f t="shared" si="0"/>
        <v>0</v>
      </c>
      <c r="G10" s="1076"/>
      <c r="H10" s="334"/>
      <c r="I10" s="275">
        <f t="shared" ref="I10:I18" si="1">I9-D10</f>
        <v>383.34999999999997</v>
      </c>
    </row>
    <row r="11" spans="1:9" x14ac:dyDescent="0.25">
      <c r="A11" s="56"/>
      <c r="B11" s="2"/>
      <c r="C11" s="15"/>
      <c r="D11" s="1007"/>
      <c r="E11" s="1008"/>
      <c r="F11" s="1009">
        <f t="shared" si="0"/>
        <v>0</v>
      </c>
      <c r="G11" s="1076"/>
      <c r="H11" s="279"/>
      <c r="I11" s="275">
        <f t="shared" si="1"/>
        <v>383.34999999999997</v>
      </c>
    </row>
    <row r="12" spans="1:9" x14ac:dyDescent="0.25">
      <c r="A12" s="76"/>
      <c r="B12" s="2"/>
      <c r="C12" s="15"/>
      <c r="D12" s="1007"/>
      <c r="E12" s="1008"/>
      <c r="F12" s="1009">
        <f t="shared" si="0"/>
        <v>0</v>
      </c>
      <c r="G12" s="1076"/>
      <c r="H12" s="279"/>
      <c r="I12" s="275">
        <f t="shared" si="1"/>
        <v>383.34999999999997</v>
      </c>
    </row>
    <row r="13" spans="1:9" x14ac:dyDescent="0.25">
      <c r="A13" s="76"/>
      <c r="B13" s="2"/>
      <c r="C13" s="15"/>
      <c r="D13" s="1007"/>
      <c r="E13" s="1008"/>
      <c r="F13" s="1009">
        <f t="shared" si="0"/>
        <v>0</v>
      </c>
      <c r="G13" s="1076"/>
      <c r="H13" s="279"/>
      <c r="I13" s="47">
        <f t="shared" si="1"/>
        <v>383.34999999999997</v>
      </c>
    </row>
    <row r="14" spans="1:9" x14ac:dyDescent="0.25">
      <c r="B14" s="2"/>
      <c r="C14" s="15"/>
      <c r="D14" s="1007"/>
      <c r="E14" s="1008"/>
      <c r="F14" s="1009">
        <f t="shared" si="0"/>
        <v>0</v>
      </c>
      <c r="G14" s="1076"/>
      <c r="H14" s="279"/>
      <c r="I14" s="47">
        <f t="shared" si="1"/>
        <v>383.34999999999997</v>
      </c>
    </row>
    <row r="15" spans="1:9" x14ac:dyDescent="0.25">
      <c r="B15" s="2"/>
      <c r="C15" s="15"/>
      <c r="D15" s="1007"/>
      <c r="E15" s="1008"/>
      <c r="F15" s="1009">
        <f t="shared" si="0"/>
        <v>0</v>
      </c>
      <c r="G15" s="1077"/>
      <c r="H15" s="72"/>
      <c r="I15" s="47">
        <f t="shared" si="1"/>
        <v>383.34999999999997</v>
      </c>
    </row>
    <row r="16" spans="1:9" x14ac:dyDescent="0.25">
      <c r="B16" s="2"/>
      <c r="C16" s="15"/>
      <c r="D16" s="1007"/>
      <c r="E16" s="1010"/>
      <c r="F16" s="1009">
        <f t="shared" si="0"/>
        <v>0</v>
      </c>
      <c r="G16" s="1077"/>
      <c r="H16" s="72"/>
      <c r="I16" s="47">
        <f t="shared" si="1"/>
        <v>383.34999999999997</v>
      </c>
    </row>
    <row r="17" spans="1:9" x14ac:dyDescent="0.25">
      <c r="B17" s="2"/>
      <c r="C17" s="15"/>
      <c r="D17" s="1011"/>
      <c r="E17" s="1010"/>
      <c r="F17" s="1009">
        <f t="shared" si="0"/>
        <v>0</v>
      </c>
      <c r="G17" s="1077"/>
      <c r="H17" s="72"/>
      <c r="I17" s="47">
        <f t="shared" si="1"/>
        <v>383.34999999999997</v>
      </c>
    </row>
    <row r="18" spans="1:9" x14ac:dyDescent="0.25">
      <c r="B18" s="2"/>
      <c r="C18" s="15"/>
      <c r="D18" s="1007"/>
      <c r="E18" s="1010"/>
      <c r="F18" s="1009">
        <f t="shared" si="0"/>
        <v>0</v>
      </c>
      <c r="G18" s="1077"/>
      <c r="H18" s="72"/>
      <c r="I18" s="47">
        <f t="shared" si="1"/>
        <v>383.34999999999997</v>
      </c>
    </row>
    <row r="19" spans="1:9" x14ac:dyDescent="0.25">
      <c r="B19" s="2"/>
      <c r="C19" s="15"/>
      <c r="D19" s="1007"/>
      <c r="E19" s="1010"/>
      <c r="F19" s="1009">
        <f t="shared" si="0"/>
        <v>0</v>
      </c>
      <c r="G19" s="1077"/>
      <c r="H19" s="72"/>
    </row>
    <row r="20" spans="1:9" x14ac:dyDescent="0.25">
      <c r="B20" s="2"/>
      <c r="C20" s="15"/>
      <c r="D20" s="1007"/>
      <c r="E20" s="1010"/>
      <c r="F20" s="1009">
        <f t="shared" si="0"/>
        <v>0</v>
      </c>
      <c r="G20" s="1077"/>
      <c r="H20" s="72"/>
    </row>
    <row r="21" spans="1:9" x14ac:dyDescent="0.25">
      <c r="B21" s="2"/>
      <c r="C21" s="15"/>
      <c r="D21" s="1007"/>
      <c r="E21" s="1010"/>
      <c r="F21" s="1009">
        <f t="shared" si="0"/>
        <v>0</v>
      </c>
      <c r="G21" s="1077"/>
      <c r="H21" s="72"/>
    </row>
    <row r="22" spans="1:9" x14ac:dyDescent="0.25">
      <c r="B22" s="2"/>
      <c r="C22" s="15"/>
      <c r="D22" s="1007"/>
      <c r="E22" s="1010"/>
      <c r="F22" s="1009">
        <f t="shared" si="0"/>
        <v>0</v>
      </c>
      <c r="G22" s="1077"/>
      <c r="H22" s="72"/>
    </row>
    <row r="23" spans="1:9" x14ac:dyDescent="0.25">
      <c r="B23" s="2"/>
      <c r="C23" s="15"/>
      <c r="D23" s="1007"/>
      <c r="E23" s="1010"/>
      <c r="F23" s="1009">
        <f t="shared" si="0"/>
        <v>0</v>
      </c>
      <c r="G23" s="1077"/>
      <c r="H23" s="72"/>
    </row>
    <row r="24" spans="1:9" x14ac:dyDescent="0.25">
      <c r="B24" s="2"/>
      <c r="C24" s="15"/>
      <c r="D24" s="1007"/>
      <c r="E24" s="1010"/>
      <c r="F24" s="1009">
        <f t="shared" si="0"/>
        <v>0</v>
      </c>
      <c r="G24" s="1075"/>
      <c r="H24" s="72"/>
    </row>
    <row r="25" spans="1:9" x14ac:dyDescent="0.25">
      <c r="B25" s="2"/>
      <c r="C25" s="15"/>
      <c r="D25" s="1007"/>
      <c r="E25" s="1010"/>
      <c r="F25" s="1009">
        <f t="shared" si="0"/>
        <v>0</v>
      </c>
      <c r="G25" s="1075"/>
      <c r="H25" s="72"/>
    </row>
    <row r="26" spans="1:9" x14ac:dyDescent="0.25">
      <c r="B26" s="111"/>
      <c r="C26" s="15"/>
      <c r="D26" s="14"/>
      <c r="E26" s="13"/>
      <c r="F26" s="292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2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2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3</v>
      </c>
      <c r="D32" s="107">
        <f>SUM(D8:D31)</f>
        <v>60.3</v>
      </c>
      <c r="E32" s="76"/>
      <c r="F32" s="107">
        <f>SUM(F8:F31)</f>
        <v>60.3</v>
      </c>
      <c r="G32" s="76"/>
      <c r="H32" s="76"/>
    </row>
    <row r="33" spans="1:8" x14ac:dyDescent="0.25">
      <c r="A33" s="76"/>
      <c r="B33" s="76"/>
      <c r="C33" s="76"/>
      <c r="D33" s="587" t="s">
        <v>21</v>
      </c>
      <c r="E33" s="588"/>
      <c r="F33" s="147">
        <f>E5-D32</f>
        <v>383.34999999999997</v>
      </c>
      <c r="G33" s="76"/>
      <c r="H33" s="76"/>
    </row>
    <row r="34" spans="1:8" ht="15.75" thickBot="1" x14ac:dyDescent="0.3">
      <c r="A34" s="76"/>
      <c r="B34" s="76"/>
      <c r="C34" s="76"/>
      <c r="D34" s="589" t="s">
        <v>4</v>
      </c>
      <c r="E34" s="590"/>
      <c r="F34" s="49">
        <f>F4+F5-C32</f>
        <v>18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10" activePane="bottomLeft" state="frozen"/>
      <selection pane="bottomLeft" activeCell="C16" sqref="C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72" t="s">
        <v>254</v>
      </c>
      <c r="B1" s="1172"/>
      <c r="C1" s="1172"/>
      <c r="D1" s="1172"/>
      <c r="E1" s="1172"/>
      <c r="F1" s="1172"/>
      <c r="G1" s="1172"/>
      <c r="H1" s="11">
        <v>1</v>
      </c>
      <c r="K1" s="1176" t="s">
        <v>265</v>
      </c>
      <c r="L1" s="1176"/>
      <c r="M1" s="1176"/>
      <c r="N1" s="1176"/>
      <c r="O1" s="1176"/>
      <c r="P1" s="1176"/>
      <c r="Q1" s="117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51"/>
      <c r="B4" s="1177" t="s">
        <v>164</v>
      </c>
      <c r="C4" s="338"/>
      <c r="D4" s="261"/>
      <c r="E4" s="836"/>
      <c r="F4" s="256"/>
      <c r="G4" s="166"/>
      <c r="H4" s="166"/>
      <c r="K4" s="751"/>
      <c r="L4" s="1177" t="s">
        <v>164</v>
      </c>
      <c r="M4" s="338"/>
      <c r="N4" s="261"/>
      <c r="O4" s="836"/>
      <c r="P4" s="256"/>
      <c r="Q4" s="166"/>
      <c r="R4" s="166"/>
    </row>
    <row r="5" spans="1:19" ht="15" customHeight="1" x14ac:dyDescent="0.25">
      <c r="A5" s="1165" t="s">
        <v>53</v>
      </c>
      <c r="B5" s="1174"/>
      <c r="C5" s="338">
        <v>150</v>
      </c>
      <c r="D5" s="261">
        <v>44515</v>
      </c>
      <c r="E5" s="836">
        <v>18217</v>
      </c>
      <c r="F5" s="256">
        <v>590</v>
      </c>
      <c r="G5" s="273"/>
      <c r="K5" s="1165" t="s">
        <v>268</v>
      </c>
      <c r="L5" s="1174"/>
      <c r="M5" s="338"/>
      <c r="N5" s="261"/>
      <c r="O5" s="836"/>
      <c r="P5" s="256"/>
      <c r="Q5" s="273"/>
    </row>
    <row r="6" spans="1:19" x14ac:dyDescent="0.25">
      <c r="A6" s="1165"/>
      <c r="B6" s="1174"/>
      <c r="C6" s="638"/>
      <c r="D6" s="261"/>
      <c r="E6" s="837">
        <v>1691.25</v>
      </c>
      <c r="F6" s="74">
        <v>18</v>
      </c>
      <c r="G6" s="275">
        <f>F79</f>
        <v>10948</v>
      </c>
      <c r="H6" s="7">
        <f>E6-G6+E7+E5-G5+E4</f>
        <v>8960.25</v>
      </c>
      <c r="K6" s="1165"/>
      <c r="L6" s="1174"/>
      <c r="M6" s="638"/>
      <c r="N6" s="261"/>
      <c r="O6" s="837"/>
      <c r="P6" s="74"/>
      <c r="Q6" s="275">
        <f>P79</f>
        <v>0</v>
      </c>
      <c r="R6" s="7">
        <f>O6-Q6+O7+O5-Q5+O4</f>
        <v>0</v>
      </c>
    </row>
    <row r="7" spans="1:19" x14ac:dyDescent="0.25">
      <c r="A7" s="751"/>
      <c r="B7" s="285"/>
      <c r="C7" s="296"/>
      <c r="D7" s="287"/>
      <c r="E7" s="836"/>
      <c r="F7" s="256"/>
      <c r="G7" s="253"/>
      <c r="K7" s="751"/>
      <c r="L7" s="285"/>
      <c r="M7" s="296"/>
      <c r="N7" s="287"/>
      <c r="O7" s="836"/>
      <c r="P7" s="256"/>
      <c r="Q7" s="253"/>
    </row>
    <row r="8" spans="1:19" ht="15.75" thickBot="1" x14ac:dyDescent="0.3">
      <c r="A8" s="751"/>
      <c r="B8" s="285"/>
      <c r="C8" s="296"/>
      <c r="D8" s="287"/>
      <c r="E8" s="836"/>
      <c r="F8" s="256"/>
      <c r="G8" s="253"/>
      <c r="K8" s="751"/>
      <c r="L8" s="285"/>
      <c r="M8" s="296"/>
      <c r="N8" s="287"/>
      <c r="O8" s="836"/>
      <c r="P8" s="256"/>
      <c r="Q8" s="253"/>
    </row>
    <row r="9" spans="1:19" ht="16.5" thickTop="1" thickBot="1" x14ac:dyDescent="0.3">
      <c r="A9" s="124"/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1" t="s">
        <v>32</v>
      </c>
      <c r="B10" s="84">
        <f>F6-C10+F5+F4+F7+F8</f>
        <v>579</v>
      </c>
      <c r="C10" s="15">
        <v>29</v>
      </c>
      <c r="D10" s="277">
        <v>821.24</v>
      </c>
      <c r="E10" s="308">
        <v>44531</v>
      </c>
      <c r="F10" s="277">
        <f t="shared" ref="F10:F73" si="0">D10</f>
        <v>821.24</v>
      </c>
      <c r="G10" s="278" t="s">
        <v>237</v>
      </c>
      <c r="H10" s="279">
        <v>143</v>
      </c>
      <c r="I10" s="288">
        <f>E6-F10+E5+E4+E7+E8</f>
        <v>19087.009999999998</v>
      </c>
      <c r="K10" s="81" t="s">
        <v>32</v>
      </c>
      <c r="L10" s="84">
        <f>P6-M10+P5+P4+P7+P8</f>
        <v>0</v>
      </c>
      <c r="M10" s="15"/>
      <c r="N10" s="277"/>
      <c r="O10" s="308"/>
      <c r="P10" s="277">
        <f t="shared" ref="P10:P73" si="1">N10</f>
        <v>0</v>
      </c>
      <c r="Q10" s="278"/>
      <c r="R10" s="279"/>
      <c r="S10" s="288">
        <f>O6-P10+O5+O4+O7+O8</f>
        <v>0</v>
      </c>
    </row>
    <row r="11" spans="1:19" x14ac:dyDescent="0.25">
      <c r="A11" s="217"/>
      <c r="B11" s="84">
        <f>B10-C11</f>
        <v>549</v>
      </c>
      <c r="C11" s="352">
        <v>30</v>
      </c>
      <c r="D11" s="1121">
        <v>863.59</v>
      </c>
      <c r="E11" s="984">
        <v>44537</v>
      </c>
      <c r="F11" s="983">
        <f t="shared" si="0"/>
        <v>863.59</v>
      </c>
      <c r="G11" s="687" t="s">
        <v>446</v>
      </c>
      <c r="H11" s="985">
        <v>155</v>
      </c>
      <c r="I11" s="288">
        <f>I10-F11</f>
        <v>18223.419999999998</v>
      </c>
      <c r="K11" s="217"/>
      <c r="L11" s="84">
        <f>L10-M11</f>
        <v>0</v>
      </c>
      <c r="M11" s="15"/>
      <c r="N11" s="983"/>
      <c r="O11" s="984"/>
      <c r="P11" s="983">
        <f t="shared" si="1"/>
        <v>0</v>
      </c>
      <c r="Q11" s="687"/>
      <c r="R11" s="985"/>
      <c r="S11" s="288">
        <f>S10-P11</f>
        <v>0</v>
      </c>
    </row>
    <row r="12" spans="1:19" x14ac:dyDescent="0.25">
      <c r="A12" s="205"/>
      <c r="B12" s="84">
        <f t="shared" ref="B12:B18" si="2">B11-C12</f>
        <v>548</v>
      </c>
      <c r="C12" s="15">
        <v>1</v>
      </c>
      <c r="D12" s="983">
        <v>28.03</v>
      </c>
      <c r="E12" s="984">
        <v>44537</v>
      </c>
      <c r="F12" s="983">
        <f t="shared" si="0"/>
        <v>28.03</v>
      </c>
      <c r="G12" s="687" t="s">
        <v>451</v>
      </c>
      <c r="H12" s="985">
        <v>155</v>
      </c>
      <c r="I12" s="288">
        <f t="shared" ref="I12:I75" si="3">I11-F12</f>
        <v>18195.39</v>
      </c>
      <c r="K12" s="205"/>
      <c r="L12" s="84">
        <f t="shared" ref="L12:L18" si="4">L11-M12</f>
        <v>0</v>
      </c>
      <c r="M12" s="15"/>
      <c r="N12" s="983"/>
      <c r="O12" s="984"/>
      <c r="P12" s="983">
        <f t="shared" si="1"/>
        <v>0</v>
      </c>
      <c r="Q12" s="687"/>
      <c r="R12" s="985"/>
      <c r="S12" s="288">
        <f t="shared" ref="S12:S75" si="5">S11-P12</f>
        <v>0</v>
      </c>
    </row>
    <row r="13" spans="1:19" ht="15.75" x14ac:dyDescent="0.25">
      <c r="A13" s="205"/>
      <c r="B13" s="84">
        <f t="shared" si="2"/>
        <v>548</v>
      </c>
      <c r="C13" s="15"/>
      <c r="D13" s="983">
        <v>0</v>
      </c>
      <c r="E13" s="984"/>
      <c r="F13" s="983">
        <f t="shared" si="0"/>
        <v>0</v>
      </c>
      <c r="G13" s="687"/>
      <c r="H13" s="985"/>
      <c r="I13" s="288">
        <f t="shared" si="3"/>
        <v>18195.39</v>
      </c>
      <c r="K13" s="205"/>
      <c r="L13" s="84">
        <f t="shared" si="4"/>
        <v>0</v>
      </c>
      <c r="M13" s="15"/>
      <c r="N13" s="983"/>
      <c r="O13" s="984"/>
      <c r="P13" s="983">
        <f t="shared" si="1"/>
        <v>0</v>
      </c>
      <c r="Q13" s="687"/>
      <c r="R13" s="985"/>
      <c r="S13" s="468">
        <f t="shared" si="5"/>
        <v>0</v>
      </c>
    </row>
    <row r="14" spans="1:19" ht="15.75" x14ac:dyDescent="0.25">
      <c r="A14" s="83" t="s">
        <v>33</v>
      </c>
      <c r="B14" s="84">
        <f t="shared" si="2"/>
        <v>546</v>
      </c>
      <c r="C14" s="15">
        <v>2</v>
      </c>
      <c r="D14" s="983">
        <v>53.52</v>
      </c>
      <c r="E14" s="984">
        <v>44539</v>
      </c>
      <c r="F14" s="983">
        <f t="shared" si="0"/>
        <v>53.52</v>
      </c>
      <c r="G14" s="687" t="s">
        <v>490</v>
      </c>
      <c r="H14" s="985">
        <v>155</v>
      </c>
      <c r="I14" s="288">
        <f t="shared" si="3"/>
        <v>18141.87</v>
      </c>
      <c r="K14" s="83" t="s">
        <v>33</v>
      </c>
      <c r="L14" s="84">
        <f t="shared" si="4"/>
        <v>0</v>
      </c>
      <c r="M14" s="15"/>
      <c r="N14" s="983"/>
      <c r="O14" s="984"/>
      <c r="P14" s="983">
        <f t="shared" si="1"/>
        <v>0</v>
      </c>
      <c r="Q14" s="687"/>
      <c r="R14" s="985"/>
      <c r="S14" s="468">
        <f t="shared" si="5"/>
        <v>0</v>
      </c>
    </row>
    <row r="15" spans="1:19" ht="15.75" x14ac:dyDescent="0.25">
      <c r="A15" s="74"/>
      <c r="B15" s="84">
        <f t="shared" si="2"/>
        <v>511</v>
      </c>
      <c r="C15" s="15">
        <v>35</v>
      </c>
      <c r="D15" s="983">
        <v>1151.5</v>
      </c>
      <c r="E15" s="984">
        <v>44540</v>
      </c>
      <c r="F15" s="983">
        <f t="shared" si="0"/>
        <v>1151.5</v>
      </c>
      <c r="G15" s="687" t="s">
        <v>502</v>
      </c>
      <c r="H15" s="985">
        <v>155</v>
      </c>
      <c r="I15" s="288">
        <f t="shared" si="3"/>
        <v>16990.37</v>
      </c>
      <c r="K15" s="74"/>
      <c r="L15" s="84">
        <f t="shared" si="4"/>
        <v>0</v>
      </c>
      <c r="M15" s="15"/>
      <c r="N15" s="983"/>
      <c r="O15" s="984"/>
      <c r="P15" s="983">
        <f t="shared" si="1"/>
        <v>0</v>
      </c>
      <c r="Q15" s="687"/>
      <c r="R15" s="985"/>
      <c r="S15" s="468">
        <f t="shared" si="5"/>
        <v>0</v>
      </c>
    </row>
    <row r="16" spans="1:19" x14ac:dyDescent="0.25">
      <c r="A16" s="74"/>
      <c r="B16" s="84">
        <f t="shared" si="2"/>
        <v>491</v>
      </c>
      <c r="C16" s="15">
        <v>20</v>
      </c>
      <c r="D16" s="983">
        <v>516.39</v>
      </c>
      <c r="E16" s="984">
        <v>44541</v>
      </c>
      <c r="F16" s="983">
        <f t="shared" si="0"/>
        <v>516.39</v>
      </c>
      <c r="G16" s="687" t="s">
        <v>505</v>
      </c>
      <c r="H16" s="985">
        <v>155</v>
      </c>
      <c r="I16" s="288">
        <f t="shared" si="3"/>
        <v>16473.98</v>
      </c>
      <c r="K16" s="74"/>
      <c r="L16" s="84">
        <f t="shared" si="4"/>
        <v>0</v>
      </c>
      <c r="M16" s="15"/>
      <c r="N16" s="983"/>
      <c r="O16" s="984"/>
      <c r="P16" s="983">
        <f t="shared" si="1"/>
        <v>0</v>
      </c>
      <c r="Q16" s="687"/>
      <c r="R16" s="985"/>
      <c r="S16" s="288">
        <f t="shared" si="5"/>
        <v>0</v>
      </c>
    </row>
    <row r="17" spans="1:19" x14ac:dyDescent="0.25">
      <c r="B17" s="84">
        <f t="shared" si="2"/>
        <v>456</v>
      </c>
      <c r="C17" s="15">
        <v>35</v>
      </c>
      <c r="D17" s="983">
        <v>1064.5</v>
      </c>
      <c r="E17" s="984">
        <v>44543</v>
      </c>
      <c r="F17" s="983">
        <f t="shared" si="0"/>
        <v>1064.5</v>
      </c>
      <c r="G17" s="687" t="s">
        <v>475</v>
      </c>
      <c r="H17" s="985">
        <v>155</v>
      </c>
      <c r="I17" s="288">
        <f t="shared" si="3"/>
        <v>15409.48</v>
      </c>
      <c r="L17" s="84">
        <f t="shared" si="4"/>
        <v>0</v>
      </c>
      <c r="M17" s="15"/>
      <c r="N17" s="983"/>
      <c r="O17" s="984"/>
      <c r="P17" s="983">
        <f t="shared" si="1"/>
        <v>0</v>
      </c>
      <c r="Q17" s="687"/>
      <c r="R17" s="985"/>
      <c r="S17" s="288">
        <f t="shared" si="5"/>
        <v>0</v>
      </c>
    </row>
    <row r="18" spans="1:19" x14ac:dyDescent="0.25">
      <c r="B18" s="84">
        <f t="shared" si="2"/>
        <v>455</v>
      </c>
      <c r="C18" s="15">
        <v>1</v>
      </c>
      <c r="D18" s="983">
        <v>25.45</v>
      </c>
      <c r="E18" s="984">
        <v>44544</v>
      </c>
      <c r="F18" s="983">
        <f t="shared" si="0"/>
        <v>25.45</v>
      </c>
      <c r="G18" s="687" t="s">
        <v>520</v>
      </c>
      <c r="H18" s="985">
        <v>155</v>
      </c>
      <c r="I18" s="288">
        <f t="shared" si="3"/>
        <v>15384.029999999999</v>
      </c>
      <c r="L18" s="84">
        <f t="shared" si="4"/>
        <v>0</v>
      </c>
      <c r="M18" s="15"/>
      <c r="N18" s="983"/>
      <c r="O18" s="984"/>
      <c r="P18" s="983">
        <f t="shared" si="1"/>
        <v>0</v>
      </c>
      <c r="Q18" s="687"/>
      <c r="R18" s="985"/>
      <c r="S18" s="288">
        <f t="shared" si="5"/>
        <v>0</v>
      </c>
    </row>
    <row r="19" spans="1:19" x14ac:dyDescent="0.25">
      <c r="A19" s="126"/>
      <c r="B19" s="84">
        <f>B18-C19</f>
        <v>445</v>
      </c>
      <c r="C19" s="15">
        <v>10</v>
      </c>
      <c r="D19" s="983">
        <v>294.98</v>
      </c>
      <c r="E19" s="984">
        <v>44544</v>
      </c>
      <c r="F19" s="983">
        <f t="shared" si="0"/>
        <v>294.98</v>
      </c>
      <c r="G19" s="687" t="s">
        <v>486</v>
      </c>
      <c r="H19" s="985">
        <v>155</v>
      </c>
      <c r="I19" s="288">
        <f t="shared" si="3"/>
        <v>15089.05</v>
      </c>
      <c r="K19" s="126"/>
      <c r="L19" s="84">
        <f>L18-M19</f>
        <v>0</v>
      </c>
      <c r="M19" s="15"/>
      <c r="N19" s="983"/>
      <c r="O19" s="984"/>
      <c r="P19" s="983">
        <f t="shared" si="1"/>
        <v>0</v>
      </c>
      <c r="Q19" s="687"/>
      <c r="R19" s="985"/>
      <c r="S19" s="288">
        <f t="shared" si="5"/>
        <v>0</v>
      </c>
    </row>
    <row r="20" spans="1:19" x14ac:dyDescent="0.25">
      <c r="A20" s="126"/>
      <c r="B20" s="84">
        <f t="shared" ref="B20:B55" si="6">B19-C20</f>
        <v>444</v>
      </c>
      <c r="C20" s="15">
        <v>1</v>
      </c>
      <c r="D20" s="983">
        <v>27.4</v>
      </c>
      <c r="E20" s="984">
        <v>44545</v>
      </c>
      <c r="F20" s="983">
        <f t="shared" si="0"/>
        <v>27.4</v>
      </c>
      <c r="G20" s="687" t="s">
        <v>527</v>
      </c>
      <c r="H20" s="985">
        <v>155</v>
      </c>
      <c r="I20" s="288">
        <f t="shared" si="3"/>
        <v>15061.65</v>
      </c>
      <c r="K20" s="126"/>
      <c r="L20" s="84">
        <f t="shared" ref="L20:L55" si="7">L19-M20</f>
        <v>0</v>
      </c>
      <c r="M20" s="15"/>
      <c r="N20" s="983"/>
      <c r="O20" s="984"/>
      <c r="P20" s="983">
        <f t="shared" si="1"/>
        <v>0</v>
      </c>
      <c r="Q20" s="687"/>
      <c r="R20" s="985"/>
      <c r="S20" s="288">
        <f t="shared" si="5"/>
        <v>0</v>
      </c>
    </row>
    <row r="21" spans="1:19" x14ac:dyDescent="0.25">
      <c r="A21" s="126"/>
      <c r="B21" s="84">
        <f t="shared" si="6"/>
        <v>442</v>
      </c>
      <c r="C21" s="15">
        <v>2</v>
      </c>
      <c r="D21" s="983">
        <v>55.57</v>
      </c>
      <c r="E21" s="984">
        <v>44548</v>
      </c>
      <c r="F21" s="983">
        <f t="shared" si="0"/>
        <v>55.57</v>
      </c>
      <c r="G21" s="687" t="s">
        <v>546</v>
      </c>
      <c r="H21" s="985">
        <v>155</v>
      </c>
      <c r="I21" s="288">
        <f t="shared" si="3"/>
        <v>15006.08</v>
      </c>
      <c r="K21" s="126"/>
      <c r="L21" s="84">
        <f t="shared" si="7"/>
        <v>0</v>
      </c>
      <c r="M21" s="15"/>
      <c r="N21" s="983"/>
      <c r="O21" s="984"/>
      <c r="P21" s="983">
        <f t="shared" si="1"/>
        <v>0</v>
      </c>
      <c r="Q21" s="687"/>
      <c r="R21" s="985"/>
      <c r="S21" s="288">
        <f t="shared" si="5"/>
        <v>0</v>
      </c>
    </row>
    <row r="22" spans="1:19" x14ac:dyDescent="0.25">
      <c r="A22" s="126"/>
      <c r="B22" s="84">
        <f t="shared" si="6"/>
        <v>407</v>
      </c>
      <c r="C22" s="15">
        <v>35</v>
      </c>
      <c r="D22" s="983">
        <v>1121.07</v>
      </c>
      <c r="E22" s="984">
        <v>44548</v>
      </c>
      <c r="F22" s="983">
        <f t="shared" si="0"/>
        <v>1121.07</v>
      </c>
      <c r="G22" s="687" t="s">
        <v>547</v>
      </c>
      <c r="H22" s="985">
        <v>155</v>
      </c>
      <c r="I22" s="288">
        <f t="shared" si="3"/>
        <v>13885.01</v>
      </c>
      <c r="K22" s="126"/>
      <c r="L22" s="84">
        <f t="shared" si="7"/>
        <v>0</v>
      </c>
      <c r="M22" s="15"/>
      <c r="N22" s="983"/>
      <c r="O22" s="984"/>
      <c r="P22" s="983">
        <f t="shared" si="1"/>
        <v>0</v>
      </c>
      <c r="Q22" s="687"/>
      <c r="R22" s="985"/>
      <c r="S22" s="288">
        <f t="shared" si="5"/>
        <v>0</v>
      </c>
    </row>
    <row r="23" spans="1:19" x14ac:dyDescent="0.25">
      <c r="A23" s="126"/>
      <c r="B23" s="294">
        <f t="shared" si="6"/>
        <v>406</v>
      </c>
      <c r="C23" s="15">
        <v>1</v>
      </c>
      <c r="D23" s="983">
        <v>28.67</v>
      </c>
      <c r="E23" s="984">
        <v>44548</v>
      </c>
      <c r="F23" s="983">
        <f t="shared" si="0"/>
        <v>28.67</v>
      </c>
      <c r="G23" s="687" t="s">
        <v>549</v>
      </c>
      <c r="H23" s="985">
        <v>155</v>
      </c>
      <c r="I23" s="288">
        <f t="shared" si="3"/>
        <v>13856.34</v>
      </c>
      <c r="K23" s="126"/>
      <c r="L23" s="294">
        <f t="shared" si="7"/>
        <v>0</v>
      </c>
      <c r="M23" s="15"/>
      <c r="N23" s="983"/>
      <c r="O23" s="984"/>
      <c r="P23" s="983">
        <f t="shared" si="1"/>
        <v>0</v>
      </c>
      <c r="Q23" s="687"/>
      <c r="R23" s="985"/>
      <c r="S23" s="288">
        <f t="shared" si="5"/>
        <v>0</v>
      </c>
    </row>
    <row r="24" spans="1:19" x14ac:dyDescent="0.25">
      <c r="A24" s="127"/>
      <c r="B24" s="294">
        <f t="shared" si="6"/>
        <v>398</v>
      </c>
      <c r="C24" s="15">
        <v>8</v>
      </c>
      <c r="D24" s="983">
        <v>270.12</v>
      </c>
      <c r="E24" s="984">
        <v>44550</v>
      </c>
      <c r="F24" s="983">
        <f t="shared" si="0"/>
        <v>270.12</v>
      </c>
      <c r="G24" s="687" t="s">
        <v>556</v>
      </c>
      <c r="H24" s="985">
        <v>155</v>
      </c>
      <c r="I24" s="288">
        <f t="shared" si="3"/>
        <v>13586.22</v>
      </c>
      <c r="K24" s="127"/>
      <c r="L24" s="294">
        <f t="shared" si="7"/>
        <v>0</v>
      </c>
      <c r="M24" s="15"/>
      <c r="N24" s="983"/>
      <c r="O24" s="984"/>
      <c r="P24" s="983">
        <f t="shared" si="1"/>
        <v>0</v>
      </c>
      <c r="Q24" s="687"/>
      <c r="R24" s="985"/>
      <c r="S24" s="288">
        <f t="shared" si="5"/>
        <v>0</v>
      </c>
    </row>
    <row r="25" spans="1:19" x14ac:dyDescent="0.25">
      <c r="A25" s="126"/>
      <c r="B25" s="294">
        <f t="shared" si="6"/>
        <v>363</v>
      </c>
      <c r="C25" s="15">
        <v>35</v>
      </c>
      <c r="D25" s="983">
        <v>1068.82</v>
      </c>
      <c r="E25" s="984">
        <v>44551</v>
      </c>
      <c r="F25" s="983">
        <f t="shared" si="0"/>
        <v>1068.82</v>
      </c>
      <c r="G25" s="687" t="s">
        <v>570</v>
      </c>
      <c r="H25" s="985">
        <v>155</v>
      </c>
      <c r="I25" s="288">
        <f t="shared" si="3"/>
        <v>12517.4</v>
      </c>
      <c r="K25" s="126"/>
      <c r="L25" s="294">
        <f t="shared" si="7"/>
        <v>0</v>
      </c>
      <c r="M25" s="15"/>
      <c r="N25" s="983"/>
      <c r="O25" s="984"/>
      <c r="P25" s="983">
        <f t="shared" si="1"/>
        <v>0</v>
      </c>
      <c r="Q25" s="687"/>
      <c r="R25" s="985"/>
      <c r="S25" s="288">
        <f t="shared" si="5"/>
        <v>0</v>
      </c>
    </row>
    <row r="26" spans="1:19" x14ac:dyDescent="0.25">
      <c r="A26" s="126"/>
      <c r="B26" s="294">
        <f t="shared" si="6"/>
        <v>362</v>
      </c>
      <c r="C26" s="15">
        <v>1</v>
      </c>
      <c r="D26" s="983">
        <v>29.85</v>
      </c>
      <c r="E26" s="984">
        <v>44552</v>
      </c>
      <c r="F26" s="983">
        <f t="shared" si="0"/>
        <v>29.85</v>
      </c>
      <c r="G26" s="687" t="s">
        <v>586</v>
      </c>
      <c r="H26" s="985">
        <v>155</v>
      </c>
      <c r="I26" s="288">
        <f t="shared" si="3"/>
        <v>12487.55</v>
      </c>
      <c r="K26" s="126"/>
      <c r="L26" s="294">
        <f t="shared" si="7"/>
        <v>0</v>
      </c>
      <c r="M26" s="15"/>
      <c r="N26" s="983"/>
      <c r="O26" s="984"/>
      <c r="P26" s="983">
        <f t="shared" si="1"/>
        <v>0</v>
      </c>
      <c r="Q26" s="687"/>
      <c r="R26" s="985"/>
      <c r="S26" s="288">
        <f t="shared" si="5"/>
        <v>0</v>
      </c>
    </row>
    <row r="27" spans="1:19" x14ac:dyDescent="0.25">
      <c r="A27" s="126"/>
      <c r="B27" s="205">
        <f t="shared" si="6"/>
        <v>360</v>
      </c>
      <c r="C27" s="15">
        <v>2</v>
      </c>
      <c r="D27" s="983">
        <v>56.48</v>
      </c>
      <c r="E27" s="984">
        <v>44553</v>
      </c>
      <c r="F27" s="983">
        <f t="shared" si="0"/>
        <v>56.48</v>
      </c>
      <c r="G27" s="687" t="s">
        <v>596</v>
      </c>
      <c r="H27" s="985">
        <v>155</v>
      </c>
      <c r="I27" s="288">
        <f t="shared" si="3"/>
        <v>12431.07</v>
      </c>
      <c r="K27" s="126"/>
      <c r="L27" s="205">
        <f t="shared" si="7"/>
        <v>0</v>
      </c>
      <c r="M27" s="15"/>
      <c r="N27" s="983"/>
      <c r="O27" s="984"/>
      <c r="P27" s="983">
        <f t="shared" si="1"/>
        <v>0</v>
      </c>
      <c r="Q27" s="687"/>
      <c r="R27" s="985"/>
      <c r="S27" s="288">
        <f t="shared" si="5"/>
        <v>0</v>
      </c>
    </row>
    <row r="28" spans="1:19" x14ac:dyDescent="0.25">
      <c r="A28" s="126"/>
      <c r="B28" s="294">
        <f t="shared" si="6"/>
        <v>359</v>
      </c>
      <c r="C28" s="15">
        <v>1</v>
      </c>
      <c r="D28" s="983">
        <v>28.76</v>
      </c>
      <c r="E28" s="984">
        <v>44553</v>
      </c>
      <c r="F28" s="983">
        <f t="shared" si="0"/>
        <v>28.76</v>
      </c>
      <c r="G28" s="687" t="s">
        <v>601</v>
      </c>
      <c r="H28" s="985">
        <v>155</v>
      </c>
      <c r="I28" s="288">
        <f t="shared" si="3"/>
        <v>12402.31</v>
      </c>
      <c r="K28" s="126"/>
      <c r="L28" s="294">
        <f t="shared" si="7"/>
        <v>0</v>
      </c>
      <c r="M28" s="15"/>
      <c r="N28" s="983"/>
      <c r="O28" s="984"/>
      <c r="P28" s="983">
        <f t="shared" si="1"/>
        <v>0</v>
      </c>
      <c r="Q28" s="687"/>
      <c r="R28" s="985"/>
      <c r="S28" s="288">
        <f t="shared" si="5"/>
        <v>0</v>
      </c>
    </row>
    <row r="29" spans="1:19" x14ac:dyDescent="0.25">
      <c r="A29" s="126"/>
      <c r="B29" s="205">
        <f t="shared" si="6"/>
        <v>329</v>
      </c>
      <c r="C29" s="15">
        <v>30</v>
      </c>
      <c r="D29" s="983">
        <v>904.19</v>
      </c>
      <c r="E29" s="984">
        <v>44554</v>
      </c>
      <c r="F29" s="983">
        <f t="shared" si="0"/>
        <v>904.19</v>
      </c>
      <c r="G29" s="687" t="s">
        <v>609</v>
      </c>
      <c r="H29" s="985">
        <v>155</v>
      </c>
      <c r="I29" s="288">
        <f t="shared" si="3"/>
        <v>11498.119999999999</v>
      </c>
      <c r="K29" s="126"/>
      <c r="L29" s="205">
        <f t="shared" si="7"/>
        <v>0</v>
      </c>
      <c r="M29" s="15"/>
      <c r="N29" s="983"/>
      <c r="O29" s="984"/>
      <c r="P29" s="983">
        <f t="shared" si="1"/>
        <v>0</v>
      </c>
      <c r="Q29" s="687"/>
      <c r="R29" s="985"/>
      <c r="S29" s="288">
        <f t="shared" si="5"/>
        <v>0</v>
      </c>
    </row>
    <row r="30" spans="1:19" x14ac:dyDescent="0.25">
      <c r="A30" s="126"/>
      <c r="B30" s="294">
        <f t="shared" si="6"/>
        <v>309</v>
      </c>
      <c r="C30" s="15">
        <v>20</v>
      </c>
      <c r="D30" s="983">
        <v>598.11</v>
      </c>
      <c r="E30" s="984">
        <v>44556</v>
      </c>
      <c r="F30" s="983">
        <f t="shared" si="0"/>
        <v>598.11</v>
      </c>
      <c r="G30" s="687" t="s">
        <v>620</v>
      </c>
      <c r="H30" s="985">
        <v>155</v>
      </c>
      <c r="I30" s="288">
        <f t="shared" si="3"/>
        <v>10900.009999999998</v>
      </c>
      <c r="K30" s="126"/>
      <c r="L30" s="294">
        <f t="shared" si="7"/>
        <v>0</v>
      </c>
      <c r="M30" s="15"/>
      <c r="N30" s="983"/>
      <c r="O30" s="984"/>
      <c r="P30" s="983">
        <f t="shared" si="1"/>
        <v>0</v>
      </c>
      <c r="Q30" s="687"/>
      <c r="R30" s="985"/>
      <c r="S30" s="288">
        <f t="shared" si="5"/>
        <v>0</v>
      </c>
    </row>
    <row r="31" spans="1:19" x14ac:dyDescent="0.25">
      <c r="A31" s="126"/>
      <c r="B31" s="294">
        <f t="shared" si="6"/>
        <v>299</v>
      </c>
      <c r="C31" s="15">
        <v>10</v>
      </c>
      <c r="D31" s="983">
        <v>294.42</v>
      </c>
      <c r="E31" s="984">
        <v>44556</v>
      </c>
      <c r="F31" s="983">
        <f t="shared" si="0"/>
        <v>294.42</v>
      </c>
      <c r="G31" s="687" t="s">
        <v>621</v>
      </c>
      <c r="H31" s="985">
        <v>155</v>
      </c>
      <c r="I31" s="288">
        <f t="shared" si="3"/>
        <v>10605.589999999998</v>
      </c>
      <c r="K31" s="126"/>
      <c r="L31" s="294">
        <f t="shared" si="7"/>
        <v>0</v>
      </c>
      <c r="M31" s="15"/>
      <c r="N31" s="355"/>
      <c r="O31" s="852"/>
      <c r="P31" s="355">
        <f t="shared" si="1"/>
        <v>0</v>
      </c>
      <c r="Q31" s="853"/>
      <c r="R31" s="316"/>
      <c r="S31" s="288">
        <f t="shared" si="5"/>
        <v>0</v>
      </c>
    </row>
    <row r="32" spans="1:19" x14ac:dyDescent="0.25">
      <c r="A32" s="126"/>
      <c r="B32" s="294">
        <f t="shared" si="6"/>
        <v>294</v>
      </c>
      <c r="C32" s="15">
        <v>5</v>
      </c>
      <c r="D32" s="983">
        <v>151.72999999999999</v>
      </c>
      <c r="E32" s="984">
        <v>44557</v>
      </c>
      <c r="F32" s="983">
        <f t="shared" si="0"/>
        <v>151.72999999999999</v>
      </c>
      <c r="G32" s="687" t="s">
        <v>624</v>
      </c>
      <c r="H32" s="985">
        <v>155</v>
      </c>
      <c r="I32" s="288">
        <f t="shared" si="3"/>
        <v>10453.859999999999</v>
      </c>
      <c r="K32" s="126"/>
      <c r="L32" s="294">
        <f t="shared" si="7"/>
        <v>0</v>
      </c>
      <c r="M32" s="15"/>
      <c r="N32" s="277"/>
      <c r="O32" s="308"/>
      <c r="P32" s="277">
        <f t="shared" si="1"/>
        <v>0</v>
      </c>
      <c r="Q32" s="278"/>
      <c r="R32" s="279"/>
      <c r="S32" s="288">
        <f t="shared" si="5"/>
        <v>0</v>
      </c>
    </row>
    <row r="33" spans="1:19" x14ac:dyDescent="0.25">
      <c r="A33" s="126"/>
      <c r="B33" s="294">
        <f t="shared" si="6"/>
        <v>284</v>
      </c>
      <c r="C33" s="15">
        <v>10</v>
      </c>
      <c r="D33" s="983">
        <v>319.94</v>
      </c>
      <c r="E33" s="984">
        <v>44560</v>
      </c>
      <c r="F33" s="983">
        <f t="shared" si="0"/>
        <v>319.94</v>
      </c>
      <c r="G33" s="687" t="s">
        <v>657</v>
      </c>
      <c r="H33" s="985">
        <v>155</v>
      </c>
      <c r="I33" s="288">
        <f t="shared" si="3"/>
        <v>10133.919999999998</v>
      </c>
      <c r="K33" s="126"/>
      <c r="L33" s="294">
        <f t="shared" si="7"/>
        <v>0</v>
      </c>
      <c r="M33" s="15"/>
      <c r="N33" s="277"/>
      <c r="O33" s="308"/>
      <c r="P33" s="277">
        <f t="shared" si="1"/>
        <v>0</v>
      </c>
      <c r="Q33" s="278"/>
      <c r="R33" s="279"/>
      <c r="S33" s="288">
        <f t="shared" si="5"/>
        <v>0</v>
      </c>
    </row>
    <row r="34" spans="1:19" x14ac:dyDescent="0.25">
      <c r="A34" s="126"/>
      <c r="B34" s="294">
        <f t="shared" si="6"/>
        <v>283</v>
      </c>
      <c r="C34" s="15">
        <v>1</v>
      </c>
      <c r="D34" s="983">
        <v>27.35</v>
      </c>
      <c r="E34" s="984">
        <v>44561</v>
      </c>
      <c r="F34" s="983">
        <f t="shared" si="0"/>
        <v>27.35</v>
      </c>
      <c r="G34" s="687" t="s">
        <v>671</v>
      </c>
      <c r="H34" s="985">
        <v>155</v>
      </c>
      <c r="I34" s="288">
        <f t="shared" si="3"/>
        <v>10106.569999999998</v>
      </c>
      <c r="K34" s="126"/>
      <c r="L34" s="294">
        <f t="shared" si="7"/>
        <v>0</v>
      </c>
      <c r="M34" s="15"/>
      <c r="N34" s="277"/>
      <c r="O34" s="308"/>
      <c r="P34" s="277">
        <f t="shared" si="1"/>
        <v>0</v>
      </c>
      <c r="Q34" s="278"/>
      <c r="R34" s="279"/>
      <c r="S34" s="288">
        <f t="shared" si="5"/>
        <v>0</v>
      </c>
    </row>
    <row r="35" spans="1:19" x14ac:dyDescent="0.25">
      <c r="A35" s="126"/>
      <c r="B35" s="294">
        <f t="shared" si="6"/>
        <v>248</v>
      </c>
      <c r="C35" s="15">
        <v>35</v>
      </c>
      <c r="D35" s="983">
        <v>1091.1099999999999</v>
      </c>
      <c r="E35" s="984">
        <v>44561</v>
      </c>
      <c r="F35" s="983">
        <f t="shared" si="0"/>
        <v>1091.1099999999999</v>
      </c>
      <c r="G35" s="687" t="s">
        <v>675</v>
      </c>
      <c r="H35" s="985">
        <v>155</v>
      </c>
      <c r="I35" s="288">
        <f t="shared" si="3"/>
        <v>9015.4599999999973</v>
      </c>
      <c r="K35" s="126"/>
      <c r="L35" s="294">
        <f t="shared" si="7"/>
        <v>0</v>
      </c>
      <c r="M35" s="15"/>
      <c r="N35" s="277"/>
      <c r="O35" s="308"/>
      <c r="P35" s="277">
        <f t="shared" si="1"/>
        <v>0</v>
      </c>
      <c r="Q35" s="278"/>
      <c r="R35" s="279"/>
      <c r="S35" s="288">
        <f t="shared" si="5"/>
        <v>0</v>
      </c>
    </row>
    <row r="36" spans="1:19" x14ac:dyDescent="0.25">
      <c r="A36" s="126"/>
      <c r="B36" s="294">
        <f t="shared" si="6"/>
        <v>246</v>
      </c>
      <c r="C36" s="15">
        <v>2</v>
      </c>
      <c r="D36" s="983">
        <v>55.21</v>
      </c>
      <c r="E36" s="984">
        <v>44561</v>
      </c>
      <c r="F36" s="983">
        <f t="shared" si="0"/>
        <v>55.21</v>
      </c>
      <c r="G36" s="687" t="s">
        <v>676</v>
      </c>
      <c r="H36" s="985">
        <v>155</v>
      </c>
      <c r="I36" s="288">
        <f t="shared" si="3"/>
        <v>8960.2499999999982</v>
      </c>
      <c r="K36" s="126"/>
      <c r="L36" s="294">
        <f t="shared" si="7"/>
        <v>0</v>
      </c>
      <c r="M36" s="15"/>
      <c r="N36" s="277"/>
      <c r="O36" s="308"/>
      <c r="P36" s="277">
        <f t="shared" si="1"/>
        <v>0</v>
      </c>
      <c r="Q36" s="278"/>
      <c r="R36" s="279"/>
      <c r="S36" s="288">
        <f t="shared" si="5"/>
        <v>0</v>
      </c>
    </row>
    <row r="37" spans="1:19" x14ac:dyDescent="0.25">
      <c r="A37" s="126" t="s">
        <v>22</v>
      </c>
      <c r="B37" s="294">
        <f t="shared" si="6"/>
        <v>246</v>
      </c>
      <c r="C37" s="15"/>
      <c r="D37" s="983"/>
      <c r="E37" s="984"/>
      <c r="F37" s="983">
        <f t="shared" si="0"/>
        <v>0</v>
      </c>
      <c r="G37" s="687"/>
      <c r="H37" s="985"/>
      <c r="I37" s="288">
        <f t="shared" si="3"/>
        <v>8960.2499999999982</v>
      </c>
      <c r="K37" s="126" t="s">
        <v>22</v>
      </c>
      <c r="L37" s="294">
        <f t="shared" si="7"/>
        <v>0</v>
      </c>
      <c r="M37" s="15"/>
      <c r="N37" s="277"/>
      <c r="O37" s="308"/>
      <c r="P37" s="277">
        <f t="shared" si="1"/>
        <v>0</v>
      </c>
      <c r="Q37" s="278"/>
      <c r="R37" s="279"/>
      <c r="S37" s="288">
        <f t="shared" si="5"/>
        <v>0</v>
      </c>
    </row>
    <row r="38" spans="1:19" x14ac:dyDescent="0.25">
      <c r="A38" s="127"/>
      <c r="B38" s="294">
        <f t="shared" si="6"/>
        <v>246</v>
      </c>
      <c r="C38" s="15"/>
      <c r="D38" s="983"/>
      <c r="E38" s="984"/>
      <c r="F38" s="983">
        <f t="shared" si="0"/>
        <v>0</v>
      </c>
      <c r="G38" s="687"/>
      <c r="H38" s="985"/>
      <c r="I38" s="288">
        <f t="shared" si="3"/>
        <v>8960.2499999999982</v>
      </c>
      <c r="K38" s="127"/>
      <c r="L38" s="294">
        <f t="shared" si="7"/>
        <v>0</v>
      </c>
      <c r="M38" s="15"/>
      <c r="N38" s="277"/>
      <c r="O38" s="308"/>
      <c r="P38" s="277">
        <f t="shared" si="1"/>
        <v>0</v>
      </c>
      <c r="Q38" s="278"/>
      <c r="R38" s="279"/>
      <c r="S38" s="288">
        <f t="shared" si="5"/>
        <v>0</v>
      </c>
    </row>
    <row r="39" spans="1:19" x14ac:dyDescent="0.25">
      <c r="A39" s="126"/>
      <c r="B39" s="294">
        <f t="shared" si="6"/>
        <v>246</v>
      </c>
      <c r="C39" s="15"/>
      <c r="D39" s="983"/>
      <c r="E39" s="984"/>
      <c r="F39" s="983">
        <f t="shared" si="0"/>
        <v>0</v>
      </c>
      <c r="G39" s="687"/>
      <c r="H39" s="985"/>
      <c r="I39" s="288">
        <f t="shared" si="3"/>
        <v>8960.2499999999982</v>
      </c>
      <c r="K39" s="126"/>
      <c r="L39" s="294">
        <f t="shared" si="7"/>
        <v>0</v>
      </c>
      <c r="M39" s="15"/>
      <c r="N39" s="277"/>
      <c r="O39" s="308"/>
      <c r="P39" s="277">
        <f t="shared" si="1"/>
        <v>0</v>
      </c>
      <c r="Q39" s="278"/>
      <c r="R39" s="279"/>
      <c r="S39" s="288">
        <f t="shared" si="5"/>
        <v>0</v>
      </c>
    </row>
    <row r="40" spans="1:19" x14ac:dyDescent="0.25">
      <c r="A40" s="126"/>
      <c r="B40" s="84">
        <f t="shared" si="6"/>
        <v>246</v>
      </c>
      <c r="C40" s="15"/>
      <c r="D40" s="983"/>
      <c r="E40" s="984"/>
      <c r="F40" s="983">
        <f t="shared" si="0"/>
        <v>0</v>
      </c>
      <c r="G40" s="687"/>
      <c r="H40" s="985"/>
      <c r="I40" s="288">
        <f t="shared" si="3"/>
        <v>8960.2499999999982</v>
      </c>
      <c r="K40" s="126"/>
      <c r="L40" s="84">
        <f t="shared" si="7"/>
        <v>0</v>
      </c>
      <c r="M40" s="15"/>
      <c r="N40" s="277"/>
      <c r="O40" s="308"/>
      <c r="P40" s="277">
        <f t="shared" si="1"/>
        <v>0</v>
      </c>
      <c r="Q40" s="278"/>
      <c r="R40" s="279"/>
      <c r="S40" s="288">
        <f t="shared" si="5"/>
        <v>0</v>
      </c>
    </row>
    <row r="41" spans="1:19" x14ac:dyDescent="0.25">
      <c r="A41" s="126"/>
      <c r="B41" s="84">
        <f t="shared" si="6"/>
        <v>246</v>
      </c>
      <c r="C41" s="15"/>
      <c r="D41" s="983"/>
      <c r="E41" s="984"/>
      <c r="F41" s="983">
        <f t="shared" si="0"/>
        <v>0</v>
      </c>
      <c r="G41" s="687"/>
      <c r="H41" s="985"/>
      <c r="I41" s="288">
        <f t="shared" si="3"/>
        <v>8960.2499999999982</v>
      </c>
      <c r="K41" s="126"/>
      <c r="L41" s="84">
        <f t="shared" si="7"/>
        <v>0</v>
      </c>
      <c r="M41" s="15"/>
      <c r="N41" s="277"/>
      <c r="O41" s="308"/>
      <c r="P41" s="277">
        <f t="shared" si="1"/>
        <v>0</v>
      </c>
      <c r="Q41" s="278"/>
      <c r="R41" s="279"/>
      <c r="S41" s="288">
        <f t="shared" si="5"/>
        <v>0</v>
      </c>
    </row>
    <row r="42" spans="1:19" x14ac:dyDescent="0.25">
      <c r="A42" s="126"/>
      <c r="B42" s="84">
        <f t="shared" si="6"/>
        <v>246</v>
      </c>
      <c r="C42" s="15"/>
      <c r="D42" s="277"/>
      <c r="E42" s="308"/>
      <c r="F42" s="277">
        <f t="shared" si="0"/>
        <v>0</v>
      </c>
      <c r="G42" s="278"/>
      <c r="H42" s="279"/>
      <c r="I42" s="288">
        <f t="shared" si="3"/>
        <v>8960.2499999999982</v>
      </c>
      <c r="K42" s="126"/>
      <c r="L42" s="84">
        <f t="shared" si="7"/>
        <v>0</v>
      </c>
      <c r="M42" s="15"/>
      <c r="N42" s="277"/>
      <c r="O42" s="308"/>
      <c r="P42" s="277">
        <f t="shared" si="1"/>
        <v>0</v>
      </c>
      <c r="Q42" s="278"/>
      <c r="R42" s="279"/>
      <c r="S42" s="288">
        <f t="shared" si="5"/>
        <v>0</v>
      </c>
    </row>
    <row r="43" spans="1:19" x14ac:dyDescent="0.25">
      <c r="A43" s="126"/>
      <c r="B43" s="84">
        <f t="shared" si="6"/>
        <v>246</v>
      </c>
      <c r="C43" s="15"/>
      <c r="D43" s="277"/>
      <c r="E43" s="308"/>
      <c r="F43" s="277">
        <f t="shared" si="0"/>
        <v>0</v>
      </c>
      <c r="G43" s="278"/>
      <c r="H43" s="279"/>
      <c r="I43" s="288">
        <f t="shared" si="3"/>
        <v>8960.2499999999982</v>
      </c>
      <c r="K43" s="126"/>
      <c r="L43" s="84">
        <f t="shared" si="7"/>
        <v>0</v>
      </c>
      <c r="M43" s="15"/>
      <c r="N43" s="277"/>
      <c r="O43" s="308"/>
      <c r="P43" s="277">
        <f t="shared" si="1"/>
        <v>0</v>
      </c>
      <c r="Q43" s="278"/>
      <c r="R43" s="279"/>
      <c r="S43" s="288">
        <f t="shared" si="5"/>
        <v>0</v>
      </c>
    </row>
    <row r="44" spans="1:19" x14ac:dyDescent="0.25">
      <c r="A44" s="126"/>
      <c r="B44" s="84">
        <f t="shared" si="6"/>
        <v>246</v>
      </c>
      <c r="C44" s="15"/>
      <c r="D44" s="277"/>
      <c r="E44" s="308"/>
      <c r="F44" s="277">
        <f t="shared" si="0"/>
        <v>0</v>
      </c>
      <c r="G44" s="278"/>
      <c r="H44" s="279"/>
      <c r="I44" s="288">
        <f t="shared" si="3"/>
        <v>8960.2499999999982</v>
      </c>
      <c r="K44" s="126"/>
      <c r="L44" s="84">
        <f t="shared" si="7"/>
        <v>0</v>
      </c>
      <c r="M44" s="15"/>
      <c r="N44" s="277"/>
      <c r="O44" s="308"/>
      <c r="P44" s="277">
        <f t="shared" si="1"/>
        <v>0</v>
      </c>
      <c r="Q44" s="278"/>
      <c r="R44" s="279"/>
      <c r="S44" s="288">
        <f t="shared" si="5"/>
        <v>0</v>
      </c>
    </row>
    <row r="45" spans="1:19" x14ac:dyDescent="0.25">
      <c r="A45" s="126"/>
      <c r="B45" s="84">
        <f t="shared" si="6"/>
        <v>246</v>
      </c>
      <c r="C45" s="15"/>
      <c r="D45" s="277"/>
      <c r="E45" s="308"/>
      <c r="F45" s="277">
        <f t="shared" si="0"/>
        <v>0</v>
      </c>
      <c r="G45" s="278"/>
      <c r="H45" s="279"/>
      <c r="I45" s="288">
        <f t="shared" si="3"/>
        <v>8960.2499999999982</v>
      </c>
      <c r="K45" s="126"/>
      <c r="L45" s="84">
        <f t="shared" si="7"/>
        <v>0</v>
      </c>
      <c r="M45" s="15"/>
      <c r="N45" s="277"/>
      <c r="O45" s="308"/>
      <c r="P45" s="277">
        <f t="shared" si="1"/>
        <v>0</v>
      </c>
      <c r="Q45" s="278"/>
      <c r="R45" s="279"/>
      <c r="S45" s="288">
        <f t="shared" si="5"/>
        <v>0</v>
      </c>
    </row>
    <row r="46" spans="1:19" x14ac:dyDescent="0.25">
      <c r="A46" s="126"/>
      <c r="B46" s="84">
        <f t="shared" si="6"/>
        <v>246</v>
      </c>
      <c r="C46" s="15"/>
      <c r="D46" s="277"/>
      <c r="E46" s="308"/>
      <c r="F46" s="277">
        <f t="shared" si="0"/>
        <v>0</v>
      </c>
      <c r="G46" s="278"/>
      <c r="H46" s="279"/>
      <c r="I46" s="288">
        <f t="shared" si="3"/>
        <v>8960.2499999999982</v>
      </c>
      <c r="K46" s="126"/>
      <c r="L46" s="84">
        <f t="shared" si="7"/>
        <v>0</v>
      </c>
      <c r="M46" s="15"/>
      <c r="N46" s="277"/>
      <c r="O46" s="308"/>
      <c r="P46" s="277">
        <f t="shared" si="1"/>
        <v>0</v>
      </c>
      <c r="Q46" s="278"/>
      <c r="R46" s="279"/>
      <c r="S46" s="288">
        <f t="shared" si="5"/>
        <v>0</v>
      </c>
    </row>
    <row r="47" spans="1:19" x14ac:dyDescent="0.25">
      <c r="A47" s="126"/>
      <c r="B47" s="84">
        <f t="shared" si="6"/>
        <v>246</v>
      </c>
      <c r="C47" s="15"/>
      <c r="D47" s="277"/>
      <c r="E47" s="308"/>
      <c r="F47" s="277">
        <f t="shared" si="0"/>
        <v>0</v>
      </c>
      <c r="G47" s="278"/>
      <c r="H47" s="279"/>
      <c r="I47" s="288">
        <f t="shared" si="3"/>
        <v>8960.2499999999982</v>
      </c>
      <c r="K47" s="126"/>
      <c r="L47" s="84">
        <f t="shared" si="7"/>
        <v>0</v>
      </c>
      <c r="M47" s="15"/>
      <c r="N47" s="277"/>
      <c r="O47" s="308"/>
      <c r="P47" s="277">
        <f t="shared" si="1"/>
        <v>0</v>
      </c>
      <c r="Q47" s="278"/>
      <c r="R47" s="279"/>
      <c r="S47" s="288">
        <f t="shared" si="5"/>
        <v>0</v>
      </c>
    </row>
    <row r="48" spans="1:19" x14ac:dyDescent="0.25">
      <c r="A48" s="126"/>
      <c r="B48" s="84">
        <f t="shared" si="6"/>
        <v>246</v>
      </c>
      <c r="C48" s="15"/>
      <c r="D48" s="277"/>
      <c r="E48" s="308"/>
      <c r="F48" s="277">
        <f t="shared" si="0"/>
        <v>0</v>
      </c>
      <c r="G48" s="278"/>
      <c r="H48" s="279"/>
      <c r="I48" s="288">
        <f t="shared" si="3"/>
        <v>8960.2499999999982</v>
      </c>
      <c r="K48" s="126"/>
      <c r="L48" s="84">
        <f t="shared" si="7"/>
        <v>0</v>
      </c>
      <c r="M48" s="15"/>
      <c r="N48" s="277"/>
      <c r="O48" s="308"/>
      <c r="P48" s="277">
        <f t="shared" si="1"/>
        <v>0</v>
      </c>
      <c r="Q48" s="278"/>
      <c r="R48" s="279"/>
      <c r="S48" s="288">
        <f t="shared" si="5"/>
        <v>0</v>
      </c>
    </row>
    <row r="49" spans="1:19" x14ac:dyDescent="0.25">
      <c r="A49" s="126"/>
      <c r="B49" s="84">
        <f t="shared" si="6"/>
        <v>246</v>
      </c>
      <c r="C49" s="15"/>
      <c r="D49" s="277"/>
      <c r="E49" s="308"/>
      <c r="F49" s="277">
        <f t="shared" si="0"/>
        <v>0</v>
      </c>
      <c r="G49" s="278"/>
      <c r="H49" s="279"/>
      <c r="I49" s="288">
        <f t="shared" si="3"/>
        <v>8960.2499999999982</v>
      </c>
      <c r="K49" s="126"/>
      <c r="L49" s="84">
        <f t="shared" si="7"/>
        <v>0</v>
      </c>
      <c r="M49" s="15"/>
      <c r="N49" s="277"/>
      <c r="O49" s="308"/>
      <c r="P49" s="277">
        <f t="shared" si="1"/>
        <v>0</v>
      </c>
      <c r="Q49" s="278"/>
      <c r="R49" s="279"/>
      <c r="S49" s="288">
        <f t="shared" si="5"/>
        <v>0</v>
      </c>
    </row>
    <row r="50" spans="1:19" x14ac:dyDescent="0.25">
      <c r="A50" s="126"/>
      <c r="B50" s="84">
        <f t="shared" si="6"/>
        <v>246</v>
      </c>
      <c r="C50" s="15"/>
      <c r="D50" s="277"/>
      <c r="E50" s="308"/>
      <c r="F50" s="277">
        <f t="shared" si="0"/>
        <v>0</v>
      </c>
      <c r="G50" s="278"/>
      <c r="H50" s="279"/>
      <c r="I50" s="288">
        <f t="shared" si="3"/>
        <v>8960.2499999999982</v>
      </c>
      <c r="K50" s="126"/>
      <c r="L50" s="84">
        <f t="shared" si="7"/>
        <v>0</v>
      </c>
      <c r="M50" s="15"/>
      <c r="N50" s="277"/>
      <c r="O50" s="308"/>
      <c r="P50" s="277">
        <f t="shared" si="1"/>
        <v>0</v>
      </c>
      <c r="Q50" s="278"/>
      <c r="R50" s="279"/>
      <c r="S50" s="288">
        <f t="shared" si="5"/>
        <v>0</v>
      </c>
    </row>
    <row r="51" spans="1:19" x14ac:dyDescent="0.25">
      <c r="A51" s="126"/>
      <c r="B51" s="84">
        <f t="shared" si="6"/>
        <v>246</v>
      </c>
      <c r="C51" s="15"/>
      <c r="D51" s="277"/>
      <c r="E51" s="308"/>
      <c r="F51" s="277">
        <f t="shared" si="0"/>
        <v>0</v>
      </c>
      <c r="G51" s="278"/>
      <c r="H51" s="279"/>
      <c r="I51" s="288">
        <f t="shared" si="3"/>
        <v>8960.2499999999982</v>
      </c>
      <c r="K51" s="126"/>
      <c r="L51" s="84">
        <f t="shared" si="7"/>
        <v>0</v>
      </c>
      <c r="M51" s="15"/>
      <c r="N51" s="277"/>
      <c r="O51" s="308"/>
      <c r="P51" s="277">
        <f t="shared" si="1"/>
        <v>0</v>
      </c>
      <c r="Q51" s="278"/>
      <c r="R51" s="279"/>
      <c r="S51" s="288">
        <f t="shared" si="5"/>
        <v>0</v>
      </c>
    </row>
    <row r="52" spans="1:19" x14ac:dyDescent="0.25">
      <c r="A52" s="126"/>
      <c r="B52" s="84">
        <f t="shared" si="6"/>
        <v>246</v>
      </c>
      <c r="C52" s="15"/>
      <c r="D52" s="277"/>
      <c r="E52" s="308"/>
      <c r="F52" s="277">
        <f t="shared" si="0"/>
        <v>0</v>
      </c>
      <c r="G52" s="278"/>
      <c r="H52" s="279"/>
      <c r="I52" s="288">
        <f t="shared" si="3"/>
        <v>8960.2499999999982</v>
      </c>
      <c r="K52" s="126"/>
      <c r="L52" s="84">
        <f t="shared" si="7"/>
        <v>0</v>
      </c>
      <c r="M52" s="15"/>
      <c r="N52" s="277"/>
      <c r="O52" s="308"/>
      <c r="P52" s="277">
        <f t="shared" si="1"/>
        <v>0</v>
      </c>
      <c r="Q52" s="278"/>
      <c r="R52" s="279"/>
      <c r="S52" s="288">
        <f t="shared" si="5"/>
        <v>0</v>
      </c>
    </row>
    <row r="53" spans="1:19" x14ac:dyDescent="0.25">
      <c r="A53" s="126"/>
      <c r="B53" s="84">
        <f t="shared" si="6"/>
        <v>246</v>
      </c>
      <c r="C53" s="15"/>
      <c r="D53" s="277"/>
      <c r="E53" s="308"/>
      <c r="F53" s="277">
        <f t="shared" si="0"/>
        <v>0</v>
      </c>
      <c r="G53" s="278"/>
      <c r="H53" s="279"/>
      <c r="I53" s="288">
        <f t="shared" si="3"/>
        <v>8960.2499999999982</v>
      </c>
      <c r="K53" s="126"/>
      <c r="L53" s="84">
        <f t="shared" si="7"/>
        <v>0</v>
      </c>
      <c r="M53" s="15"/>
      <c r="N53" s="277"/>
      <c r="O53" s="308"/>
      <c r="P53" s="277">
        <f t="shared" si="1"/>
        <v>0</v>
      </c>
      <c r="Q53" s="278"/>
      <c r="R53" s="279"/>
      <c r="S53" s="288">
        <f t="shared" si="5"/>
        <v>0</v>
      </c>
    </row>
    <row r="54" spans="1:19" x14ac:dyDescent="0.25">
      <c r="A54" s="126"/>
      <c r="B54" s="84">
        <f t="shared" si="6"/>
        <v>246</v>
      </c>
      <c r="C54" s="15"/>
      <c r="D54" s="277"/>
      <c r="E54" s="308"/>
      <c r="F54" s="277">
        <f t="shared" si="0"/>
        <v>0</v>
      </c>
      <c r="G54" s="278"/>
      <c r="H54" s="279"/>
      <c r="I54" s="288">
        <f t="shared" si="3"/>
        <v>8960.2499999999982</v>
      </c>
      <c r="K54" s="126"/>
      <c r="L54" s="84">
        <f t="shared" si="7"/>
        <v>0</v>
      </c>
      <c r="M54" s="15"/>
      <c r="N54" s="277"/>
      <c r="O54" s="308"/>
      <c r="P54" s="277">
        <f t="shared" si="1"/>
        <v>0</v>
      </c>
      <c r="Q54" s="278"/>
      <c r="R54" s="279"/>
      <c r="S54" s="288">
        <f t="shared" si="5"/>
        <v>0</v>
      </c>
    </row>
    <row r="55" spans="1:19" x14ac:dyDescent="0.25">
      <c r="A55" s="126"/>
      <c r="B55" s="84">
        <f t="shared" si="6"/>
        <v>246</v>
      </c>
      <c r="C55" s="15"/>
      <c r="D55" s="277"/>
      <c r="E55" s="308"/>
      <c r="F55" s="277">
        <f t="shared" si="0"/>
        <v>0</v>
      </c>
      <c r="G55" s="278"/>
      <c r="H55" s="279"/>
      <c r="I55" s="288">
        <f t="shared" si="3"/>
        <v>8960.2499999999982</v>
      </c>
      <c r="K55" s="126"/>
      <c r="L55" s="84">
        <f t="shared" si="7"/>
        <v>0</v>
      </c>
      <c r="M55" s="15"/>
      <c r="N55" s="277"/>
      <c r="O55" s="308"/>
      <c r="P55" s="277">
        <f t="shared" si="1"/>
        <v>0</v>
      </c>
      <c r="Q55" s="278"/>
      <c r="R55" s="279"/>
      <c r="S55" s="288">
        <f t="shared" si="5"/>
        <v>0</v>
      </c>
    </row>
    <row r="56" spans="1:19" x14ac:dyDescent="0.25">
      <c r="A56" s="126"/>
      <c r="B56" s="12">
        <f>B55-C56</f>
        <v>246</v>
      </c>
      <c r="C56" s="15"/>
      <c r="D56" s="277"/>
      <c r="E56" s="308"/>
      <c r="F56" s="277">
        <f t="shared" si="0"/>
        <v>0</v>
      </c>
      <c r="G56" s="278"/>
      <c r="H56" s="279"/>
      <c r="I56" s="288">
        <f t="shared" si="3"/>
        <v>8960.2499999999982</v>
      </c>
      <c r="K56" s="126"/>
      <c r="L56" s="12">
        <f>L55-M56</f>
        <v>0</v>
      </c>
      <c r="M56" s="15"/>
      <c r="N56" s="277"/>
      <c r="O56" s="308"/>
      <c r="P56" s="277">
        <f t="shared" si="1"/>
        <v>0</v>
      </c>
      <c r="Q56" s="278"/>
      <c r="R56" s="279"/>
      <c r="S56" s="288">
        <f t="shared" si="5"/>
        <v>0</v>
      </c>
    </row>
    <row r="57" spans="1:19" x14ac:dyDescent="0.25">
      <c r="A57" s="126"/>
      <c r="B57" s="12">
        <f t="shared" ref="B57:B76" si="8">B56-C57</f>
        <v>246</v>
      </c>
      <c r="C57" s="15"/>
      <c r="D57" s="277"/>
      <c r="E57" s="308"/>
      <c r="F57" s="277">
        <f t="shared" si="0"/>
        <v>0</v>
      </c>
      <c r="G57" s="278"/>
      <c r="H57" s="279"/>
      <c r="I57" s="288">
        <f t="shared" si="3"/>
        <v>8960.2499999999982</v>
      </c>
      <c r="K57" s="126"/>
      <c r="L57" s="12">
        <f t="shared" ref="L57:L76" si="9">L56-M57</f>
        <v>0</v>
      </c>
      <c r="M57" s="15"/>
      <c r="N57" s="277"/>
      <c r="O57" s="308"/>
      <c r="P57" s="277">
        <f t="shared" si="1"/>
        <v>0</v>
      </c>
      <c r="Q57" s="278"/>
      <c r="R57" s="279"/>
      <c r="S57" s="288">
        <f t="shared" si="5"/>
        <v>0</v>
      </c>
    </row>
    <row r="58" spans="1:19" x14ac:dyDescent="0.25">
      <c r="A58" s="126"/>
      <c r="B58" s="12">
        <f t="shared" si="8"/>
        <v>246</v>
      </c>
      <c r="C58" s="15"/>
      <c r="D58" s="277"/>
      <c r="E58" s="308"/>
      <c r="F58" s="277">
        <f t="shared" si="0"/>
        <v>0</v>
      </c>
      <c r="G58" s="278"/>
      <c r="H58" s="279"/>
      <c r="I58" s="288">
        <f t="shared" si="3"/>
        <v>8960.2499999999982</v>
      </c>
      <c r="K58" s="126"/>
      <c r="L58" s="12">
        <f t="shared" si="9"/>
        <v>0</v>
      </c>
      <c r="M58" s="15"/>
      <c r="N58" s="277"/>
      <c r="O58" s="308"/>
      <c r="P58" s="277">
        <f t="shared" si="1"/>
        <v>0</v>
      </c>
      <c r="Q58" s="278"/>
      <c r="R58" s="279"/>
      <c r="S58" s="288">
        <f t="shared" si="5"/>
        <v>0</v>
      </c>
    </row>
    <row r="59" spans="1:19" x14ac:dyDescent="0.25">
      <c r="A59" s="126"/>
      <c r="B59" s="12">
        <f t="shared" si="8"/>
        <v>246</v>
      </c>
      <c r="C59" s="15"/>
      <c r="D59" s="277"/>
      <c r="E59" s="308"/>
      <c r="F59" s="277">
        <f t="shared" si="0"/>
        <v>0</v>
      </c>
      <c r="G59" s="278"/>
      <c r="H59" s="279"/>
      <c r="I59" s="288">
        <f t="shared" si="3"/>
        <v>8960.2499999999982</v>
      </c>
      <c r="K59" s="126"/>
      <c r="L59" s="12">
        <f t="shared" si="9"/>
        <v>0</v>
      </c>
      <c r="M59" s="15"/>
      <c r="N59" s="277"/>
      <c r="O59" s="308"/>
      <c r="P59" s="277">
        <f t="shared" si="1"/>
        <v>0</v>
      </c>
      <c r="Q59" s="278"/>
      <c r="R59" s="279"/>
      <c r="S59" s="288">
        <f t="shared" si="5"/>
        <v>0</v>
      </c>
    </row>
    <row r="60" spans="1:19" x14ac:dyDescent="0.25">
      <c r="A60" s="126"/>
      <c r="B60" s="12">
        <f t="shared" si="8"/>
        <v>246</v>
      </c>
      <c r="C60" s="15"/>
      <c r="D60" s="277"/>
      <c r="E60" s="308"/>
      <c r="F60" s="277">
        <f t="shared" si="0"/>
        <v>0</v>
      </c>
      <c r="G60" s="278"/>
      <c r="H60" s="279"/>
      <c r="I60" s="288">
        <f t="shared" si="3"/>
        <v>8960.2499999999982</v>
      </c>
      <c r="K60" s="126"/>
      <c r="L60" s="12">
        <f t="shared" si="9"/>
        <v>0</v>
      </c>
      <c r="M60" s="15"/>
      <c r="N60" s="277"/>
      <c r="O60" s="308"/>
      <c r="P60" s="277">
        <f t="shared" si="1"/>
        <v>0</v>
      </c>
      <c r="Q60" s="278"/>
      <c r="R60" s="279"/>
      <c r="S60" s="288">
        <f t="shared" si="5"/>
        <v>0</v>
      </c>
    </row>
    <row r="61" spans="1:19" x14ac:dyDescent="0.25">
      <c r="A61" s="126"/>
      <c r="B61" s="12">
        <f t="shared" si="8"/>
        <v>246</v>
      </c>
      <c r="C61" s="15"/>
      <c r="D61" s="277"/>
      <c r="E61" s="308"/>
      <c r="F61" s="277">
        <f t="shared" si="0"/>
        <v>0</v>
      </c>
      <c r="G61" s="278"/>
      <c r="H61" s="279"/>
      <c r="I61" s="288">
        <f t="shared" si="3"/>
        <v>8960.2499999999982</v>
      </c>
      <c r="K61" s="126"/>
      <c r="L61" s="12">
        <f t="shared" si="9"/>
        <v>0</v>
      </c>
      <c r="M61" s="15"/>
      <c r="N61" s="277"/>
      <c r="O61" s="308"/>
      <c r="P61" s="277">
        <f t="shared" si="1"/>
        <v>0</v>
      </c>
      <c r="Q61" s="278"/>
      <c r="R61" s="279"/>
      <c r="S61" s="288">
        <f t="shared" si="5"/>
        <v>0</v>
      </c>
    </row>
    <row r="62" spans="1:19" x14ac:dyDescent="0.25">
      <c r="A62" s="126"/>
      <c r="B62" s="12">
        <f t="shared" si="8"/>
        <v>246</v>
      </c>
      <c r="C62" s="15"/>
      <c r="D62" s="277"/>
      <c r="E62" s="308"/>
      <c r="F62" s="277">
        <f t="shared" si="0"/>
        <v>0</v>
      </c>
      <c r="G62" s="278"/>
      <c r="H62" s="279"/>
      <c r="I62" s="288">
        <f t="shared" si="3"/>
        <v>8960.2499999999982</v>
      </c>
      <c r="K62" s="126"/>
      <c r="L62" s="12">
        <f t="shared" si="9"/>
        <v>0</v>
      </c>
      <c r="M62" s="15"/>
      <c r="N62" s="277"/>
      <c r="O62" s="308"/>
      <c r="P62" s="277">
        <f t="shared" si="1"/>
        <v>0</v>
      </c>
      <c r="Q62" s="278"/>
      <c r="R62" s="279"/>
      <c r="S62" s="288">
        <f t="shared" si="5"/>
        <v>0</v>
      </c>
    </row>
    <row r="63" spans="1:19" x14ac:dyDescent="0.25">
      <c r="A63" s="126"/>
      <c r="B63" s="12">
        <f t="shared" si="8"/>
        <v>246</v>
      </c>
      <c r="C63" s="15"/>
      <c r="D63" s="277"/>
      <c r="E63" s="308"/>
      <c r="F63" s="277">
        <f t="shared" si="0"/>
        <v>0</v>
      </c>
      <c r="G63" s="278"/>
      <c r="H63" s="279"/>
      <c r="I63" s="288">
        <f t="shared" si="3"/>
        <v>8960.2499999999982</v>
      </c>
      <c r="K63" s="126"/>
      <c r="L63" s="12">
        <f t="shared" si="9"/>
        <v>0</v>
      </c>
      <c r="M63" s="15"/>
      <c r="N63" s="277"/>
      <c r="O63" s="308"/>
      <c r="P63" s="277">
        <f t="shared" si="1"/>
        <v>0</v>
      </c>
      <c r="Q63" s="278"/>
      <c r="R63" s="279"/>
      <c r="S63" s="288">
        <f t="shared" si="5"/>
        <v>0</v>
      </c>
    </row>
    <row r="64" spans="1:19" x14ac:dyDescent="0.25">
      <c r="A64" s="126"/>
      <c r="B64" s="12">
        <f t="shared" si="8"/>
        <v>246</v>
      </c>
      <c r="C64" s="15"/>
      <c r="D64" s="277"/>
      <c r="E64" s="308"/>
      <c r="F64" s="277">
        <f t="shared" si="0"/>
        <v>0</v>
      </c>
      <c r="G64" s="278"/>
      <c r="H64" s="279"/>
      <c r="I64" s="288">
        <f t="shared" si="3"/>
        <v>8960.2499999999982</v>
      </c>
      <c r="K64" s="126"/>
      <c r="L64" s="12">
        <f t="shared" si="9"/>
        <v>0</v>
      </c>
      <c r="M64" s="15"/>
      <c r="N64" s="277"/>
      <c r="O64" s="308"/>
      <c r="P64" s="277">
        <f t="shared" si="1"/>
        <v>0</v>
      </c>
      <c r="Q64" s="278"/>
      <c r="R64" s="279"/>
      <c r="S64" s="288">
        <f t="shared" si="5"/>
        <v>0</v>
      </c>
    </row>
    <row r="65" spans="1:19" x14ac:dyDescent="0.25">
      <c r="A65" s="126"/>
      <c r="B65" s="12">
        <f t="shared" si="8"/>
        <v>246</v>
      </c>
      <c r="C65" s="15"/>
      <c r="D65" s="277"/>
      <c r="E65" s="308"/>
      <c r="F65" s="277">
        <f t="shared" si="0"/>
        <v>0</v>
      </c>
      <c r="G65" s="278"/>
      <c r="H65" s="279"/>
      <c r="I65" s="288">
        <f t="shared" si="3"/>
        <v>8960.2499999999982</v>
      </c>
      <c r="K65" s="126"/>
      <c r="L65" s="12">
        <f t="shared" si="9"/>
        <v>0</v>
      </c>
      <c r="M65" s="15"/>
      <c r="N65" s="277"/>
      <c r="O65" s="308"/>
      <c r="P65" s="277">
        <f t="shared" si="1"/>
        <v>0</v>
      </c>
      <c r="Q65" s="278"/>
      <c r="R65" s="279"/>
      <c r="S65" s="288">
        <f t="shared" si="5"/>
        <v>0</v>
      </c>
    </row>
    <row r="66" spans="1:19" x14ac:dyDescent="0.25">
      <c r="A66" s="126"/>
      <c r="B66" s="12">
        <f t="shared" si="8"/>
        <v>246</v>
      </c>
      <c r="C66" s="15"/>
      <c r="D66" s="277"/>
      <c r="E66" s="308"/>
      <c r="F66" s="277">
        <f t="shared" si="0"/>
        <v>0</v>
      </c>
      <c r="G66" s="278"/>
      <c r="H66" s="279"/>
      <c r="I66" s="288">
        <f t="shared" si="3"/>
        <v>8960.2499999999982</v>
      </c>
      <c r="K66" s="126"/>
      <c r="L66" s="12">
        <f t="shared" si="9"/>
        <v>0</v>
      </c>
      <c r="M66" s="15"/>
      <c r="N66" s="277"/>
      <c r="O66" s="308"/>
      <c r="P66" s="277">
        <f t="shared" si="1"/>
        <v>0</v>
      </c>
      <c r="Q66" s="278"/>
      <c r="R66" s="279"/>
      <c r="S66" s="288">
        <f t="shared" si="5"/>
        <v>0</v>
      </c>
    </row>
    <row r="67" spans="1:19" x14ac:dyDescent="0.25">
      <c r="A67" s="126"/>
      <c r="B67" s="12">
        <f t="shared" si="8"/>
        <v>246</v>
      </c>
      <c r="C67" s="15"/>
      <c r="D67" s="277"/>
      <c r="E67" s="308"/>
      <c r="F67" s="277">
        <f t="shared" si="0"/>
        <v>0</v>
      </c>
      <c r="G67" s="278"/>
      <c r="H67" s="279"/>
      <c r="I67" s="288">
        <f t="shared" si="3"/>
        <v>8960.2499999999982</v>
      </c>
      <c r="K67" s="126"/>
      <c r="L67" s="12">
        <f t="shared" si="9"/>
        <v>0</v>
      </c>
      <c r="M67" s="15"/>
      <c r="N67" s="277"/>
      <c r="O67" s="308"/>
      <c r="P67" s="277">
        <f t="shared" si="1"/>
        <v>0</v>
      </c>
      <c r="Q67" s="278"/>
      <c r="R67" s="279"/>
      <c r="S67" s="288">
        <f t="shared" si="5"/>
        <v>0</v>
      </c>
    </row>
    <row r="68" spans="1:19" x14ac:dyDescent="0.25">
      <c r="A68" s="126"/>
      <c r="B68" s="12">
        <f t="shared" si="8"/>
        <v>246</v>
      </c>
      <c r="C68" s="15"/>
      <c r="D68" s="70"/>
      <c r="E68" s="228"/>
      <c r="F68" s="70">
        <f t="shared" si="0"/>
        <v>0</v>
      </c>
      <c r="G68" s="71"/>
      <c r="H68" s="72"/>
      <c r="I68" s="288">
        <f t="shared" si="3"/>
        <v>8960.2499999999982</v>
      </c>
      <c r="K68" s="126"/>
      <c r="L68" s="12">
        <f t="shared" si="9"/>
        <v>0</v>
      </c>
      <c r="M68" s="15"/>
      <c r="N68" s="70"/>
      <c r="O68" s="228"/>
      <c r="P68" s="70">
        <f t="shared" si="1"/>
        <v>0</v>
      </c>
      <c r="Q68" s="71"/>
      <c r="R68" s="72"/>
      <c r="S68" s="107">
        <f t="shared" si="5"/>
        <v>0</v>
      </c>
    </row>
    <row r="69" spans="1:19" x14ac:dyDescent="0.25">
      <c r="A69" s="126"/>
      <c r="B69" s="12">
        <f t="shared" si="8"/>
        <v>246</v>
      </c>
      <c r="C69" s="15"/>
      <c r="D69" s="60"/>
      <c r="E69" s="236"/>
      <c r="F69" s="70">
        <f t="shared" si="0"/>
        <v>0</v>
      </c>
      <c r="G69" s="71"/>
      <c r="H69" s="72"/>
      <c r="I69" s="288">
        <f t="shared" si="3"/>
        <v>8960.2499999999982</v>
      </c>
      <c r="K69" s="126"/>
      <c r="L69" s="12">
        <f t="shared" si="9"/>
        <v>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5"/>
        <v>0</v>
      </c>
    </row>
    <row r="70" spans="1:19" x14ac:dyDescent="0.25">
      <c r="A70" s="126"/>
      <c r="B70" s="12">
        <f t="shared" si="8"/>
        <v>246</v>
      </c>
      <c r="C70" s="15"/>
      <c r="D70" s="60"/>
      <c r="E70" s="236"/>
      <c r="F70" s="70">
        <f t="shared" si="0"/>
        <v>0</v>
      </c>
      <c r="G70" s="71"/>
      <c r="H70" s="72"/>
      <c r="I70" s="288">
        <f t="shared" si="3"/>
        <v>8960.2499999999982</v>
      </c>
      <c r="K70" s="126"/>
      <c r="L70" s="12">
        <f t="shared" si="9"/>
        <v>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5"/>
        <v>0</v>
      </c>
    </row>
    <row r="71" spans="1:19" x14ac:dyDescent="0.25">
      <c r="A71" s="126"/>
      <c r="B71" s="12">
        <f t="shared" si="8"/>
        <v>246</v>
      </c>
      <c r="C71" s="15"/>
      <c r="D71" s="60"/>
      <c r="E71" s="236"/>
      <c r="F71" s="70">
        <f t="shared" si="0"/>
        <v>0</v>
      </c>
      <c r="G71" s="71"/>
      <c r="H71" s="72"/>
      <c r="I71" s="288">
        <f t="shared" si="3"/>
        <v>8960.2499999999982</v>
      </c>
      <c r="K71" s="126"/>
      <c r="L71" s="12">
        <f t="shared" si="9"/>
        <v>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5"/>
        <v>0</v>
      </c>
    </row>
    <row r="72" spans="1:19" x14ac:dyDescent="0.25">
      <c r="A72" s="126"/>
      <c r="B72" s="12">
        <f t="shared" si="8"/>
        <v>246</v>
      </c>
      <c r="C72" s="15"/>
      <c r="D72" s="60"/>
      <c r="E72" s="236"/>
      <c r="F72" s="70">
        <f t="shared" si="0"/>
        <v>0</v>
      </c>
      <c r="G72" s="71"/>
      <c r="H72" s="72"/>
      <c r="I72" s="288">
        <f t="shared" si="3"/>
        <v>8960.2499999999982</v>
      </c>
      <c r="K72" s="126"/>
      <c r="L72" s="12">
        <f t="shared" si="9"/>
        <v>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5"/>
        <v>0</v>
      </c>
    </row>
    <row r="73" spans="1:19" x14ac:dyDescent="0.25">
      <c r="A73" s="126"/>
      <c r="B73" s="12">
        <f t="shared" si="8"/>
        <v>246</v>
      </c>
      <c r="C73" s="15"/>
      <c r="D73" s="60"/>
      <c r="E73" s="236"/>
      <c r="F73" s="70">
        <f t="shared" si="0"/>
        <v>0</v>
      </c>
      <c r="G73" s="71"/>
      <c r="H73" s="72"/>
      <c r="I73" s="288">
        <f t="shared" si="3"/>
        <v>8960.2499999999982</v>
      </c>
      <c r="K73" s="126"/>
      <c r="L73" s="12">
        <f t="shared" si="9"/>
        <v>0</v>
      </c>
      <c r="M73" s="15"/>
      <c r="N73" s="60"/>
      <c r="O73" s="236"/>
      <c r="P73" s="70">
        <f t="shared" si="1"/>
        <v>0</v>
      </c>
      <c r="Q73" s="71"/>
      <c r="R73" s="72"/>
      <c r="S73" s="107">
        <f t="shared" si="5"/>
        <v>0</v>
      </c>
    </row>
    <row r="74" spans="1:19" x14ac:dyDescent="0.25">
      <c r="A74" s="126"/>
      <c r="B74" s="12">
        <f t="shared" si="8"/>
        <v>246</v>
      </c>
      <c r="C74" s="15"/>
      <c r="D74" s="60"/>
      <c r="E74" s="236"/>
      <c r="F74" s="70">
        <f t="shared" ref="F74" si="10">D74</f>
        <v>0</v>
      </c>
      <c r="G74" s="71"/>
      <c r="H74" s="72"/>
      <c r="I74" s="288">
        <f t="shared" si="3"/>
        <v>8960.2499999999982</v>
      </c>
      <c r="K74" s="126"/>
      <c r="L74" s="12">
        <f t="shared" si="9"/>
        <v>0</v>
      </c>
      <c r="M74" s="15"/>
      <c r="N74" s="60"/>
      <c r="O74" s="236"/>
      <c r="P74" s="70">
        <f t="shared" ref="P74" si="11">N74</f>
        <v>0</v>
      </c>
      <c r="Q74" s="71"/>
      <c r="R74" s="72"/>
      <c r="S74" s="107">
        <f t="shared" si="5"/>
        <v>0</v>
      </c>
    </row>
    <row r="75" spans="1:19" x14ac:dyDescent="0.25">
      <c r="A75" s="126"/>
      <c r="B75" s="12">
        <f t="shared" si="8"/>
        <v>246</v>
      </c>
      <c r="C75" s="15"/>
      <c r="D75" s="60"/>
      <c r="E75" s="236"/>
      <c r="F75" s="70">
        <f>D75</f>
        <v>0</v>
      </c>
      <c r="G75" s="71"/>
      <c r="H75" s="72"/>
      <c r="I75" s="288">
        <f t="shared" si="3"/>
        <v>8960.2499999999982</v>
      </c>
      <c r="K75" s="126"/>
      <c r="L75" s="12">
        <f t="shared" si="9"/>
        <v>0</v>
      </c>
      <c r="M75" s="15"/>
      <c r="N75" s="60"/>
      <c r="O75" s="236"/>
      <c r="P75" s="70">
        <f>N75</f>
        <v>0</v>
      </c>
      <c r="Q75" s="71"/>
      <c r="R75" s="72"/>
      <c r="S75" s="107">
        <f t="shared" si="5"/>
        <v>0</v>
      </c>
    </row>
    <row r="76" spans="1:19" x14ac:dyDescent="0.25">
      <c r="A76" s="126"/>
      <c r="B76" s="12">
        <f t="shared" si="8"/>
        <v>246</v>
      </c>
      <c r="C76" s="15"/>
      <c r="D76" s="60"/>
      <c r="E76" s="236"/>
      <c r="F76" s="70">
        <f>D76</f>
        <v>0</v>
      </c>
      <c r="G76" s="71"/>
      <c r="H76" s="72"/>
      <c r="I76" s="288">
        <f t="shared" ref="I76:I77" si="12">I75-F76</f>
        <v>8960.2499999999982</v>
      </c>
      <c r="K76" s="126"/>
      <c r="L76" s="12">
        <f t="shared" si="9"/>
        <v>0</v>
      </c>
      <c r="M76" s="15"/>
      <c r="N76" s="60"/>
      <c r="O76" s="236"/>
      <c r="P76" s="70">
        <f>N76</f>
        <v>0</v>
      </c>
      <c r="Q76" s="71"/>
      <c r="R76" s="72"/>
      <c r="S76" s="107">
        <f t="shared" ref="S76:S77" si="13">S75-P76</f>
        <v>0</v>
      </c>
    </row>
    <row r="77" spans="1:19" x14ac:dyDescent="0.25">
      <c r="A77" s="126"/>
      <c r="C77" s="15"/>
      <c r="D77" s="60"/>
      <c r="E77" s="236"/>
      <c r="F77" s="70">
        <f>D77</f>
        <v>0</v>
      </c>
      <c r="G77" s="71"/>
      <c r="H77" s="72"/>
      <c r="I77" s="288">
        <f t="shared" si="12"/>
        <v>8960.2499999999982</v>
      </c>
      <c r="K77" s="126"/>
      <c r="M77" s="15"/>
      <c r="N77" s="60"/>
      <c r="O77" s="236"/>
      <c r="P77" s="70">
        <f>N77</f>
        <v>0</v>
      </c>
      <c r="Q77" s="71"/>
      <c r="R77" s="72"/>
      <c r="S77" s="107">
        <f t="shared" si="13"/>
        <v>0</v>
      </c>
    </row>
    <row r="78" spans="1:19" ht="15.75" thickBot="1" x14ac:dyDescent="0.3">
      <c r="A78" s="126"/>
      <c r="B78" s="16"/>
      <c r="C78" s="52"/>
      <c r="D78" s="109"/>
      <c r="E78" s="219"/>
      <c r="F78" s="105"/>
      <c r="G78" s="106"/>
      <c r="H78" s="61"/>
      <c r="K78" s="126"/>
      <c r="L78" s="16"/>
      <c r="M78" s="52"/>
      <c r="N78" s="109"/>
      <c r="O78" s="219"/>
      <c r="P78" s="105"/>
      <c r="Q78" s="106"/>
      <c r="R78" s="61"/>
    </row>
    <row r="79" spans="1:19" x14ac:dyDescent="0.25">
      <c r="C79" s="53">
        <f>SUM(C10:C78)</f>
        <v>362</v>
      </c>
      <c r="D79" s="6">
        <f>SUM(D10:D78)</f>
        <v>10948</v>
      </c>
      <c r="F79" s="6">
        <f>SUM(F10:F78)</f>
        <v>10948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246</v>
      </c>
      <c r="N82" s="45" t="s">
        <v>4</v>
      </c>
      <c r="O82" s="57">
        <f>P5+P6-M79+P7</f>
        <v>0</v>
      </c>
    </row>
    <row r="83" spans="3:16" ht="15.75" thickBot="1" x14ac:dyDescent="0.3"/>
    <row r="84" spans="3:16" ht="15.75" thickBot="1" x14ac:dyDescent="0.3">
      <c r="C84" s="1170" t="s">
        <v>11</v>
      </c>
      <c r="D84" s="1171"/>
      <c r="E84" s="58">
        <f>E5+E6-F79+E7</f>
        <v>8960.25</v>
      </c>
      <c r="F84" s="74"/>
      <c r="M84" s="1170" t="s">
        <v>11</v>
      </c>
      <c r="N84" s="1171"/>
      <c r="O84" s="58">
        <f>O5+O6-P79+O7</f>
        <v>0</v>
      </c>
      <c r="P84" s="74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76" t="s">
        <v>265</v>
      </c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178" t="s">
        <v>689</v>
      </c>
      <c r="C4" s="12"/>
      <c r="D4" s="12"/>
      <c r="E4" s="12"/>
      <c r="F4" s="12"/>
      <c r="G4" s="166"/>
      <c r="H4" s="166"/>
    </row>
    <row r="5" spans="1:9" ht="15" customHeight="1" x14ac:dyDescent="0.25">
      <c r="A5" s="1166" t="s">
        <v>278</v>
      </c>
      <c r="B5" s="1179"/>
      <c r="C5" s="284" t="s">
        <v>270</v>
      </c>
      <c r="D5" s="261">
        <v>44541</v>
      </c>
      <c r="E5" s="272">
        <v>18701.099999999999</v>
      </c>
      <c r="F5" s="266">
        <v>24</v>
      </c>
      <c r="G5" s="1086">
        <v>18480</v>
      </c>
    </row>
    <row r="6" spans="1:9" x14ac:dyDescent="0.25">
      <c r="A6" s="1166"/>
      <c r="B6" s="1179"/>
      <c r="C6" s="624">
        <v>54.3</v>
      </c>
      <c r="D6" s="261"/>
      <c r="E6" s="280"/>
      <c r="F6" s="266"/>
      <c r="G6" s="275"/>
      <c r="H6" s="7">
        <f>E6-G6+E7+E5-G5</f>
        <v>221.09999999999854</v>
      </c>
    </row>
    <row r="7" spans="1:9" ht="15.75" thickBot="1" x14ac:dyDescent="0.3">
      <c r="A7" s="1166"/>
      <c r="B7" s="285"/>
      <c r="C7" s="286"/>
      <c r="D7" s="287"/>
      <c r="E7" s="272"/>
      <c r="F7" s="266"/>
      <c r="G7" s="25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1016"/>
      <c r="C9" s="775">
        <v>1</v>
      </c>
      <c r="D9" s="277">
        <v>787</v>
      </c>
      <c r="E9" s="308">
        <v>44541</v>
      </c>
      <c r="F9" s="277">
        <f t="shared" ref="F9:F33" si="0">D9</f>
        <v>787</v>
      </c>
      <c r="G9" s="278" t="s">
        <v>484</v>
      </c>
      <c r="H9" s="279">
        <v>55</v>
      </c>
      <c r="I9" s="288">
        <f>E6-F9+E5+E7</f>
        <v>17914.099999999999</v>
      </c>
    </row>
    <row r="10" spans="1:9" x14ac:dyDescent="0.25">
      <c r="A10" s="217"/>
      <c r="B10" s="1017"/>
      <c r="C10" s="775">
        <v>2</v>
      </c>
      <c r="D10" s="277">
        <v>769</v>
      </c>
      <c r="E10" s="308">
        <v>44541</v>
      </c>
      <c r="F10" s="277">
        <f t="shared" si="0"/>
        <v>769</v>
      </c>
      <c r="G10" s="278" t="s">
        <v>484</v>
      </c>
      <c r="H10" s="279">
        <v>55</v>
      </c>
      <c r="I10" s="288">
        <f>I9-F10</f>
        <v>17145.099999999999</v>
      </c>
    </row>
    <row r="11" spans="1:9" x14ac:dyDescent="0.25">
      <c r="A11" s="205"/>
      <c r="B11" s="1017"/>
      <c r="C11" s="775">
        <v>3</v>
      </c>
      <c r="D11" s="277">
        <v>767</v>
      </c>
      <c r="E11" s="308">
        <v>44541</v>
      </c>
      <c r="F11" s="277">
        <f t="shared" si="0"/>
        <v>767</v>
      </c>
      <c r="G11" s="278" t="s">
        <v>484</v>
      </c>
      <c r="H11" s="279">
        <v>55</v>
      </c>
      <c r="I11" s="288">
        <f t="shared" ref="I11:I33" si="1">I10-F11</f>
        <v>16378.099999999999</v>
      </c>
    </row>
    <row r="12" spans="1:9" x14ac:dyDescent="0.25">
      <c r="A12" s="205"/>
      <c r="B12" s="1017"/>
      <c r="C12" s="775">
        <v>4</v>
      </c>
      <c r="D12" s="277">
        <v>835</v>
      </c>
      <c r="E12" s="308">
        <v>44541</v>
      </c>
      <c r="F12" s="277">
        <f t="shared" si="0"/>
        <v>835</v>
      </c>
      <c r="G12" s="278" t="s">
        <v>484</v>
      </c>
      <c r="H12" s="279">
        <v>55</v>
      </c>
      <c r="I12" s="288">
        <f t="shared" si="1"/>
        <v>15543.099999999999</v>
      </c>
    </row>
    <row r="13" spans="1:9" x14ac:dyDescent="0.25">
      <c r="A13" s="83" t="s">
        <v>33</v>
      </c>
      <c r="B13" s="1017"/>
      <c r="C13" s="775">
        <v>5</v>
      </c>
      <c r="D13" s="277">
        <v>753</v>
      </c>
      <c r="E13" s="308">
        <v>44541</v>
      </c>
      <c r="F13" s="277">
        <f t="shared" si="0"/>
        <v>753</v>
      </c>
      <c r="G13" s="278" t="s">
        <v>484</v>
      </c>
      <c r="H13" s="279">
        <v>55</v>
      </c>
      <c r="I13" s="288">
        <f t="shared" si="1"/>
        <v>14790.099999999999</v>
      </c>
    </row>
    <row r="14" spans="1:9" x14ac:dyDescent="0.25">
      <c r="A14" s="74"/>
      <c r="B14" s="1017"/>
      <c r="C14" s="775">
        <v>6</v>
      </c>
      <c r="D14" s="277">
        <v>724</v>
      </c>
      <c r="E14" s="308">
        <v>44541</v>
      </c>
      <c r="F14" s="277">
        <f t="shared" si="0"/>
        <v>724</v>
      </c>
      <c r="G14" s="278" t="s">
        <v>484</v>
      </c>
      <c r="H14" s="279">
        <v>55</v>
      </c>
      <c r="I14" s="288">
        <f t="shared" si="1"/>
        <v>14066.099999999999</v>
      </c>
    </row>
    <row r="15" spans="1:9" x14ac:dyDescent="0.25">
      <c r="A15" s="74"/>
      <c r="B15" s="1017"/>
      <c r="C15" s="775">
        <v>7</v>
      </c>
      <c r="D15" s="277">
        <v>745</v>
      </c>
      <c r="E15" s="308">
        <v>44541</v>
      </c>
      <c r="F15" s="277">
        <f t="shared" si="0"/>
        <v>745</v>
      </c>
      <c r="G15" s="278" t="s">
        <v>484</v>
      </c>
      <c r="H15" s="279">
        <v>55</v>
      </c>
      <c r="I15" s="288">
        <f t="shared" si="1"/>
        <v>13321.099999999999</v>
      </c>
    </row>
    <row r="16" spans="1:9" x14ac:dyDescent="0.25">
      <c r="B16" s="1017"/>
      <c r="C16" s="775">
        <v>8</v>
      </c>
      <c r="D16" s="277">
        <v>721</v>
      </c>
      <c r="E16" s="308">
        <v>44541</v>
      </c>
      <c r="F16" s="277">
        <f t="shared" si="0"/>
        <v>721</v>
      </c>
      <c r="G16" s="278" t="s">
        <v>484</v>
      </c>
      <c r="H16" s="279">
        <v>55</v>
      </c>
      <c r="I16" s="288">
        <f t="shared" si="1"/>
        <v>12600.099999999999</v>
      </c>
    </row>
    <row r="17" spans="1:9" x14ac:dyDescent="0.25">
      <c r="B17" s="1017"/>
      <c r="C17" s="775">
        <v>9</v>
      </c>
      <c r="D17" s="277">
        <v>730</v>
      </c>
      <c r="E17" s="308">
        <v>44541</v>
      </c>
      <c r="F17" s="277">
        <f t="shared" si="0"/>
        <v>730</v>
      </c>
      <c r="G17" s="278" t="s">
        <v>484</v>
      </c>
      <c r="H17" s="279">
        <v>55</v>
      </c>
      <c r="I17" s="288">
        <f t="shared" si="1"/>
        <v>11870.099999999999</v>
      </c>
    </row>
    <row r="18" spans="1:9" x14ac:dyDescent="0.25">
      <c r="A18" s="332"/>
      <c r="B18" s="1017"/>
      <c r="C18" s="775">
        <v>10</v>
      </c>
      <c r="D18" s="277">
        <v>842</v>
      </c>
      <c r="E18" s="308">
        <v>44541</v>
      </c>
      <c r="F18" s="277">
        <f t="shared" si="0"/>
        <v>842</v>
      </c>
      <c r="G18" s="278" t="s">
        <v>484</v>
      </c>
      <c r="H18" s="279">
        <v>55</v>
      </c>
      <c r="I18" s="288">
        <f t="shared" si="1"/>
        <v>11028.099999999999</v>
      </c>
    </row>
    <row r="19" spans="1:9" x14ac:dyDescent="0.25">
      <c r="A19" s="332"/>
      <c r="B19" s="1017"/>
      <c r="C19" s="775">
        <v>11</v>
      </c>
      <c r="D19" s="277">
        <v>801</v>
      </c>
      <c r="E19" s="308">
        <v>44541</v>
      </c>
      <c r="F19" s="277">
        <f t="shared" si="0"/>
        <v>801</v>
      </c>
      <c r="G19" s="278" t="s">
        <v>484</v>
      </c>
      <c r="H19" s="279">
        <v>55</v>
      </c>
      <c r="I19" s="288">
        <f t="shared" si="1"/>
        <v>10227.099999999999</v>
      </c>
    </row>
    <row r="20" spans="1:9" x14ac:dyDescent="0.25">
      <c r="A20" s="332"/>
      <c r="B20" s="1017"/>
      <c r="C20" s="775">
        <v>12</v>
      </c>
      <c r="D20" s="277">
        <v>741</v>
      </c>
      <c r="E20" s="308">
        <v>44541</v>
      </c>
      <c r="F20" s="277">
        <f t="shared" si="0"/>
        <v>741</v>
      </c>
      <c r="G20" s="278" t="s">
        <v>484</v>
      </c>
      <c r="H20" s="279">
        <v>55</v>
      </c>
      <c r="I20" s="288">
        <f t="shared" si="1"/>
        <v>9486.0999999999985</v>
      </c>
    </row>
    <row r="21" spans="1:9" x14ac:dyDescent="0.25">
      <c r="A21" s="126"/>
      <c r="C21" s="1015">
        <v>13</v>
      </c>
      <c r="D21" s="277">
        <v>787</v>
      </c>
      <c r="E21" s="308">
        <v>44541</v>
      </c>
      <c r="F21" s="277">
        <f t="shared" si="0"/>
        <v>787</v>
      </c>
      <c r="G21" s="278" t="s">
        <v>509</v>
      </c>
      <c r="H21" s="279">
        <v>55</v>
      </c>
      <c r="I21" s="288">
        <f t="shared" si="1"/>
        <v>8699.0999999999985</v>
      </c>
    </row>
    <row r="22" spans="1:9" x14ac:dyDescent="0.25">
      <c r="A22" s="126"/>
      <c r="C22" s="1015">
        <v>14</v>
      </c>
      <c r="D22" s="277">
        <v>807</v>
      </c>
      <c r="E22" s="308">
        <v>44541</v>
      </c>
      <c r="F22" s="277">
        <f t="shared" si="0"/>
        <v>807</v>
      </c>
      <c r="G22" s="278" t="s">
        <v>509</v>
      </c>
      <c r="H22" s="279">
        <v>55</v>
      </c>
      <c r="I22" s="288">
        <f t="shared" si="1"/>
        <v>7892.0999999999985</v>
      </c>
    </row>
    <row r="23" spans="1:9" x14ac:dyDescent="0.25">
      <c r="A23" s="127"/>
      <c r="C23" s="1015">
        <v>15</v>
      </c>
      <c r="D23" s="277">
        <v>751</v>
      </c>
      <c r="E23" s="308">
        <v>44541</v>
      </c>
      <c r="F23" s="277">
        <f t="shared" si="0"/>
        <v>751</v>
      </c>
      <c r="G23" s="278" t="s">
        <v>509</v>
      </c>
      <c r="H23" s="279">
        <v>55</v>
      </c>
      <c r="I23" s="288">
        <f t="shared" si="1"/>
        <v>7141.0999999999985</v>
      </c>
    </row>
    <row r="24" spans="1:9" x14ac:dyDescent="0.25">
      <c r="A24" s="126"/>
      <c r="C24" s="1015">
        <v>16</v>
      </c>
      <c r="D24" s="277">
        <v>696</v>
      </c>
      <c r="E24" s="308">
        <v>44541</v>
      </c>
      <c r="F24" s="277">
        <f t="shared" si="0"/>
        <v>696</v>
      </c>
      <c r="G24" s="278" t="s">
        <v>509</v>
      </c>
      <c r="H24" s="279">
        <v>55</v>
      </c>
      <c r="I24" s="288">
        <f t="shared" si="1"/>
        <v>6445.0999999999985</v>
      </c>
    </row>
    <row r="25" spans="1:9" x14ac:dyDescent="0.25">
      <c r="A25" s="126"/>
      <c r="C25" s="1015">
        <v>17</v>
      </c>
      <c r="D25" s="277">
        <v>736</v>
      </c>
      <c r="E25" s="308">
        <v>44541</v>
      </c>
      <c r="F25" s="277">
        <f t="shared" si="0"/>
        <v>736</v>
      </c>
      <c r="G25" s="278" t="s">
        <v>509</v>
      </c>
      <c r="H25" s="279">
        <v>55</v>
      </c>
      <c r="I25" s="288">
        <f t="shared" si="1"/>
        <v>5709.0999999999985</v>
      </c>
    </row>
    <row r="26" spans="1:9" x14ac:dyDescent="0.25">
      <c r="A26" s="126"/>
      <c r="C26" s="1015">
        <v>18</v>
      </c>
      <c r="D26" s="277">
        <v>789</v>
      </c>
      <c r="E26" s="308">
        <v>44541</v>
      </c>
      <c r="F26" s="277">
        <f t="shared" si="0"/>
        <v>789</v>
      </c>
      <c r="G26" s="278" t="s">
        <v>509</v>
      </c>
      <c r="H26" s="279">
        <v>55</v>
      </c>
      <c r="I26" s="288">
        <f t="shared" si="1"/>
        <v>4920.0999999999985</v>
      </c>
    </row>
    <row r="27" spans="1:9" x14ac:dyDescent="0.25">
      <c r="A27" s="126"/>
      <c r="C27" s="1015">
        <v>19</v>
      </c>
      <c r="D27" s="277">
        <v>803</v>
      </c>
      <c r="E27" s="308">
        <v>44541</v>
      </c>
      <c r="F27" s="277">
        <f t="shared" si="0"/>
        <v>803</v>
      </c>
      <c r="G27" s="278" t="s">
        <v>509</v>
      </c>
      <c r="H27" s="279">
        <v>55</v>
      </c>
      <c r="I27" s="288">
        <f t="shared" si="1"/>
        <v>4117.0999999999985</v>
      </c>
    </row>
    <row r="28" spans="1:9" x14ac:dyDescent="0.25">
      <c r="A28" s="126"/>
      <c r="C28" s="1015">
        <v>20</v>
      </c>
      <c r="D28" s="277">
        <v>723</v>
      </c>
      <c r="E28" s="308">
        <v>44541</v>
      </c>
      <c r="F28" s="277">
        <f t="shared" si="0"/>
        <v>723</v>
      </c>
      <c r="G28" s="278" t="s">
        <v>509</v>
      </c>
      <c r="H28" s="279">
        <v>55</v>
      </c>
      <c r="I28" s="288">
        <f t="shared" si="1"/>
        <v>3394.0999999999985</v>
      </c>
    </row>
    <row r="29" spans="1:9" x14ac:dyDescent="0.25">
      <c r="A29" s="126"/>
      <c r="C29" s="1015">
        <v>21</v>
      </c>
      <c r="D29" s="277">
        <v>776</v>
      </c>
      <c r="E29" s="308">
        <v>44541</v>
      </c>
      <c r="F29" s="277">
        <f t="shared" si="0"/>
        <v>776</v>
      </c>
      <c r="G29" s="278" t="s">
        <v>509</v>
      </c>
      <c r="H29" s="279">
        <v>55</v>
      </c>
      <c r="I29" s="288">
        <f t="shared" si="1"/>
        <v>2618.0999999999985</v>
      </c>
    </row>
    <row r="30" spans="1:9" x14ac:dyDescent="0.25">
      <c r="A30" s="126"/>
      <c r="C30" s="1015">
        <v>22</v>
      </c>
      <c r="D30" s="277">
        <v>833</v>
      </c>
      <c r="E30" s="308">
        <v>44541</v>
      </c>
      <c r="F30" s="277">
        <f t="shared" si="0"/>
        <v>833</v>
      </c>
      <c r="G30" s="278" t="s">
        <v>509</v>
      </c>
      <c r="H30" s="279">
        <v>55</v>
      </c>
      <c r="I30" s="288">
        <f t="shared" si="1"/>
        <v>1785.0999999999985</v>
      </c>
    </row>
    <row r="31" spans="1:9" x14ac:dyDescent="0.25">
      <c r="A31" s="126"/>
      <c r="C31" s="1015">
        <v>23</v>
      </c>
      <c r="D31" s="277">
        <v>829</v>
      </c>
      <c r="E31" s="308">
        <v>44541</v>
      </c>
      <c r="F31" s="277">
        <f t="shared" si="0"/>
        <v>829</v>
      </c>
      <c r="G31" s="278" t="s">
        <v>509</v>
      </c>
      <c r="H31" s="279">
        <v>55</v>
      </c>
      <c r="I31" s="288">
        <f t="shared" si="1"/>
        <v>956.09999999999854</v>
      </c>
    </row>
    <row r="32" spans="1:9" x14ac:dyDescent="0.25">
      <c r="A32" s="126"/>
      <c r="C32" s="1015">
        <v>24</v>
      </c>
      <c r="D32" s="277">
        <v>735</v>
      </c>
      <c r="E32" s="308">
        <v>44541</v>
      </c>
      <c r="F32" s="277">
        <f t="shared" si="0"/>
        <v>735</v>
      </c>
      <c r="G32" s="278" t="s">
        <v>509</v>
      </c>
      <c r="H32" s="279">
        <v>55</v>
      </c>
      <c r="I32" s="288">
        <f t="shared" si="1"/>
        <v>221.09999999999854</v>
      </c>
    </row>
    <row r="33" spans="1:9" x14ac:dyDescent="0.25">
      <c r="A33" s="126"/>
      <c r="B33" s="1015"/>
      <c r="C33" s="15"/>
      <c r="D33" s="277"/>
      <c r="E33" s="308"/>
      <c r="F33" s="277">
        <f t="shared" si="0"/>
        <v>0</v>
      </c>
      <c r="G33" s="278"/>
      <c r="H33" s="279"/>
      <c r="I33" s="288">
        <f t="shared" si="1"/>
        <v>221.09999999999854</v>
      </c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</row>
    <row r="35" spans="1:9" ht="15.75" x14ac:dyDescent="0.25">
      <c r="C35" s="53">
        <f>SUM(C9:C34)</f>
        <v>300</v>
      </c>
      <c r="D35" s="1018">
        <f>SUM(D9:D34)</f>
        <v>18480</v>
      </c>
      <c r="F35" s="6">
        <f>SUM(F9:F34)</f>
        <v>18480</v>
      </c>
    </row>
    <row r="37" spans="1:9" ht="15.75" thickBot="1" x14ac:dyDescent="0.3"/>
    <row r="38" spans="1:9" ht="15.75" thickBot="1" x14ac:dyDescent="0.3">
      <c r="D38" s="45" t="s">
        <v>4</v>
      </c>
      <c r="E38" s="57">
        <v>0</v>
      </c>
    </row>
    <row r="39" spans="1:9" ht="15.75" thickBot="1" x14ac:dyDescent="0.3"/>
    <row r="40" spans="1:9" ht="15.75" thickBot="1" x14ac:dyDescent="0.3">
      <c r="C40" s="1170" t="s">
        <v>11</v>
      </c>
      <c r="D40" s="1171"/>
      <c r="E40" s="58">
        <f>E5+E6-F35+E7</f>
        <v>221.09999999999854</v>
      </c>
      <c r="F40" s="74"/>
    </row>
  </sheetData>
  <mergeCells count="4">
    <mergeCell ref="A1:G1"/>
    <mergeCell ref="A5:A7"/>
    <mergeCell ref="C40:D40"/>
    <mergeCell ref="B4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B7" sqref="B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76" t="s">
        <v>338</v>
      </c>
      <c r="B1" s="1176"/>
      <c r="C1" s="1176"/>
      <c r="D1" s="1176"/>
      <c r="E1" s="1176"/>
      <c r="F1" s="1176"/>
      <c r="G1" s="1176"/>
      <c r="H1" s="11">
        <v>1</v>
      </c>
      <c r="I1" s="337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1"/>
    </row>
    <row r="4" spans="1:13" ht="15.75" thickTop="1" x14ac:dyDescent="0.25">
      <c r="A4" s="309"/>
      <c r="B4" s="309"/>
      <c r="C4" s="309"/>
      <c r="D4" s="256"/>
      <c r="E4" s="355"/>
      <c r="F4" s="266"/>
      <c r="G4" s="166"/>
      <c r="H4" s="166"/>
      <c r="I4" s="166"/>
    </row>
    <row r="5" spans="1:13" x14ac:dyDescent="0.25">
      <c r="A5" s="1167" t="s">
        <v>339</v>
      </c>
      <c r="B5" s="1180" t="s">
        <v>359</v>
      </c>
      <c r="C5" s="296">
        <v>47</v>
      </c>
      <c r="D5" s="261">
        <v>44547</v>
      </c>
      <c r="E5" s="272">
        <v>995.62</v>
      </c>
      <c r="F5" s="266">
        <v>40</v>
      </c>
      <c r="G5" s="310"/>
      <c r="H5" t="s">
        <v>41</v>
      </c>
    </row>
    <row r="6" spans="1:13" ht="15.75" x14ac:dyDescent="0.25">
      <c r="A6" s="1167"/>
      <c r="B6" s="1180"/>
      <c r="C6" s="799"/>
      <c r="D6" s="274"/>
      <c r="E6" s="272"/>
      <c r="F6" s="266"/>
      <c r="G6" s="275">
        <f>F35</f>
        <v>995.62</v>
      </c>
      <c r="H6" s="7">
        <f>E6-G6+E7+E5-G5+E4+E8</f>
        <v>0</v>
      </c>
      <c r="I6" s="273"/>
    </row>
    <row r="7" spans="1:13" x14ac:dyDescent="0.25">
      <c r="A7" s="253"/>
      <c r="B7" s="295"/>
      <c r="C7" s="296"/>
      <c r="D7" s="261"/>
      <c r="E7" s="272"/>
      <c r="F7" s="266"/>
      <c r="G7" s="253"/>
      <c r="H7" s="253"/>
    </row>
    <row r="8" spans="1:13" ht="15.75" thickBot="1" x14ac:dyDescent="0.3">
      <c r="A8" s="253"/>
      <c r="B8" s="295"/>
      <c r="C8" s="296"/>
      <c r="D8" s="261"/>
      <c r="E8" s="272"/>
      <c r="F8" s="266"/>
      <c r="G8" s="253"/>
      <c r="H8" s="253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2"/>
    </row>
    <row r="10" spans="1:13" ht="15.75" thickTop="1" x14ac:dyDescent="0.25">
      <c r="A10" s="81" t="s">
        <v>32</v>
      </c>
      <c r="B10" s="297">
        <f>F4+F5+F6+F7-C10+F8</f>
        <v>0</v>
      </c>
      <c r="C10" s="15">
        <v>40</v>
      </c>
      <c r="D10" s="277">
        <v>995.62</v>
      </c>
      <c r="E10" s="308">
        <v>44549</v>
      </c>
      <c r="F10" s="277">
        <f t="shared" ref="F10:F11" si="0">D10</f>
        <v>995.62</v>
      </c>
      <c r="G10" s="278" t="s">
        <v>553</v>
      </c>
      <c r="H10" s="279">
        <v>49</v>
      </c>
      <c r="I10" s="333">
        <f>E4+E5+E6+E7-F10+E8</f>
        <v>0</v>
      </c>
      <c r="J10" s="253"/>
    </row>
    <row r="11" spans="1:13" x14ac:dyDescent="0.25">
      <c r="A11" s="217"/>
      <c r="B11" s="297">
        <f>B10-C11</f>
        <v>0</v>
      </c>
      <c r="C11" s="15"/>
      <c r="D11" s="277"/>
      <c r="E11" s="308"/>
      <c r="F11" s="1092">
        <f t="shared" si="0"/>
        <v>0</v>
      </c>
      <c r="G11" s="1093"/>
      <c r="H11" s="1094"/>
      <c r="I11" s="1095">
        <f>I10-F11</f>
        <v>0</v>
      </c>
      <c r="J11" s="253"/>
    </row>
    <row r="12" spans="1:13" x14ac:dyDescent="0.25">
      <c r="A12" s="205"/>
      <c r="B12" s="297">
        <f t="shared" ref="B12:B28" si="1">B11-C12</f>
        <v>0</v>
      </c>
      <c r="C12" s="15"/>
      <c r="D12" s="277"/>
      <c r="E12" s="308"/>
      <c r="F12" s="1092">
        <f t="shared" ref="F12" si="2">D12</f>
        <v>0</v>
      </c>
      <c r="G12" s="1093"/>
      <c r="H12" s="1094"/>
      <c r="I12" s="1095">
        <f t="shared" ref="I12:I30" si="3">I11-F12</f>
        <v>0</v>
      </c>
      <c r="J12" s="253"/>
      <c r="K12" s="253"/>
      <c r="L12" s="253"/>
      <c r="M12" s="253"/>
    </row>
    <row r="13" spans="1:13" x14ac:dyDescent="0.25">
      <c r="A13" s="83" t="s">
        <v>33</v>
      </c>
      <c r="B13" s="297">
        <f t="shared" si="1"/>
        <v>0</v>
      </c>
      <c r="C13" s="15"/>
      <c r="D13" s="277"/>
      <c r="E13" s="308"/>
      <c r="F13" s="1092">
        <f t="shared" ref="F13:F33" si="4">D13</f>
        <v>0</v>
      </c>
      <c r="G13" s="1093"/>
      <c r="H13" s="1094"/>
      <c r="I13" s="1095">
        <f t="shared" si="3"/>
        <v>0</v>
      </c>
      <c r="J13" s="253"/>
      <c r="K13" s="253"/>
      <c r="L13" s="253"/>
      <c r="M13" s="253"/>
    </row>
    <row r="14" spans="1:13" x14ac:dyDescent="0.25">
      <c r="A14" s="74"/>
      <c r="B14" s="297">
        <f t="shared" si="1"/>
        <v>0</v>
      </c>
      <c r="C14" s="15"/>
      <c r="D14" s="277"/>
      <c r="E14" s="308"/>
      <c r="F14" s="277">
        <f t="shared" ref="F14:F26" si="5">D14</f>
        <v>0</v>
      </c>
      <c r="G14" s="278"/>
      <c r="H14" s="279"/>
      <c r="I14" s="333">
        <f t="shared" si="3"/>
        <v>0</v>
      </c>
      <c r="J14" s="253"/>
      <c r="K14" s="253"/>
      <c r="L14" s="253"/>
      <c r="M14" s="253"/>
    </row>
    <row r="15" spans="1:13" x14ac:dyDescent="0.25">
      <c r="A15" s="74"/>
      <c r="B15" s="297">
        <f t="shared" si="1"/>
        <v>0</v>
      </c>
      <c r="C15" s="15"/>
      <c r="D15" s="277"/>
      <c r="E15" s="308"/>
      <c r="F15" s="277">
        <f t="shared" si="5"/>
        <v>0</v>
      </c>
      <c r="G15" s="278"/>
      <c r="H15" s="279"/>
      <c r="I15" s="333">
        <f t="shared" si="3"/>
        <v>0</v>
      </c>
      <c r="J15" s="253"/>
      <c r="K15" s="253"/>
      <c r="L15" s="253"/>
      <c r="M15" s="253"/>
    </row>
    <row r="16" spans="1:13" x14ac:dyDescent="0.25">
      <c r="B16" s="297">
        <f t="shared" si="1"/>
        <v>0</v>
      </c>
      <c r="C16" s="15"/>
      <c r="D16" s="70"/>
      <c r="E16" s="308"/>
      <c r="F16" s="277">
        <f t="shared" si="5"/>
        <v>0</v>
      </c>
      <c r="G16" s="278"/>
      <c r="H16" s="279"/>
      <c r="I16" s="333">
        <f t="shared" si="3"/>
        <v>0</v>
      </c>
      <c r="J16" s="253"/>
      <c r="K16" s="253"/>
      <c r="L16" s="253"/>
      <c r="M16" s="253"/>
    </row>
    <row r="17" spans="1:13" x14ac:dyDescent="0.25">
      <c r="B17" s="297">
        <f t="shared" si="1"/>
        <v>0</v>
      </c>
      <c r="C17" s="15"/>
      <c r="D17" s="70"/>
      <c r="E17" s="308"/>
      <c r="F17" s="277">
        <f t="shared" si="5"/>
        <v>0</v>
      </c>
      <c r="G17" s="278"/>
      <c r="H17" s="279"/>
      <c r="I17" s="333">
        <f t="shared" si="3"/>
        <v>0</v>
      </c>
      <c r="J17" s="253"/>
      <c r="K17" s="253"/>
      <c r="L17" s="253"/>
      <c r="M17" s="253"/>
    </row>
    <row r="18" spans="1:13" x14ac:dyDescent="0.25">
      <c r="A18" s="126"/>
      <c r="B18" s="297">
        <f t="shared" si="1"/>
        <v>0</v>
      </c>
      <c r="C18" s="15"/>
      <c r="D18" s="70"/>
      <c r="E18" s="308"/>
      <c r="F18" s="277">
        <f t="shared" si="5"/>
        <v>0</v>
      </c>
      <c r="G18" s="278"/>
      <c r="H18" s="279"/>
      <c r="I18" s="333">
        <f t="shared" si="3"/>
        <v>0</v>
      </c>
      <c r="J18" s="253"/>
      <c r="K18" s="253"/>
      <c r="L18" s="253"/>
      <c r="M18" s="253"/>
    </row>
    <row r="19" spans="1:13" x14ac:dyDescent="0.25">
      <c r="A19" s="126"/>
      <c r="B19" s="297">
        <f t="shared" si="1"/>
        <v>0</v>
      </c>
      <c r="C19" s="15"/>
      <c r="D19" s="70"/>
      <c r="E19" s="308"/>
      <c r="F19" s="277">
        <f t="shared" si="5"/>
        <v>0</v>
      </c>
      <c r="G19" s="278"/>
      <c r="H19" s="279"/>
      <c r="I19" s="333">
        <f t="shared" si="3"/>
        <v>0</v>
      </c>
      <c r="J19" s="253"/>
      <c r="K19" s="253"/>
      <c r="L19" s="253"/>
      <c r="M19" s="253"/>
    </row>
    <row r="20" spans="1:13" x14ac:dyDescent="0.25">
      <c r="A20" s="126"/>
      <c r="B20" s="297">
        <f t="shared" si="1"/>
        <v>0</v>
      </c>
      <c r="C20" s="15"/>
      <c r="D20" s="70"/>
      <c r="E20" s="308"/>
      <c r="F20" s="277">
        <f t="shared" si="5"/>
        <v>0</v>
      </c>
      <c r="G20" s="278"/>
      <c r="H20" s="279"/>
      <c r="I20" s="333">
        <f t="shared" si="3"/>
        <v>0</v>
      </c>
      <c r="J20" s="253"/>
      <c r="K20" s="253"/>
      <c r="L20" s="253"/>
      <c r="M20" s="253"/>
    </row>
    <row r="21" spans="1:13" x14ac:dyDescent="0.25">
      <c r="A21" s="126"/>
      <c r="B21" s="297">
        <f t="shared" si="1"/>
        <v>0</v>
      </c>
      <c r="C21" s="15"/>
      <c r="D21" s="70"/>
      <c r="E21" s="228"/>
      <c r="F21" s="70">
        <f t="shared" si="5"/>
        <v>0</v>
      </c>
      <c r="G21" s="278"/>
      <c r="H21" s="279"/>
      <c r="I21" s="232">
        <f t="shared" si="3"/>
        <v>0</v>
      </c>
      <c r="J21" s="253"/>
    </row>
    <row r="22" spans="1:13" x14ac:dyDescent="0.25">
      <c r="A22" s="126"/>
      <c r="B22" s="297">
        <f t="shared" si="1"/>
        <v>0</v>
      </c>
      <c r="C22" s="15"/>
      <c r="D22" s="70"/>
      <c r="E22" s="228"/>
      <c r="F22" s="70">
        <f t="shared" si="5"/>
        <v>0</v>
      </c>
      <c r="G22" s="278"/>
      <c r="H22" s="279"/>
      <c r="I22" s="232">
        <f t="shared" si="3"/>
        <v>0</v>
      </c>
      <c r="J22" s="253"/>
    </row>
    <row r="23" spans="1:13" x14ac:dyDescent="0.25">
      <c r="A23" s="127"/>
      <c r="B23" s="297">
        <f t="shared" si="1"/>
        <v>0</v>
      </c>
      <c r="C23" s="15"/>
      <c r="D23" s="70"/>
      <c r="E23" s="228"/>
      <c r="F23" s="70">
        <f t="shared" si="5"/>
        <v>0</v>
      </c>
      <c r="G23" s="278"/>
      <c r="H23" s="279"/>
      <c r="I23" s="232">
        <f t="shared" si="3"/>
        <v>0</v>
      </c>
      <c r="J23" s="253"/>
    </row>
    <row r="24" spans="1:13" x14ac:dyDescent="0.25">
      <c r="A24" s="126"/>
      <c r="B24" s="297">
        <f t="shared" si="1"/>
        <v>0</v>
      </c>
      <c r="C24" s="15"/>
      <c r="D24" s="70"/>
      <c r="E24" s="228"/>
      <c r="F24" s="70">
        <f t="shared" si="5"/>
        <v>0</v>
      </c>
      <c r="G24" s="278"/>
      <c r="H24" s="279"/>
      <c r="I24" s="232">
        <f t="shared" si="3"/>
        <v>0</v>
      </c>
      <c r="J24" s="253"/>
    </row>
    <row r="25" spans="1:13" x14ac:dyDescent="0.25">
      <c r="A25" s="126"/>
      <c r="B25" s="297">
        <f t="shared" si="1"/>
        <v>0</v>
      </c>
      <c r="C25" s="15"/>
      <c r="D25" s="70"/>
      <c r="E25" s="228"/>
      <c r="F25" s="70">
        <f t="shared" si="5"/>
        <v>0</v>
      </c>
      <c r="G25" s="278"/>
      <c r="H25" s="279"/>
      <c r="I25" s="232">
        <f t="shared" si="3"/>
        <v>0</v>
      </c>
      <c r="J25" s="253"/>
    </row>
    <row r="26" spans="1:13" x14ac:dyDescent="0.25">
      <c r="A26" s="126"/>
      <c r="B26" s="297">
        <f t="shared" si="1"/>
        <v>0</v>
      </c>
      <c r="C26" s="15"/>
      <c r="D26" s="70"/>
      <c r="E26" s="228"/>
      <c r="F26" s="70">
        <f t="shared" si="5"/>
        <v>0</v>
      </c>
      <c r="G26" s="278"/>
      <c r="H26" s="279"/>
      <c r="I26" s="232">
        <f t="shared" si="3"/>
        <v>0</v>
      </c>
      <c r="J26" s="253"/>
    </row>
    <row r="27" spans="1:13" x14ac:dyDescent="0.25">
      <c r="A27" s="126"/>
      <c r="B27" s="297">
        <f t="shared" si="1"/>
        <v>0</v>
      </c>
      <c r="C27" s="15"/>
      <c r="D27" s="70"/>
      <c r="E27" s="228"/>
      <c r="F27" s="70">
        <v>0</v>
      </c>
      <c r="G27" s="278"/>
      <c r="H27" s="279"/>
      <c r="I27" s="333">
        <f t="shared" si="3"/>
        <v>0</v>
      </c>
      <c r="J27" s="253"/>
    </row>
    <row r="28" spans="1:13" x14ac:dyDescent="0.25">
      <c r="A28" s="126"/>
      <c r="B28" s="297">
        <f t="shared" si="1"/>
        <v>0</v>
      </c>
      <c r="C28" s="15"/>
      <c r="D28" s="70"/>
      <c r="E28" s="228"/>
      <c r="F28" s="70">
        <f t="shared" si="4"/>
        <v>0</v>
      </c>
      <c r="G28" s="278"/>
      <c r="H28" s="279"/>
      <c r="I28" s="333">
        <f t="shared" si="3"/>
        <v>0</v>
      </c>
    </row>
    <row r="29" spans="1:13" x14ac:dyDescent="0.25">
      <c r="A29" s="126"/>
      <c r="B29" s="297"/>
      <c r="C29" s="15"/>
      <c r="D29" s="70"/>
      <c r="E29" s="228"/>
      <c r="F29" s="70">
        <f t="shared" si="4"/>
        <v>0</v>
      </c>
      <c r="G29" s="278"/>
      <c r="H29" s="279"/>
      <c r="I29" s="333">
        <f t="shared" si="3"/>
        <v>0</v>
      </c>
    </row>
    <row r="30" spans="1:13" x14ac:dyDescent="0.25">
      <c r="A30" s="126"/>
      <c r="B30" s="297"/>
      <c r="C30" s="15"/>
      <c r="D30" s="70"/>
      <c r="E30" s="228"/>
      <c r="F30" s="70">
        <f t="shared" si="4"/>
        <v>0</v>
      </c>
      <c r="G30" s="278"/>
      <c r="H30" s="279"/>
      <c r="I30" s="333">
        <f t="shared" si="3"/>
        <v>0</v>
      </c>
    </row>
    <row r="31" spans="1:13" x14ac:dyDescent="0.25">
      <c r="A31" s="126"/>
      <c r="B31" s="297"/>
      <c r="C31" s="15"/>
      <c r="D31" s="70"/>
      <c r="E31" s="228"/>
      <c r="F31" s="70">
        <f t="shared" si="4"/>
        <v>0</v>
      </c>
      <c r="G31" s="71"/>
      <c r="H31" s="72"/>
      <c r="I31" s="72"/>
    </row>
    <row r="32" spans="1:13" x14ac:dyDescent="0.25">
      <c r="A32" s="126"/>
      <c r="B32" s="297"/>
      <c r="C32" s="15"/>
      <c r="D32" s="70"/>
      <c r="E32" s="228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28"/>
      <c r="F33" s="70">
        <f t="shared" si="4"/>
        <v>0</v>
      </c>
      <c r="G33" s="278"/>
      <c r="H33" s="279"/>
      <c r="I33" s="279"/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  <c r="I34" s="61"/>
    </row>
    <row r="35" spans="1:9" x14ac:dyDescent="0.25">
      <c r="C35" s="6">
        <f>SUM(C10:C34)</f>
        <v>40</v>
      </c>
      <c r="D35" s="6">
        <f>SUM(D10:D34)</f>
        <v>995.62</v>
      </c>
      <c r="F35" s="6">
        <f>SUM(F10:F34)</f>
        <v>995.62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70" t="s">
        <v>11</v>
      </c>
      <c r="D40" s="1171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76" t="s">
        <v>163</v>
      </c>
      <c r="B1" s="1176"/>
      <c r="C1" s="1176"/>
      <c r="D1" s="1176"/>
      <c r="E1" s="1176"/>
      <c r="F1" s="1176"/>
      <c r="G1" s="117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952"/>
      <c r="B5" s="1167"/>
      <c r="C5" s="953"/>
      <c r="D5" s="954"/>
      <c r="E5" s="955"/>
      <c r="F5" s="956"/>
      <c r="G5" s="289">
        <f>F36</f>
        <v>0</v>
      </c>
      <c r="H5" s="7">
        <f>E5-G5+E4+E6</f>
        <v>0</v>
      </c>
    </row>
    <row r="6" spans="1:10" ht="15.75" customHeight="1" thickBot="1" x14ac:dyDescent="0.3">
      <c r="A6" s="256"/>
      <c r="B6" s="1181"/>
      <c r="C6" s="290"/>
      <c r="D6" s="291"/>
      <c r="E6" s="283"/>
      <c r="F6" s="256"/>
    </row>
    <row r="7" spans="1:10" ht="16.5" customHeight="1" thickTop="1" thickBot="1" x14ac:dyDescent="0.3">
      <c r="A7" s="25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48"/>
      <c r="B8" s="849"/>
      <c r="C8" s="53"/>
      <c r="D8" s="70"/>
      <c r="E8" s="346"/>
      <c r="F8" s="288">
        <f t="shared" ref="F8:F35" si="0">D8</f>
        <v>0</v>
      </c>
      <c r="G8" s="278"/>
      <c r="H8" s="279"/>
      <c r="I8" s="282">
        <f>E5-F8+E4+E6</f>
        <v>0</v>
      </c>
      <c r="J8" s="253"/>
    </row>
    <row r="9" spans="1:10" ht="15" customHeight="1" x14ac:dyDescent="0.25">
      <c r="B9" s="298"/>
      <c r="C9" s="53"/>
      <c r="D9" s="70"/>
      <c r="E9" s="341"/>
      <c r="F9" s="288">
        <f t="shared" si="0"/>
        <v>0</v>
      </c>
      <c r="G9" s="278"/>
      <c r="H9" s="279"/>
      <c r="I9" s="282">
        <f>I8-F9</f>
        <v>0</v>
      </c>
      <c r="J9" s="253"/>
    </row>
    <row r="10" spans="1:10" ht="15" customHeight="1" x14ac:dyDescent="0.25">
      <c r="B10" s="298"/>
      <c r="C10" s="15"/>
      <c r="D10" s="70"/>
      <c r="E10" s="341"/>
      <c r="F10" s="288">
        <f t="shared" si="0"/>
        <v>0</v>
      </c>
      <c r="G10" s="278"/>
      <c r="H10" s="279"/>
      <c r="I10" s="282">
        <f>I9-F10</f>
        <v>0</v>
      </c>
      <c r="J10" s="253"/>
    </row>
    <row r="11" spans="1:10" ht="15" customHeight="1" x14ac:dyDescent="0.25">
      <c r="A11" s="56" t="s">
        <v>33</v>
      </c>
      <c r="B11" s="298"/>
      <c r="C11" s="15"/>
      <c r="D11" s="70"/>
      <c r="E11" s="341"/>
      <c r="F11" s="288">
        <f t="shared" si="0"/>
        <v>0</v>
      </c>
      <c r="G11" s="278"/>
      <c r="H11" s="279"/>
      <c r="I11" s="282">
        <f t="shared" ref="I11:I34" si="1">I10-F11</f>
        <v>0</v>
      </c>
      <c r="J11" s="253"/>
    </row>
    <row r="12" spans="1:10" ht="15" customHeight="1" x14ac:dyDescent="0.25">
      <c r="A12" s="19"/>
      <c r="B12" s="298"/>
      <c r="C12" s="53"/>
      <c r="D12" s="70"/>
      <c r="E12" s="341"/>
      <c r="F12" s="288">
        <f t="shared" si="0"/>
        <v>0</v>
      </c>
      <c r="G12" s="278"/>
      <c r="H12" s="279"/>
      <c r="I12" s="282">
        <f t="shared" si="1"/>
        <v>0</v>
      </c>
      <c r="J12" s="253"/>
    </row>
    <row r="13" spans="1:10" ht="15" customHeight="1" x14ac:dyDescent="0.25">
      <c r="B13" s="298"/>
      <c r="C13" s="53"/>
      <c r="D13" s="70"/>
      <c r="E13" s="341"/>
      <c r="F13" s="288">
        <f t="shared" si="0"/>
        <v>0</v>
      </c>
      <c r="G13" s="278"/>
      <c r="H13" s="279"/>
      <c r="I13" s="282">
        <f t="shared" si="1"/>
        <v>0</v>
      </c>
      <c r="J13" s="253"/>
    </row>
    <row r="14" spans="1:10" ht="15" customHeight="1" x14ac:dyDescent="0.25">
      <c r="B14" s="298"/>
      <c r="C14" s="15"/>
      <c r="D14" s="70"/>
      <c r="E14" s="341"/>
      <c r="F14" s="288">
        <f t="shared" si="0"/>
        <v>0</v>
      </c>
      <c r="G14" s="278"/>
      <c r="H14" s="279"/>
      <c r="I14" s="282">
        <f t="shared" si="1"/>
        <v>0</v>
      </c>
    </row>
    <row r="15" spans="1:10" ht="15" customHeight="1" x14ac:dyDescent="0.25">
      <c r="B15" s="298"/>
      <c r="C15" s="15"/>
      <c r="D15" s="70"/>
      <c r="E15" s="341"/>
      <c r="F15" s="288">
        <f t="shared" si="0"/>
        <v>0</v>
      </c>
      <c r="G15" s="278"/>
      <c r="H15" s="279"/>
      <c r="I15" s="282">
        <f t="shared" si="1"/>
        <v>0</v>
      </c>
    </row>
    <row r="16" spans="1:10" ht="15" customHeight="1" x14ac:dyDescent="0.25">
      <c r="B16" s="298"/>
      <c r="C16" s="15"/>
      <c r="D16" s="70"/>
      <c r="E16" s="341"/>
      <c r="F16" s="288">
        <f t="shared" si="0"/>
        <v>0</v>
      </c>
      <c r="G16" s="278"/>
      <c r="H16" s="279"/>
      <c r="I16" s="282">
        <f t="shared" si="1"/>
        <v>0</v>
      </c>
    </row>
    <row r="17" spans="1:9" ht="15" customHeight="1" x14ac:dyDescent="0.25">
      <c r="B17" s="298"/>
      <c r="C17" s="15"/>
      <c r="D17" s="70"/>
      <c r="E17" s="341"/>
      <c r="F17" s="288">
        <f t="shared" si="0"/>
        <v>0</v>
      </c>
      <c r="G17" s="278"/>
      <c r="H17" s="279"/>
      <c r="I17" s="282">
        <f t="shared" si="1"/>
        <v>0</v>
      </c>
    </row>
    <row r="18" spans="1:9" ht="15" customHeight="1" x14ac:dyDescent="0.25">
      <c r="B18" s="298"/>
      <c r="C18" s="15"/>
      <c r="D18" s="70"/>
      <c r="E18" s="341"/>
      <c r="F18" s="288">
        <f t="shared" si="0"/>
        <v>0</v>
      </c>
      <c r="G18" s="278"/>
      <c r="H18" s="279"/>
      <c r="I18" s="282">
        <f t="shared" si="1"/>
        <v>0</v>
      </c>
    </row>
    <row r="19" spans="1:9" ht="15" customHeight="1" x14ac:dyDescent="0.25">
      <c r="B19" s="298"/>
      <c r="C19" s="15"/>
      <c r="D19" s="70"/>
      <c r="E19" s="341"/>
      <c r="F19" s="288">
        <f t="shared" si="0"/>
        <v>0</v>
      </c>
      <c r="G19" s="278"/>
      <c r="H19" s="279"/>
      <c r="I19" s="282">
        <f t="shared" si="1"/>
        <v>0</v>
      </c>
    </row>
    <row r="20" spans="1:9" ht="15" customHeight="1" x14ac:dyDescent="0.25">
      <c r="B20" s="298"/>
      <c r="C20" s="15"/>
      <c r="D20" s="70"/>
      <c r="E20" s="341"/>
      <c r="F20" s="288">
        <f t="shared" si="0"/>
        <v>0</v>
      </c>
      <c r="G20" s="278"/>
      <c r="H20" s="279"/>
      <c r="I20" s="282">
        <f t="shared" si="1"/>
        <v>0</v>
      </c>
    </row>
    <row r="21" spans="1:9" ht="15" customHeight="1" x14ac:dyDescent="0.25">
      <c r="B21" s="298"/>
      <c r="C21" s="15"/>
      <c r="D21" s="70"/>
      <c r="E21" s="341"/>
      <c r="F21" s="288">
        <f t="shared" si="0"/>
        <v>0</v>
      </c>
      <c r="G21" s="278"/>
      <c r="H21" s="279"/>
      <c r="I21" s="282">
        <f t="shared" si="1"/>
        <v>0</v>
      </c>
    </row>
    <row r="22" spans="1:9" ht="15" customHeight="1" x14ac:dyDescent="0.25">
      <c r="B22" s="298"/>
      <c r="C22" s="15"/>
      <c r="D22" s="70"/>
      <c r="E22" s="341"/>
      <c r="F22" s="288">
        <f t="shared" si="0"/>
        <v>0</v>
      </c>
      <c r="G22" s="71"/>
      <c r="H22" s="72"/>
      <c r="I22" s="282">
        <f t="shared" si="1"/>
        <v>0</v>
      </c>
    </row>
    <row r="23" spans="1:9" ht="15" customHeight="1" x14ac:dyDescent="0.25">
      <c r="B23" s="298"/>
      <c r="C23" s="15"/>
      <c r="D23" s="70"/>
      <c r="E23" s="341"/>
      <c r="F23" s="288">
        <f t="shared" si="0"/>
        <v>0</v>
      </c>
      <c r="G23" s="71"/>
      <c r="H23" s="72"/>
      <c r="I23" s="282">
        <f t="shared" si="1"/>
        <v>0</v>
      </c>
    </row>
    <row r="24" spans="1:9" ht="15" customHeight="1" x14ac:dyDescent="0.25">
      <c r="B24" s="298"/>
      <c r="C24" s="15"/>
      <c r="D24" s="70"/>
      <c r="E24" s="341"/>
      <c r="F24" s="288">
        <f t="shared" si="0"/>
        <v>0</v>
      </c>
      <c r="G24" s="71"/>
      <c r="H24" s="72"/>
      <c r="I24" s="282">
        <f t="shared" si="1"/>
        <v>0</v>
      </c>
    </row>
    <row r="25" spans="1:9" ht="15" customHeight="1" x14ac:dyDescent="0.25">
      <c r="B25" s="298"/>
      <c r="C25" s="15"/>
      <c r="D25" s="70"/>
      <c r="E25" s="341"/>
      <c r="F25" s="288">
        <f t="shared" si="0"/>
        <v>0</v>
      </c>
      <c r="G25" s="71"/>
      <c r="H25" s="72"/>
      <c r="I25" s="282">
        <f t="shared" si="1"/>
        <v>0</v>
      </c>
    </row>
    <row r="26" spans="1:9" ht="15" customHeight="1" x14ac:dyDescent="0.25">
      <c r="B26" s="298"/>
      <c r="C26" s="15"/>
      <c r="D26" s="70"/>
      <c r="E26" s="341"/>
      <c r="F26" s="288">
        <f t="shared" si="0"/>
        <v>0</v>
      </c>
      <c r="G26" s="71"/>
      <c r="H26" s="72"/>
      <c r="I26" s="282">
        <f t="shared" si="1"/>
        <v>0</v>
      </c>
    </row>
    <row r="27" spans="1:9" ht="15" customHeight="1" x14ac:dyDescent="0.25">
      <c r="B27" s="298"/>
      <c r="C27" s="15"/>
      <c r="D27" s="70"/>
      <c r="E27" s="341"/>
      <c r="F27" s="288">
        <f t="shared" si="0"/>
        <v>0</v>
      </c>
      <c r="G27" s="71"/>
      <c r="H27" s="72"/>
      <c r="I27" s="242">
        <f t="shared" si="1"/>
        <v>0</v>
      </c>
    </row>
    <row r="28" spans="1:9" ht="15" customHeight="1" x14ac:dyDescent="0.25">
      <c r="A28" s="47"/>
      <c r="B28" s="298"/>
      <c r="C28" s="15"/>
      <c r="D28" s="70"/>
      <c r="E28" s="341"/>
      <c r="F28" s="288">
        <f t="shared" si="0"/>
        <v>0</v>
      </c>
      <c r="G28" s="71"/>
      <c r="H28" s="72"/>
      <c r="I28" s="242">
        <f t="shared" si="1"/>
        <v>0</v>
      </c>
    </row>
    <row r="29" spans="1:9" ht="15" customHeight="1" x14ac:dyDescent="0.25">
      <c r="A29" s="47"/>
      <c r="B29" s="298"/>
      <c r="C29" s="15"/>
      <c r="D29" s="70">
        <f t="shared" ref="D29:D35" si="2">C29*B29</f>
        <v>0</v>
      </c>
      <c r="E29" s="341"/>
      <c r="F29" s="288">
        <f t="shared" si="0"/>
        <v>0</v>
      </c>
      <c r="G29" s="278"/>
      <c r="H29" s="279"/>
      <c r="I29" s="282">
        <f t="shared" si="1"/>
        <v>0</v>
      </c>
    </row>
    <row r="30" spans="1:9" ht="15" customHeight="1" x14ac:dyDescent="0.25">
      <c r="A30" s="47"/>
      <c r="B30" s="298"/>
      <c r="C30" s="15"/>
      <c r="D30" s="70">
        <f t="shared" si="2"/>
        <v>0</v>
      </c>
      <c r="E30" s="341"/>
      <c r="F30" s="288">
        <f t="shared" si="0"/>
        <v>0</v>
      </c>
      <c r="G30" s="278"/>
      <c r="H30" s="279"/>
      <c r="I30" s="282">
        <f t="shared" si="1"/>
        <v>0</v>
      </c>
    </row>
    <row r="31" spans="1:9" ht="15" customHeight="1" x14ac:dyDescent="0.25">
      <c r="A31" s="47"/>
      <c r="B31" s="298"/>
      <c r="C31" s="15"/>
      <c r="D31" s="70">
        <f t="shared" si="2"/>
        <v>0</v>
      </c>
      <c r="E31" s="341"/>
      <c r="F31" s="288">
        <f t="shared" si="0"/>
        <v>0</v>
      </c>
      <c r="G31" s="278"/>
      <c r="H31" s="279"/>
      <c r="I31" s="282">
        <f t="shared" si="1"/>
        <v>0</v>
      </c>
    </row>
    <row r="32" spans="1:9" ht="15" customHeight="1" x14ac:dyDescent="0.25">
      <c r="A32" s="47"/>
      <c r="B32" s="298"/>
      <c r="C32" s="15"/>
      <c r="D32" s="70">
        <f t="shared" si="2"/>
        <v>0</v>
      </c>
      <c r="E32" s="341"/>
      <c r="F32" s="288">
        <f t="shared" si="0"/>
        <v>0</v>
      </c>
      <c r="G32" s="278"/>
      <c r="H32" s="279"/>
      <c r="I32" s="282">
        <f t="shared" si="1"/>
        <v>0</v>
      </c>
    </row>
    <row r="33" spans="1:9" ht="15" customHeight="1" x14ac:dyDescent="0.25">
      <c r="A33" s="47"/>
      <c r="B33" s="298"/>
      <c r="C33" s="15"/>
      <c r="D33" s="70">
        <f t="shared" si="2"/>
        <v>0</v>
      </c>
      <c r="E33" s="341"/>
      <c r="F33" s="288">
        <f t="shared" si="0"/>
        <v>0</v>
      </c>
      <c r="G33" s="278"/>
      <c r="H33" s="279"/>
      <c r="I33" s="282">
        <f t="shared" si="1"/>
        <v>0</v>
      </c>
    </row>
    <row r="34" spans="1:9" ht="15" customHeight="1" x14ac:dyDescent="0.25">
      <c r="A34" s="47"/>
      <c r="B34" s="298"/>
      <c r="C34" s="15"/>
      <c r="D34" s="70">
        <f t="shared" si="2"/>
        <v>0</v>
      </c>
      <c r="E34" s="341"/>
      <c r="F34" s="288">
        <f t="shared" si="0"/>
        <v>0</v>
      </c>
      <c r="G34" s="278"/>
      <c r="H34" s="279"/>
      <c r="I34" s="282">
        <f t="shared" si="1"/>
        <v>0</v>
      </c>
    </row>
    <row r="35" spans="1:9" ht="15.75" thickBot="1" x14ac:dyDescent="0.3">
      <c r="A35" s="125"/>
      <c r="B35" s="298"/>
      <c r="C35" s="37"/>
      <c r="D35" s="70">
        <f t="shared" si="2"/>
        <v>0</v>
      </c>
      <c r="E35" s="230"/>
      <c r="F35" s="288">
        <f t="shared" si="0"/>
        <v>0</v>
      </c>
      <c r="G35" s="145"/>
      <c r="H35" s="221"/>
      <c r="I35" s="31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58" t="s">
        <v>21</v>
      </c>
      <c r="E38" s="1159"/>
      <c r="F38" s="147">
        <f>E4+E5-F36+E6</f>
        <v>0</v>
      </c>
    </row>
    <row r="39" spans="1:9" ht="15.75" thickBot="1" x14ac:dyDescent="0.3">
      <c r="A39" s="129"/>
      <c r="D39" s="846" t="s">
        <v>4</v>
      </c>
      <c r="E39" s="847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M1" workbookViewId="0">
      <pane ySplit="7" topLeftCell="A8" activePane="bottomLeft" state="frozen"/>
      <selection pane="bottomLeft" activeCell="Q22" sqref="Q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6"/>
    <col min="21" max="21" width="19.140625" customWidth="1"/>
  </cols>
  <sheetData>
    <row r="1" spans="1:21" ht="40.5" x14ac:dyDescent="0.55000000000000004">
      <c r="A1" s="1172" t="s">
        <v>255</v>
      </c>
      <c r="B1" s="1172"/>
      <c r="C1" s="1172"/>
      <c r="D1" s="1172"/>
      <c r="E1" s="1172"/>
      <c r="F1" s="1172"/>
      <c r="G1" s="1172"/>
      <c r="H1" s="11">
        <v>1</v>
      </c>
      <c r="L1" s="1176" t="s">
        <v>246</v>
      </c>
      <c r="M1" s="1176"/>
      <c r="N1" s="1176"/>
      <c r="O1" s="1176"/>
      <c r="P1" s="1176"/>
      <c r="Q1" s="1176"/>
      <c r="R1" s="1176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90"/>
      <c r="D4" s="291"/>
      <c r="E4" s="283"/>
      <c r="F4" s="256"/>
      <c r="G4" s="38"/>
      <c r="N4" s="290"/>
      <c r="O4" s="291"/>
      <c r="P4" s="283">
        <v>728</v>
      </c>
      <c r="Q4" s="256">
        <v>56</v>
      </c>
      <c r="R4" s="38"/>
    </row>
    <row r="5" spans="1:21" x14ac:dyDescent="0.25">
      <c r="A5" s="1167" t="s">
        <v>166</v>
      </c>
      <c r="B5" s="1182" t="s">
        <v>167</v>
      </c>
      <c r="C5" s="290">
        <v>38</v>
      </c>
      <c r="D5" s="291">
        <v>44522</v>
      </c>
      <c r="E5" s="283">
        <v>6500</v>
      </c>
      <c r="F5" s="256">
        <v>500</v>
      </c>
      <c r="G5" s="289">
        <f>F40</f>
        <v>6500</v>
      </c>
      <c r="H5" s="7">
        <f>E5-G5+E4+E6</f>
        <v>0</v>
      </c>
      <c r="L5" s="1167" t="s">
        <v>166</v>
      </c>
      <c r="M5" s="1182" t="s">
        <v>167</v>
      </c>
      <c r="N5" s="290">
        <v>40</v>
      </c>
      <c r="O5" s="291">
        <v>44557</v>
      </c>
      <c r="P5" s="283">
        <v>7800</v>
      </c>
      <c r="Q5" s="256">
        <v>600</v>
      </c>
      <c r="R5" s="289">
        <f>Q40</f>
        <v>4628</v>
      </c>
      <c r="S5" s="7">
        <f>P5-R5+P4+P6</f>
        <v>3900</v>
      </c>
    </row>
    <row r="6" spans="1:21" ht="15.75" customHeight="1" thickBot="1" x14ac:dyDescent="0.3">
      <c r="A6" s="1167"/>
      <c r="B6" s="1183"/>
      <c r="C6" s="262"/>
      <c r="D6" s="160"/>
      <c r="E6" s="87"/>
      <c r="F6" s="74"/>
      <c r="G6" s="253"/>
      <c r="L6" s="1167"/>
      <c r="M6" s="1183"/>
      <c r="N6" s="262"/>
      <c r="O6" s="160"/>
      <c r="P6" s="87"/>
      <c r="Q6" s="74"/>
      <c r="R6" s="253"/>
    </row>
    <row r="7" spans="1:21" ht="16.5" customHeight="1" thickTop="1" thickBot="1" x14ac:dyDescent="0.3">
      <c r="A7" s="45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6"/>
      <c r="J7" s="24"/>
      <c r="L7" s="453"/>
      <c r="M7" s="65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96"/>
      <c r="U7" s="24"/>
    </row>
    <row r="8" spans="1:21" ht="16.5" thickTop="1" x14ac:dyDescent="0.25">
      <c r="A8" s="56" t="s">
        <v>32</v>
      </c>
      <c r="B8" s="205">
        <v>13</v>
      </c>
      <c r="C8" s="15">
        <v>50</v>
      </c>
      <c r="D8" s="70">
        <f>C8*B8</f>
        <v>650</v>
      </c>
      <c r="E8" s="341">
        <v>44524</v>
      </c>
      <c r="F8" s="288">
        <f t="shared" ref="F8:F15" si="0">D8</f>
        <v>650</v>
      </c>
      <c r="G8" s="278" t="s">
        <v>214</v>
      </c>
      <c r="H8" s="773">
        <v>39</v>
      </c>
      <c r="I8" s="824">
        <f>E4+E5+E6-F8</f>
        <v>5850</v>
      </c>
      <c r="J8" s="774">
        <f>H8*F8</f>
        <v>25350</v>
      </c>
      <c r="L8" s="56" t="s">
        <v>32</v>
      </c>
      <c r="M8" s="205">
        <v>13</v>
      </c>
      <c r="N8" s="775">
        <v>50</v>
      </c>
      <c r="O8" s="70">
        <f t="shared" ref="O8" si="1">N8*M8</f>
        <v>650</v>
      </c>
      <c r="P8" s="343">
        <v>44551</v>
      </c>
      <c r="Q8" s="777">
        <f t="shared" ref="Q8" si="2">O8</f>
        <v>650</v>
      </c>
      <c r="R8" s="278" t="s">
        <v>561</v>
      </c>
      <c r="S8" s="300">
        <v>39</v>
      </c>
      <c r="T8" s="824">
        <f>P4+P5+P6-Q8</f>
        <v>7878</v>
      </c>
      <c r="U8" s="774">
        <f>S8*Q8</f>
        <v>25350</v>
      </c>
    </row>
    <row r="9" spans="1:21" ht="15.75" x14ac:dyDescent="0.25">
      <c r="B9" s="205">
        <v>13</v>
      </c>
      <c r="C9" s="775">
        <v>50</v>
      </c>
      <c r="D9" s="70">
        <f t="shared" ref="D9:D39" si="3">C9*B9</f>
        <v>650</v>
      </c>
      <c r="E9" s="343">
        <v>44529</v>
      </c>
      <c r="F9" s="825">
        <f t="shared" si="0"/>
        <v>650</v>
      </c>
      <c r="G9" s="278" t="s">
        <v>249</v>
      </c>
      <c r="H9" s="300">
        <v>39</v>
      </c>
      <c r="I9" s="826">
        <f>I8-F9</f>
        <v>5200</v>
      </c>
      <c r="J9" s="823">
        <f t="shared" ref="J9:J39" si="4">H9*F9</f>
        <v>25350</v>
      </c>
      <c r="M9" s="205">
        <v>13</v>
      </c>
      <c r="N9" s="775">
        <v>6</v>
      </c>
      <c r="O9" s="70">
        <f t="shared" ref="O9:O39" si="5">N9*M9</f>
        <v>78</v>
      </c>
      <c r="P9" s="343">
        <v>44552</v>
      </c>
      <c r="Q9" s="825">
        <f t="shared" ref="Q9:Q15" si="6">O9</f>
        <v>78</v>
      </c>
      <c r="R9" s="278" t="s">
        <v>585</v>
      </c>
      <c r="S9" s="300">
        <v>39</v>
      </c>
      <c r="T9" s="826">
        <f>T8-Q9</f>
        <v>7800</v>
      </c>
      <c r="U9" s="823">
        <f t="shared" ref="U9:U39" si="7">S9*Q9</f>
        <v>3042</v>
      </c>
    </row>
    <row r="10" spans="1:21" ht="15.75" x14ac:dyDescent="0.25">
      <c r="B10" s="205">
        <v>13</v>
      </c>
      <c r="C10" s="775">
        <v>50</v>
      </c>
      <c r="D10" s="70">
        <f t="shared" si="3"/>
        <v>650</v>
      </c>
      <c r="E10" s="343">
        <v>44533</v>
      </c>
      <c r="F10" s="825">
        <f t="shared" si="0"/>
        <v>650</v>
      </c>
      <c r="G10" s="278" t="s">
        <v>239</v>
      </c>
      <c r="H10" s="300">
        <v>39</v>
      </c>
      <c r="I10" s="826">
        <f t="shared" ref="I10:I38" si="8">I9-F10</f>
        <v>4550</v>
      </c>
      <c r="J10" s="823">
        <f t="shared" si="4"/>
        <v>25350</v>
      </c>
      <c r="M10" s="205">
        <v>13</v>
      </c>
      <c r="N10" s="775">
        <v>2</v>
      </c>
      <c r="O10" s="70">
        <f t="shared" si="5"/>
        <v>26</v>
      </c>
      <c r="P10" s="343">
        <v>44558</v>
      </c>
      <c r="Q10" s="825">
        <f t="shared" si="6"/>
        <v>26</v>
      </c>
      <c r="R10" s="278" t="s">
        <v>630</v>
      </c>
      <c r="S10" s="300">
        <v>41</v>
      </c>
      <c r="T10" s="826">
        <f t="shared" ref="T10:T38" si="9">T9-Q10</f>
        <v>7774</v>
      </c>
      <c r="U10" s="823">
        <f t="shared" si="7"/>
        <v>1066</v>
      </c>
    </row>
    <row r="11" spans="1:21" ht="15.75" x14ac:dyDescent="0.25">
      <c r="A11" s="56" t="s">
        <v>33</v>
      </c>
      <c r="B11" s="205">
        <v>13</v>
      </c>
      <c r="C11" s="775">
        <v>1</v>
      </c>
      <c r="D11" s="705">
        <f t="shared" si="3"/>
        <v>13</v>
      </c>
      <c r="E11" s="986">
        <v>44536</v>
      </c>
      <c r="F11" s="987">
        <f t="shared" si="0"/>
        <v>13</v>
      </c>
      <c r="G11" s="687" t="s">
        <v>441</v>
      </c>
      <c r="H11" s="988">
        <v>39</v>
      </c>
      <c r="I11" s="826">
        <f t="shared" si="8"/>
        <v>4537</v>
      </c>
      <c r="J11" s="823">
        <f t="shared" si="4"/>
        <v>507</v>
      </c>
      <c r="L11" s="56" t="s">
        <v>33</v>
      </c>
      <c r="M11" s="205">
        <v>13</v>
      </c>
      <c r="N11" s="775">
        <v>3</v>
      </c>
      <c r="O11" s="70">
        <f t="shared" si="5"/>
        <v>39</v>
      </c>
      <c r="P11" s="343">
        <v>44558</v>
      </c>
      <c r="Q11" s="825">
        <f t="shared" si="6"/>
        <v>39</v>
      </c>
      <c r="R11" s="278" t="s">
        <v>631</v>
      </c>
      <c r="S11" s="300">
        <v>41</v>
      </c>
      <c r="T11" s="826">
        <f t="shared" si="9"/>
        <v>7735</v>
      </c>
      <c r="U11" s="823">
        <f t="shared" si="7"/>
        <v>1599</v>
      </c>
    </row>
    <row r="12" spans="1:21" ht="15.75" x14ac:dyDescent="0.25">
      <c r="B12" s="205">
        <v>13</v>
      </c>
      <c r="C12" s="775">
        <v>2</v>
      </c>
      <c r="D12" s="705">
        <f t="shared" si="3"/>
        <v>26</v>
      </c>
      <c r="E12" s="986">
        <v>44536</v>
      </c>
      <c r="F12" s="987">
        <f t="shared" si="0"/>
        <v>26</v>
      </c>
      <c r="G12" s="687" t="s">
        <v>442</v>
      </c>
      <c r="H12" s="988">
        <v>39</v>
      </c>
      <c r="I12" s="826">
        <f t="shared" si="8"/>
        <v>4511</v>
      </c>
      <c r="J12" s="823">
        <f t="shared" si="4"/>
        <v>1014</v>
      </c>
      <c r="M12" s="205">
        <v>13</v>
      </c>
      <c r="N12" s="775">
        <v>4</v>
      </c>
      <c r="O12" s="70">
        <f t="shared" si="5"/>
        <v>52</v>
      </c>
      <c r="P12" s="343">
        <v>44558</v>
      </c>
      <c r="Q12" s="825">
        <f t="shared" si="6"/>
        <v>52</v>
      </c>
      <c r="R12" s="278" t="s">
        <v>632</v>
      </c>
      <c r="S12" s="300">
        <v>41</v>
      </c>
      <c r="T12" s="826">
        <f t="shared" si="9"/>
        <v>7683</v>
      </c>
      <c r="U12" s="823">
        <f t="shared" si="7"/>
        <v>2132</v>
      </c>
    </row>
    <row r="13" spans="1:21" ht="15.75" x14ac:dyDescent="0.25">
      <c r="A13" s="19"/>
      <c r="B13" s="205">
        <v>13</v>
      </c>
      <c r="C13" s="776">
        <v>30</v>
      </c>
      <c r="D13" s="705">
        <f t="shared" si="3"/>
        <v>390</v>
      </c>
      <c r="E13" s="986">
        <v>44536</v>
      </c>
      <c r="F13" s="987">
        <f t="shared" si="0"/>
        <v>390</v>
      </c>
      <c r="G13" s="687" t="s">
        <v>444</v>
      </c>
      <c r="H13" s="988">
        <v>39</v>
      </c>
      <c r="I13" s="826">
        <f t="shared" si="8"/>
        <v>4121</v>
      </c>
      <c r="J13" s="823">
        <f t="shared" si="4"/>
        <v>15210</v>
      </c>
      <c r="L13" s="19"/>
      <c r="M13" s="205">
        <v>13</v>
      </c>
      <c r="N13" s="776">
        <v>40</v>
      </c>
      <c r="O13" s="70">
        <f t="shared" si="5"/>
        <v>520</v>
      </c>
      <c r="P13" s="343">
        <v>44558</v>
      </c>
      <c r="Q13" s="825">
        <f t="shared" si="6"/>
        <v>520</v>
      </c>
      <c r="R13" s="278" t="s">
        <v>635</v>
      </c>
      <c r="S13" s="300">
        <v>41</v>
      </c>
      <c r="T13" s="826">
        <f t="shared" si="9"/>
        <v>7163</v>
      </c>
      <c r="U13" s="823">
        <f t="shared" si="7"/>
        <v>21320</v>
      </c>
    </row>
    <row r="14" spans="1:21" ht="15.75" x14ac:dyDescent="0.25">
      <c r="B14" s="205">
        <v>13</v>
      </c>
      <c r="C14" s="775">
        <v>2</v>
      </c>
      <c r="D14" s="705">
        <f t="shared" si="3"/>
        <v>26</v>
      </c>
      <c r="E14" s="986">
        <v>44538</v>
      </c>
      <c r="F14" s="989">
        <f t="shared" si="0"/>
        <v>26</v>
      </c>
      <c r="G14" s="687" t="s">
        <v>470</v>
      </c>
      <c r="H14" s="988">
        <v>39</v>
      </c>
      <c r="I14" s="826">
        <f t="shared" si="8"/>
        <v>4095</v>
      </c>
      <c r="J14" s="779">
        <f t="shared" si="4"/>
        <v>1014</v>
      </c>
      <c r="M14" s="205">
        <v>13</v>
      </c>
      <c r="N14" s="775">
        <v>1</v>
      </c>
      <c r="O14" s="70">
        <f t="shared" si="5"/>
        <v>13</v>
      </c>
      <c r="P14" s="343">
        <v>44560</v>
      </c>
      <c r="Q14" s="777">
        <f t="shared" si="6"/>
        <v>13</v>
      </c>
      <c r="R14" s="278" t="s">
        <v>651</v>
      </c>
      <c r="S14" s="300">
        <v>41</v>
      </c>
      <c r="T14" s="826">
        <f t="shared" si="9"/>
        <v>7150</v>
      </c>
      <c r="U14" s="779">
        <f t="shared" si="7"/>
        <v>533</v>
      </c>
    </row>
    <row r="15" spans="1:21" ht="15.75" x14ac:dyDescent="0.25">
      <c r="B15" s="205">
        <v>13</v>
      </c>
      <c r="C15" s="775">
        <v>48</v>
      </c>
      <c r="D15" s="705">
        <f t="shared" si="3"/>
        <v>624</v>
      </c>
      <c r="E15" s="986">
        <v>44538</v>
      </c>
      <c r="F15" s="989">
        <f t="shared" si="0"/>
        <v>624</v>
      </c>
      <c r="G15" s="706" t="s">
        <v>471</v>
      </c>
      <c r="H15" s="990">
        <v>39</v>
      </c>
      <c r="I15" s="827">
        <f t="shared" si="8"/>
        <v>3471</v>
      </c>
      <c r="J15" s="779">
        <f t="shared" si="4"/>
        <v>24336</v>
      </c>
      <c r="M15" s="205">
        <v>13</v>
      </c>
      <c r="N15" s="775">
        <v>50</v>
      </c>
      <c r="O15" s="70">
        <f t="shared" si="5"/>
        <v>650</v>
      </c>
      <c r="P15" s="343">
        <v>44560</v>
      </c>
      <c r="Q15" s="777">
        <f t="shared" si="6"/>
        <v>650</v>
      </c>
      <c r="R15" s="71" t="s">
        <v>659</v>
      </c>
      <c r="S15" s="660">
        <v>41</v>
      </c>
      <c r="T15" s="827">
        <f t="shared" si="9"/>
        <v>6500</v>
      </c>
      <c r="U15" s="779">
        <f t="shared" si="7"/>
        <v>26650</v>
      </c>
    </row>
    <row r="16" spans="1:21" ht="15.75" x14ac:dyDescent="0.25">
      <c r="B16" s="205">
        <v>13</v>
      </c>
      <c r="C16" s="775">
        <v>50</v>
      </c>
      <c r="D16" s="705">
        <f t="shared" si="3"/>
        <v>650</v>
      </c>
      <c r="E16" s="986">
        <v>44539</v>
      </c>
      <c r="F16" s="989">
        <f>D16</f>
        <v>650</v>
      </c>
      <c r="G16" s="706" t="s">
        <v>489</v>
      </c>
      <c r="H16" s="990">
        <v>39</v>
      </c>
      <c r="I16" s="827">
        <f t="shared" si="8"/>
        <v>2821</v>
      </c>
      <c r="J16" s="779">
        <f t="shared" si="4"/>
        <v>25350</v>
      </c>
      <c r="M16" s="205">
        <v>13</v>
      </c>
      <c r="N16" s="775">
        <v>50</v>
      </c>
      <c r="O16" s="70">
        <f t="shared" si="5"/>
        <v>650</v>
      </c>
      <c r="P16" s="343">
        <v>44560</v>
      </c>
      <c r="Q16" s="777">
        <f>O16</f>
        <v>650</v>
      </c>
      <c r="R16" s="71" t="s">
        <v>645</v>
      </c>
      <c r="S16" s="660">
        <v>41</v>
      </c>
      <c r="T16" s="827">
        <f t="shared" si="9"/>
        <v>5850</v>
      </c>
      <c r="U16" s="779">
        <f t="shared" si="7"/>
        <v>26650</v>
      </c>
    </row>
    <row r="17" spans="1:21" ht="15.75" x14ac:dyDescent="0.25">
      <c r="B17" s="205">
        <v>13</v>
      </c>
      <c r="C17" s="775">
        <v>86</v>
      </c>
      <c r="D17" s="705">
        <f t="shared" si="3"/>
        <v>1118</v>
      </c>
      <c r="E17" s="986">
        <v>44540</v>
      </c>
      <c r="F17" s="989">
        <f>D17</f>
        <v>1118</v>
      </c>
      <c r="G17" s="706" t="s">
        <v>460</v>
      </c>
      <c r="H17" s="990">
        <v>39</v>
      </c>
      <c r="I17" s="827">
        <f t="shared" si="8"/>
        <v>1703</v>
      </c>
      <c r="J17" s="779">
        <f t="shared" si="4"/>
        <v>43602</v>
      </c>
      <c r="M17" s="205">
        <v>13</v>
      </c>
      <c r="N17" s="775">
        <v>150</v>
      </c>
      <c r="O17" s="70">
        <f t="shared" si="5"/>
        <v>1950</v>
      </c>
      <c r="P17" s="343">
        <v>44561</v>
      </c>
      <c r="Q17" s="777">
        <f>O17</f>
        <v>1950</v>
      </c>
      <c r="R17" s="71" t="s">
        <v>668</v>
      </c>
      <c r="S17" s="660">
        <v>41</v>
      </c>
      <c r="T17" s="827">
        <f t="shared" si="9"/>
        <v>3900</v>
      </c>
      <c r="U17" s="779">
        <f t="shared" si="7"/>
        <v>79950</v>
      </c>
    </row>
    <row r="18" spans="1:21" ht="15.75" x14ac:dyDescent="0.25">
      <c r="B18" s="205">
        <v>13</v>
      </c>
      <c r="C18" s="775">
        <v>1</v>
      </c>
      <c r="D18" s="705">
        <f t="shared" si="3"/>
        <v>13</v>
      </c>
      <c r="E18" s="986">
        <v>44541</v>
      </c>
      <c r="F18" s="989">
        <f t="shared" ref="F18:F39" si="10">D18</f>
        <v>13</v>
      </c>
      <c r="G18" s="706" t="s">
        <v>503</v>
      </c>
      <c r="H18" s="988">
        <v>40</v>
      </c>
      <c r="I18" s="827">
        <f t="shared" si="8"/>
        <v>1690</v>
      </c>
      <c r="J18" s="779">
        <f t="shared" si="4"/>
        <v>520</v>
      </c>
      <c r="M18" s="205">
        <v>13</v>
      </c>
      <c r="N18" s="775"/>
      <c r="O18" s="70">
        <f t="shared" si="5"/>
        <v>0</v>
      </c>
      <c r="P18" s="343"/>
      <c r="Q18" s="777">
        <f t="shared" ref="Q18:Q39" si="11">O18</f>
        <v>0</v>
      </c>
      <c r="R18" s="71"/>
      <c r="S18" s="660"/>
      <c r="T18" s="827">
        <f t="shared" si="9"/>
        <v>3900</v>
      </c>
      <c r="U18" s="779">
        <f t="shared" si="7"/>
        <v>0</v>
      </c>
    </row>
    <row r="19" spans="1:21" ht="15.75" x14ac:dyDescent="0.25">
      <c r="B19" s="205">
        <v>13</v>
      </c>
      <c r="C19" s="775">
        <v>78</v>
      </c>
      <c r="D19" s="705">
        <f t="shared" si="3"/>
        <v>1014</v>
      </c>
      <c r="E19" s="986">
        <v>44545</v>
      </c>
      <c r="F19" s="989">
        <f t="shared" si="10"/>
        <v>1014</v>
      </c>
      <c r="G19" s="687" t="s">
        <v>529</v>
      </c>
      <c r="H19" s="988">
        <v>39</v>
      </c>
      <c r="I19" s="826">
        <f t="shared" si="8"/>
        <v>676</v>
      </c>
      <c r="J19" s="779">
        <f t="shared" si="4"/>
        <v>39546</v>
      </c>
      <c r="M19" s="205">
        <v>13</v>
      </c>
      <c r="N19" s="775"/>
      <c r="O19" s="70">
        <f t="shared" si="5"/>
        <v>0</v>
      </c>
      <c r="P19" s="343"/>
      <c r="Q19" s="777">
        <f t="shared" si="11"/>
        <v>0</v>
      </c>
      <c r="R19" s="278"/>
      <c r="S19" s="300"/>
      <c r="T19" s="826">
        <f t="shared" si="9"/>
        <v>3900</v>
      </c>
      <c r="U19" s="779">
        <f t="shared" si="7"/>
        <v>0</v>
      </c>
    </row>
    <row r="20" spans="1:21" ht="15.75" x14ac:dyDescent="0.25">
      <c r="B20" s="205">
        <v>13</v>
      </c>
      <c r="C20" s="775">
        <v>40</v>
      </c>
      <c r="D20" s="705">
        <f t="shared" si="3"/>
        <v>520</v>
      </c>
      <c r="E20" s="986">
        <v>44548</v>
      </c>
      <c r="F20" s="989">
        <f t="shared" si="10"/>
        <v>520</v>
      </c>
      <c r="G20" s="687" t="s">
        <v>543</v>
      </c>
      <c r="H20" s="988">
        <v>39</v>
      </c>
      <c r="I20" s="826">
        <f t="shared" si="8"/>
        <v>156</v>
      </c>
      <c r="J20" s="779">
        <f t="shared" si="4"/>
        <v>20280</v>
      </c>
      <c r="M20" s="205">
        <v>13</v>
      </c>
      <c r="N20" s="775"/>
      <c r="O20" s="70">
        <f t="shared" si="5"/>
        <v>0</v>
      </c>
      <c r="P20" s="343"/>
      <c r="Q20" s="777">
        <f t="shared" si="11"/>
        <v>0</v>
      </c>
      <c r="R20" s="278"/>
      <c r="S20" s="300"/>
      <c r="T20" s="826">
        <f t="shared" si="9"/>
        <v>3900</v>
      </c>
      <c r="U20" s="779">
        <f t="shared" si="7"/>
        <v>0</v>
      </c>
    </row>
    <row r="21" spans="1:21" ht="15.75" x14ac:dyDescent="0.25">
      <c r="B21" s="205">
        <v>13</v>
      </c>
      <c r="C21" s="775">
        <v>3</v>
      </c>
      <c r="D21" s="705">
        <f t="shared" si="3"/>
        <v>39</v>
      </c>
      <c r="E21" s="986">
        <v>44550</v>
      </c>
      <c r="F21" s="989">
        <f t="shared" si="10"/>
        <v>39</v>
      </c>
      <c r="G21" s="687" t="s">
        <v>558</v>
      </c>
      <c r="H21" s="988">
        <v>39</v>
      </c>
      <c r="I21" s="826">
        <f t="shared" si="8"/>
        <v>117</v>
      </c>
      <c r="J21" s="779">
        <f t="shared" si="4"/>
        <v>1521</v>
      </c>
      <c r="M21" s="205">
        <v>13</v>
      </c>
      <c r="N21" s="775"/>
      <c r="O21" s="70">
        <f t="shared" si="5"/>
        <v>0</v>
      </c>
      <c r="P21" s="343"/>
      <c r="Q21" s="777">
        <f t="shared" si="11"/>
        <v>0</v>
      </c>
      <c r="R21" s="278"/>
      <c r="S21" s="300"/>
      <c r="T21" s="826">
        <f t="shared" si="9"/>
        <v>3900</v>
      </c>
      <c r="U21" s="779">
        <f t="shared" si="7"/>
        <v>0</v>
      </c>
    </row>
    <row r="22" spans="1:21" ht="15.75" x14ac:dyDescent="0.25">
      <c r="B22" s="205">
        <v>13</v>
      </c>
      <c r="C22" s="775">
        <v>3</v>
      </c>
      <c r="D22" s="705">
        <f t="shared" si="3"/>
        <v>39</v>
      </c>
      <c r="E22" s="986">
        <v>44551</v>
      </c>
      <c r="F22" s="989">
        <f t="shared" si="10"/>
        <v>39</v>
      </c>
      <c r="G22" s="687" t="s">
        <v>560</v>
      </c>
      <c r="H22" s="988">
        <v>39</v>
      </c>
      <c r="I22" s="826">
        <f t="shared" si="8"/>
        <v>78</v>
      </c>
      <c r="J22" s="779">
        <f t="shared" si="4"/>
        <v>1521</v>
      </c>
      <c r="M22" s="205">
        <v>13</v>
      </c>
      <c r="N22" s="775"/>
      <c r="O22" s="70">
        <f t="shared" si="5"/>
        <v>0</v>
      </c>
      <c r="P22" s="343"/>
      <c r="Q22" s="777">
        <f t="shared" si="11"/>
        <v>0</v>
      </c>
      <c r="R22" s="278"/>
      <c r="S22" s="300"/>
      <c r="T22" s="826">
        <f t="shared" si="9"/>
        <v>3900</v>
      </c>
      <c r="U22" s="779">
        <f t="shared" si="7"/>
        <v>0</v>
      </c>
    </row>
    <row r="23" spans="1:21" ht="15.75" x14ac:dyDescent="0.25">
      <c r="B23" s="205">
        <v>13</v>
      </c>
      <c r="C23" s="775"/>
      <c r="D23" s="705">
        <f t="shared" si="3"/>
        <v>0</v>
      </c>
      <c r="E23" s="986"/>
      <c r="F23" s="989">
        <f t="shared" si="10"/>
        <v>0</v>
      </c>
      <c r="G23" s="687"/>
      <c r="H23" s="988"/>
      <c r="I23" s="826">
        <f t="shared" si="8"/>
        <v>78</v>
      </c>
      <c r="J23" s="779">
        <f t="shared" si="4"/>
        <v>0</v>
      </c>
      <c r="M23" s="205">
        <v>13</v>
      </c>
      <c r="N23" s="775"/>
      <c r="O23" s="70">
        <f t="shared" si="5"/>
        <v>0</v>
      </c>
      <c r="P23" s="343"/>
      <c r="Q23" s="777">
        <f t="shared" si="11"/>
        <v>0</v>
      </c>
      <c r="R23" s="278"/>
      <c r="S23" s="300"/>
      <c r="T23" s="826">
        <f t="shared" si="9"/>
        <v>3900</v>
      </c>
      <c r="U23" s="779">
        <f t="shared" si="7"/>
        <v>0</v>
      </c>
    </row>
    <row r="24" spans="1:21" ht="15.75" x14ac:dyDescent="0.25">
      <c r="B24" s="205">
        <v>13</v>
      </c>
      <c r="C24" s="775"/>
      <c r="D24" s="705">
        <f t="shared" si="3"/>
        <v>0</v>
      </c>
      <c r="E24" s="986"/>
      <c r="F24" s="989">
        <f t="shared" si="10"/>
        <v>0</v>
      </c>
      <c r="G24" s="1087"/>
      <c r="H24" s="1099"/>
      <c r="I24" s="1100">
        <f t="shared" si="8"/>
        <v>78</v>
      </c>
      <c r="J24" s="1101">
        <f t="shared" si="4"/>
        <v>0</v>
      </c>
      <c r="M24" s="205">
        <v>13</v>
      </c>
      <c r="N24" s="775"/>
      <c r="O24" s="70">
        <f t="shared" si="5"/>
        <v>0</v>
      </c>
      <c r="P24" s="343"/>
      <c r="Q24" s="777">
        <f t="shared" si="11"/>
        <v>0</v>
      </c>
      <c r="R24" s="278"/>
      <c r="S24" s="300"/>
      <c r="T24" s="826">
        <f t="shared" si="9"/>
        <v>3900</v>
      </c>
      <c r="U24" s="779">
        <f t="shared" si="7"/>
        <v>0</v>
      </c>
    </row>
    <row r="25" spans="1:21" ht="15.75" x14ac:dyDescent="0.25">
      <c r="B25" s="205">
        <v>13</v>
      </c>
      <c r="C25" s="775">
        <v>6</v>
      </c>
      <c r="D25" s="705">
        <f t="shared" si="3"/>
        <v>78</v>
      </c>
      <c r="E25" s="986"/>
      <c r="F25" s="989">
        <f t="shared" si="10"/>
        <v>78</v>
      </c>
      <c r="G25" s="1087"/>
      <c r="H25" s="1099"/>
      <c r="I25" s="1100">
        <f t="shared" si="8"/>
        <v>0</v>
      </c>
      <c r="J25" s="1101">
        <f t="shared" si="4"/>
        <v>0</v>
      </c>
      <c r="M25" s="205">
        <v>13</v>
      </c>
      <c r="N25" s="775"/>
      <c r="O25" s="70">
        <f t="shared" si="5"/>
        <v>0</v>
      </c>
      <c r="P25" s="343"/>
      <c r="Q25" s="777">
        <f t="shared" si="11"/>
        <v>0</v>
      </c>
      <c r="R25" s="278"/>
      <c r="S25" s="300"/>
      <c r="T25" s="826">
        <f t="shared" si="9"/>
        <v>3900</v>
      </c>
      <c r="U25" s="779">
        <f t="shared" si="7"/>
        <v>0</v>
      </c>
    </row>
    <row r="26" spans="1:21" ht="15.75" x14ac:dyDescent="0.25">
      <c r="B26" s="205">
        <v>13</v>
      </c>
      <c r="C26" s="775"/>
      <c r="D26" s="705">
        <f t="shared" si="3"/>
        <v>0</v>
      </c>
      <c r="E26" s="986"/>
      <c r="F26" s="989">
        <f t="shared" si="10"/>
        <v>0</v>
      </c>
      <c r="G26" s="1087"/>
      <c r="H26" s="1099"/>
      <c r="I26" s="1100">
        <f t="shared" si="8"/>
        <v>0</v>
      </c>
      <c r="J26" s="1101">
        <f t="shared" si="4"/>
        <v>0</v>
      </c>
      <c r="M26" s="205">
        <v>13</v>
      </c>
      <c r="N26" s="775"/>
      <c r="O26" s="70">
        <f t="shared" si="5"/>
        <v>0</v>
      </c>
      <c r="P26" s="343"/>
      <c r="Q26" s="777">
        <f t="shared" si="11"/>
        <v>0</v>
      </c>
      <c r="R26" s="71"/>
      <c r="S26" s="660"/>
      <c r="T26" s="827">
        <f t="shared" si="9"/>
        <v>3900</v>
      </c>
      <c r="U26" s="779">
        <f t="shared" si="7"/>
        <v>0</v>
      </c>
    </row>
    <row r="27" spans="1:21" ht="15.75" x14ac:dyDescent="0.25">
      <c r="B27" s="205">
        <v>13</v>
      </c>
      <c r="C27" s="775"/>
      <c r="D27" s="705">
        <f t="shared" si="3"/>
        <v>0</v>
      </c>
      <c r="E27" s="986"/>
      <c r="F27" s="989">
        <f t="shared" si="10"/>
        <v>0</v>
      </c>
      <c r="G27" s="1087"/>
      <c r="H27" s="1099"/>
      <c r="I27" s="1100">
        <f t="shared" si="8"/>
        <v>0</v>
      </c>
      <c r="J27" s="1101">
        <f t="shared" si="4"/>
        <v>0</v>
      </c>
      <c r="M27" s="205">
        <v>13</v>
      </c>
      <c r="N27" s="775"/>
      <c r="O27" s="70">
        <f t="shared" si="5"/>
        <v>0</v>
      </c>
      <c r="P27" s="343"/>
      <c r="Q27" s="777">
        <f t="shared" si="11"/>
        <v>0</v>
      </c>
      <c r="R27" s="71"/>
      <c r="S27" s="660"/>
      <c r="T27" s="827">
        <f t="shared" si="9"/>
        <v>3900</v>
      </c>
      <c r="U27" s="779">
        <f t="shared" si="7"/>
        <v>0</v>
      </c>
    </row>
    <row r="28" spans="1:21" ht="15.75" x14ac:dyDescent="0.25">
      <c r="B28" s="205">
        <v>13</v>
      </c>
      <c r="C28" s="775"/>
      <c r="D28" s="705">
        <f t="shared" si="3"/>
        <v>0</v>
      </c>
      <c r="E28" s="986"/>
      <c r="F28" s="989">
        <f t="shared" si="10"/>
        <v>0</v>
      </c>
      <c r="G28" s="706"/>
      <c r="H28" s="990"/>
      <c r="I28" s="827">
        <f t="shared" si="8"/>
        <v>0</v>
      </c>
      <c r="J28" s="779">
        <f t="shared" si="4"/>
        <v>0</v>
      </c>
      <c r="M28" s="205">
        <v>13</v>
      </c>
      <c r="N28" s="775"/>
      <c r="O28" s="70">
        <f t="shared" si="5"/>
        <v>0</v>
      </c>
      <c r="P28" s="343"/>
      <c r="Q28" s="777">
        <f t="shared" si="11"/>
        <v>0</v>
      </c>
      <c r="R28" s="71"/>
      <c r="S28" s="660"/>
      <c r="T28" s="827">
        <f t="shared" si="9"/>
        <v>3900</v>
      </c>
      <c r="U28" s="779">
        <f t="shared" si="7"/>
        <v>0</v>
      </c>
    </row>
    <row r="29" spans="1:21" ht="15.75" x14ac:dyDescent="0.25">
      <c r="A29" s="47"/>
      <c r="B29" s="205">
        <v>13</v>
      </c>
      <c r="C29" s="775"/>
      <c r="D29" s="705">
        <f t="shared" si="3"/>
        <v>0</v>
      </c>
      <c r="E29" s="986"/>
      <c r="F29" s="989">
        <f t="shared" si="10"/>
        <v>0</v>
      </c>
      <c r="G29" s="706"/>
      <c r="H29" s="990"/>
      <c r="I29" s="827">
        <f t="shared" si="8"/>
        <v>0</v>
      </c>
      <c r="J29" s="779">
        <f t="shared" si="4"/>
        <v>0</v>
      </c>
      <c r="L29" s="47"/>
      <c r="M29" s="205">
        <v>13</v>
      </c>
      <c r="N29" s="775"/>
      <c r="O29" s="70">
        <f t="shared" si="5"/>
        <v>0</v>
      </c>
      <c r="P29" s="343"/>
      <c r="Q29" s="777">
        <f t="shared" si="11"/>
        <v>0</v>
      </c>
      <c r="R29" s="71"/>
      <c r="S29" s="660"/>
      <c r="T29" s="827">
        <f t="shared" si="9"/>
        <v>3900</v>
      </c>
      <c r="U29" s="779">
        <f t="shared" si="7"/>
        <v>0</v>
      </c>
    </row>
    <row r="30" spans="1:21" ht="15.75" x14ac:dyDescent="0.25">
      <c r="A30" s="47"/>
      <c r="B30" s="205">
        <v>13</v>
      </c>
      <c r="C30" s="775"/>
      <c r="D30" s="705">
        <f t="shared" si="3"/>
        <v>0</v>
      </c>
      <c r="E30" s="986"/>
      <c r="F30" s="989">
        <f t="shared" si="10"/>
        <v>0</v>
      </c>
      <c r="G30" s="706"/>
      <c r="H30" s="990"/>
      <c r="I30" s="827">
        <f t="shared" si="8"/>
        <v>0</v>
      </c>
      <c r="J30" s="779">
        <f t="shared" si="4"/>
        <v>0</v>
      </c>
      <c r="L30" s="47"/>
      <c r="M30" s="205">
        <v>13</v>
      </c>
      <c r="N30" s="775"/>
      <c r="O30" s="70">
        <f t="shared" si="5"/>
        <v>0</v>
      </c>
      <c r="P30" s="343"/>
      <c r="Q30" s="777">
        <f t="shared" si="11"/>
        <v>0</v>
      </c>
      <c r="R30" s="71"/>
      <c r="S30" s="660"/>
      <c r="T30" s="827">
        <f t="shared" si="9"/>
        <v>3900</v>
      </c>
      <c r="U30" s="779">
        <f t="shared" si="7"/>
        <v>0</v>
      </c>
    </row>
    <row r="31" spans="1:21" ht="15.75" x14ac:dyDescent="0.25">
      <c r="A31" s="47"/>
      <c r="B31" s="205">
        <v>13</v>
      </c>
      <c r="C31" s="775"/>
      <c r="D31" s="70">
        <f t="shared" si="3"/>
        <v>0</v>
      </c>
      <c r="E31" s="343"/>
      <c r="F31" s="777">
        <f t="shared" si="10"/>
        <v>0</v>
      </c>
      <c r="G31" s="71"/>
      <c r="H31" s="660"/>
      <c r="I31" s="827">
        <f t="shared" si="8"/>
        <v>0</v>
      </c>
      <c r="J31" s="779">
        <f t="shared" si="4"/>
        <v>0</v>
      </c>
      <c r="L31" s="47"/>
      <c r="M31" s="205">
        <v>13</v>
      </c>
      <c r="N31" s="775"/>
      <c r="O31" s="70">
        <f t="shared" si="5"/>
        <v>0</v>
      </c>
      <c r="P31" s="343"/>
      <c r="Q31" s="777">
        <f t="shared" si="11"/>
        <v>0</v>
      </c>
      <c r="R31" s="71"/>
      <c r="S31" s="660"/>
      <c r="T31" s="827">
        <f t="shared" si="9"/>
        <v>3900</v>
      </c>
      <c r="U31" s="779">
        <f t="shared" si="7"/>
        <v>0</v>
      </c>
    </row>
    <row r="32" spans="1:21" ht="15.75" x14ac:dyDescent="0.25">
      <c r="A32" s="47"/>
      <c r="B32" s="205">
        <v>13</v>
      </c>
      <c r="C32" s="775"/>
      <c r="D32" s="70">
        <f t="shared" si="3"/>
        <v>0</v>
      </c>
      <c r="E32" s="343"/>
      <c r="F32" s="777">
        <f t="shared" si="10"/>
        <v>0</v>
      </c>
      <c r="G32" s="71"/>
      <c r="H32" s="660"/>
      <c r="I32" s="827">
        <f t="shared" si="8"/>
        <v>0</v>
      </c>
      <c r="J32" s="779">
        <f t="shared" si="4"/>
        <v>0</v>
      </c>
      <c r="L32" s="47"/>
      <c r="M32" s="205">
        <v>13</v>
      </c>
      <c r="N32" s="775"/>
      <c r="O32" s="70">
        <f t="shared" si="5"/>
        <v>0</v>
      </c>
      <c r="P32" s="343"/>
      <c r="Q32" s="777">
        <f t="shared" si="11"/>
        <v>0</v>
      </c>
      <c r="R32" s="71"/>
      <c r="S32" s="660"/>
      <c r="T32" s="827">
        <f t="shared" si="9"/>
        <v>3900</v>
      </c>
      <c r="U32" s="779">
        <f t="shared" si="7"/>
        <v>0</v>
      </c>
    </row>
    <row r="33" spans="1:21" ht="15.75" x14ac:dyDescent="0.25">
      <c r="A33" s="47"/>
      <c r="B33" s="205">
        <v>13</v>
      </c>
      <c r="C33" s="775"/>
      <c r="D33" s="70">
        <f t="shared" si="3"/>
        <v>0</v>
      </c>
      <c r="E33" s="343"/>
      <c r="F33" s="777">
        <f t="shared" si="10"/>
        <v>0</v>
      </c>
      <c r="G33" s="71"/>
      <c r="H33" s="660"/>
      <c r="I33" s="827">
        <f t="shared" si="8"/>
        <v>0</v>
      </c>
      <c r="J33" s="779">
        <f t="shared" si="4"/>
        <v>0</v>
      </c>
      <c r="L33" s="47"/>
      <c r="M33" s="205">
        <v>13</v>
      </c>
      <c r="N33" s="775"/>
      <c r="O33" s="70">
        <f t="shared" si="5"/>
        <v>0</v>
      </c>
      <c r="P33" s="343"/>
      <c r="Q33" s="777">
        <f t="shared" si="11"/>
        <v>0</v>
      </c>
      <c r="R33" s="71"/>
      <c r="S33" s="660"/>
      <c r="T33" s="827">
        <f t="shared" si="9"/>
        <v>3900</v>
      </c>
      <c r="U33" s="779">
        <f t="shared" si="7"/>
        <v>0</v>
      </c>
    </row>
    <row r="34" spans="1:21" ht="15.75" x14ac:dyDescent="0.25">
      <c r="A34" s="47"/>
      <c r="B34" s="205">
        <v>13</v>
      </c>
      <c r="C34" s="775"/>
      <c r="D34" s="70">
        <f t="shared" si="3"/>
        <v>0</v>
      </c>
      <c r="E34" s="343"/>
      <c r="F34" s="777">
        <f t="shared" si="10"/>
        <v>0</v>
      </c>
      <c r="G34" s="71"/>
      <c r="H34" s="660"/>
      <c r="I34" s="827">
        <f t="shared" si="8"/>
        <v>0</v>
      </c>
      <c r="J34" s="779">
        <f t="shared" si="4"/>
        <v>0</v>
      </c>
      <c r="L34" s="47"/>
      <c r="M34" s="205">
        <v>13</v>
      </c>
      <c r="N34" s="775"/>
      <c r="O34" s="70">
        <f t="shared" si="5"/>
        <v>0</v>
      </c>
      <c r="P34" s="343"/>
      <c r="Q34" s="777">
        <f t="shared" si="11"/>
        <v>0</v>
      </c>
      <c r="R34" s="71"/>
      <c r="S34" s="660"/>
      <c r="T34" s="827">
        <f t="shared" si="9"/>
        <v>3900</v>
      </c>
      <c r="U34" s="779">
        <f t="shared" si="7"/>
        <v>0</v>
      </c>
    </row>
    <row r="35" spans="1:21" ht="15.75" x14ac:dyDescent="0.25">
      <c r="A35" s="47"/>
      <c r="B35" s="205">
        <v>13</v>
      </c>
      <c r="C35" s="775"/>
      <c r="D35" s="70">
        <f t="shared" si="3"/>
        <v>0</v>
      </c>
      <c r="E35" s="343"/>
      <c r="F35" s="777">
        <f t="shared" si="10"/>
        <v>0</v>
      </c>
      <c r="G35" s="71"/>
      <c r="H35" s="660"/>
      <c r="I35" s="778">
        <f t="shared" si="8"/>
        <v>0</v>
      </c>
      <c r="J35" s="779">
        <f t="shared" si="4"/>
        <v>0</v>
      </c>
      <c r="L35" s="47"/>
      <c r="M35" s="205">
        <v>13</v>
      </c>
      <c r="N35" s="775"/>
      <c r="O35" s="70">
        <f t="shared" si="5"/>
        <v>0</v>
      </c>
      <c r="P35" s="343"/>
      <c r="Q35" s="777">
        <f t="shared" si="11"/>
        <v>0</v>
      </c>
      <c r="R35" s="71"/>
      <c r="S35" s="660"/>
      <c r="T35" s="778">
        <f t="shared" si="9"/>
        <v>3900</v>
      </c>
      <c r="U35" s="779">
        <f t="shared" si="7"/>
        <v>0</v>
      </c>
    </row>
    <row r="36" spans="1:21" ht="15.75" x14ac:dyDescent="0.25">
      <c r="A36" s="47"/>
      <c r="B36" s="205">
        <v>13</v>
      </c>
      <c r="C36" s="775"/>
      <c r="D36" s="70">
        <f t="shared" si="3"/>
        <v>0</v>
      </c>
      <c r="E36" s="343"/>
      <c r="F36" s="777">
        <f t="shared" si="10"/>
        <v>0</v>
      </c>
      <c r="G36" s="71"/>
      <c r="H36" s="660"/>
      <c r="I36" s="778">
        <f t="shared" si="8"/>
        <v>0</v>
      </c>
      <c r="J36" s="779">
        <f t="shared" si="4"/>
        <v>0</v>
      </c>
      <c r="L36" s="47"/>
      <c r="M36" s="205">
        <v>13</v>
      </c>
      <c r="N36" s="775"/>
      <c r="O36" s="70">
        <f t="shared" si="5"/>
        <v>0</v>
      </c>
      <c r="P36" s="343"/>
      <c r="Q36" s="777">
        <f t="shared" si="11"/>
        <v>0</v>
      </c>
      <c r="R36" s="71"/>
      <c r="S36" s="660"/>
      <c r="T36" s="778">
        <f t="shared" si="9"/>
        <v>3900</v>
      </c>
      <c r="U36" s="779">
        <f t="shared" si="7"/>
        <v>0</v>
      </c>
    </row>
    <row r="37" spans="1:21" ht="15.75" x14ac:dyDescent="0.25">
      <c r="A37" s="47"/>
      <c r="B37" s="205">
        <v>13</v>
      </c>
      <c r="C37" s="775"/>
      <c r="D37" s="70">
        <f t="shared" si="3"/>
        <v>0</v>
      </c>
      <c r="E37" s="343"/>
      <c r="F37" s="777">
        <f t="shared" si="10"/>
        <v>0</v>
      </c>
      <c r="G37" s="71"/>
      <c r="H37" s="660"/>
      <c r="I37" s="778">
        <f t="shared" si="8"/>
        <v>0</v>
      </c>
      <c r="J37" s="779">
        <f t="shared" si="4"/>
        <v>0</v>
      </c>
      <c r="L37" s="47"/>
      <c r="M37" s="205">
        <v>13</v>
      </c>
      <c r="N37" s="775"/>
      <c r="O37" s="70">
        <f t="shared" si="5"/>
        <v>0</v>
      </c>
      <c r="P37" s="343"/>
      <c r="Q37" s="777">
        <f t="shared" si="11"/>
        <v>0</v>
      </c>
      <c r="R37" s="71"/>
      <c r="S37" s="660"/>
      <c r="T37" s="778">
        <f t="shared" si="9"/>
        <v>3900</v>
      </c>
      <c r="U37" s="779">
        <f t="shared" si="7"/>
        <v>0</v>
      </c>
    </row>
    <row r="38" spans="1:21" ht="15.75" x14ac:dyDescent="0.25">
      <c r="A38" s="47"/>
      <c r="B38" s="205">
        <v>13</v>
      </c>
      <c r="C38" s="775"/>
      <c r="D38" s="70">
        <f t="shared" si="3"/>
        <v>0</v>
      </c>
      <c r="E38" s="343"/>
      <c r="F38" s="777">
        <f t="shared" si="10"/>
        <v>0</v>
      </c>
      <c r="G38" s="71"/>
      <c r="H38" s="660"/>
      <c r="I38" s="778">
        <f t="shared" si="8"/>
        <v>0</v>
      </c>
      <c r="J38" s="779">
        <f t="shared" si="4"/>
        <v>0</v>
      </c>
      <c r="L38" s="47"/>
      <c r="M38" s="205">
        <v>13</v>
      </c>
      <c r="N38" s="775"/>
      <c r="O38" s="70">
        <f t="shared" si="5"/>
        <v>0</v>
      </c>
      <c r="P38" s="343"/>
      <c r="Q38" s="777">
        <f t="shared" si="11"/>
        <v>0</v>
      </c>
      <c r="R38" s="71"/>
      <c r="S38" s="660"/>
      <c r="T38" s="778">
        <f t="shared" si="9"/>
        <v>3900</v>
      </c>
      <c r="U38" s="779">
        <f t="shared" si="7"/>
        <v>0</v>
      </c>
    </row>
    <row r="39" spans="1:21" ht="15.75" thickBot="1" x14ac:dyDescent="0.3">
      <c r="A39" s="125"/>
      <c r="B39" s="205">
        <v>13</v>
      </c>
      <c r="C39" s="37"/>
      <c r="D39" s="70">
        <f t="shared" si="3"/>
        <v>0</v>
      </c>
      <c r="E39" s="230"/>
      <c r="F39" s="231">
        <f t="shared" si="10"/>
        <v>0</v>
      </c>
      <c r="G39" s="145"/>
      <c r="H39" s="221"/>
      <c r="I39" s="771"/>
      <c r="J39" s="772">
        <f t="shared" si="4"/>
        <v>0</v>
      </c>
      <c r="L39" s="125"/>
      <c r="M39" s="205">
        <v>13</v>
      </c>
      <c r="N39" s="37"/>
      <c r="O39" s="70">
        <f t="shared" si="5"/>
        <v>0</v>
      </c>
      <c r="P39" s="230"/>
      <c r="Q39" s="231">
        <f t="shared" si="11"/>
        <v>0</v>
      </c>
      <c r="R39" s="145"/>
      <c r="S39" s="221"/>
      <c r="T39" s="771"/>
      <c r="U39" s="772">
        <f t="shared" si="7"/>
        <v>0</v>
      </c>
    </row>
    <row r="40" spans="1:21" ht="15.75" thickTop="1" x14ac:dyDescent="0.25">
      <c r="A40" s="47">
        <f>SUM(A29:A39)</f>
        <v>0</v>
      </c>
      <c r="C40" s="74">
        <f>SUM(C8:C39)</f>
        <v>500</v>
      </c>
      <c r="D40" s="107">
        <f>SUM(D8:D39)</f>
        <v>6500</v>
      </c>
      <c r="E40" s="76"/>
      <c r="F40" s="107">
        <f>SUM(F8:F39)</f>
        <v>6500</v>
      </c>
      <c r="L40" s="47">
        <f>SUM(L29:L39)</f>
        <v>0</v>
      </c>
      <c r="N40" s="74">
        <f>SUM(N8:N39)</f>
        <v>356</v>
      </c>
      <c r="O40" s="107">
        <f>SUM(O8:O39)</f>
        <v>4628</v>
      </c>
      <c r="P40" s="76"/>
      <c r="Q40" s="107">
        <f>SUM(Q8:Q39)</f>
        <v>4628</v>
      </c>
    </row>
    <row r="41" spans="1:21" ht="15.75" thickBot="1" x14ac:dyDescent="0.3">
      <c r="A41" s="47"/>
      <c r="L41" s="47"/>
    </row>
    <row r="42" spans="1:21" x14ac:dyDescent="0.25">
      <c r="B42" s="5"/>
      <c r="D42" s="1158" t="s">
        <v>21</v>
      </c>
      <c r="E42" s="1159"/>
      <c r="F42" s="147">
        <f>E4+E5-F40+E6</f>
        <v>0</v>
      </c>
      <c r="M42" s="5"/>
      <c r="O42" s="1158" t="s">
        <v>21</v>
      </c>
      <c r="P42" s="1159"/>
      <c r="Q42" s="147">
        <f>P4+P5-Q40+P6</f>
        <v>3900</v>
      </c>
    </row>
    <row r="43" spans="1:21" ht="15.75" thickBot="1" x14ac:dyDescent="0.3">
      <c r="A43" s="129"/>
      <c r="D43" s="450" t="s">
        <v>4</v>
      </c>
      <c r="E43" s="451"/>
      <c r="F43" s="49">
        <f>F4+F5-C40+F6</f>
        <v>0</v>
      </c>
      <c r="L43" s="129"/>
      <c r="O43" s="1044" t="s">
        <v>4</v>
      </c>
      <c r="P43" s="1045"/>
      <c r="Q43" s="49">
        <f>Q4+Q5-N40+Q6</f>
        <v>300</v>
      </c>
    </row>
    <row r="44" spans="1:21" x14ac:dyDescent="0.25">
      <c r="B44" s="5"/>
      <c r="M44" s="5"/>
    </row>
  </sheetData>
  <sortState ref="C4:F6">
    <sortCondition ref="D4:D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C21" sqref="C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6" t="s">
        <v>246</v>
      </c>
      <c r="B1" s="1176"/>
      <c r="C1" s="1176"/>
      <c r="D1" s="1176"/>
      <c r="E1" s="1176"/>
      <c r="F1" s="1176"/>
      <c r="G1" s="1176"/>
      <c r="H1" s="11">
        <v>1</v>
      </c>
    </row>
    <row r="2" spans="1:15" ht="16.5" thickBot="1" x14ac:dyDescent="0.3">
      <c r="K2" s="732"/>
      <c r="L2" s="262"/>
      <c r="M2" s="261"/>
      <c r="N2" s="323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37.5" x14ac:dyDescent="0.3">
      <c r="A5" s="1184" t="s">
        <v>268</v>
      </c>
      <c r="B5" s="1120" t="s">
        <v>684</v>
      </c>
      <c r="C5" s="132">
        <v>150</v>
      </c>
      <c r="D5" s="140">
        <v>44537</v>
      </c>
      <c r="E5" s="203">
        <v>384.1</v>
      </c>
      <c r="F5" s="143">
        <v>10</v>
      </c>
      <c r="G5" s="89">
        <f>F29</f>
        <v>384.1</v>
      </c>
      <c r="H5" s="7">
        <f>E5-G5+E4+E6</f>
        <v>0</v>
      </c>
    </row>
    <row r="6" spans="1:15" ht="15.75" thickBot="1" x14ac:dyDescent="0.3">
      <c r="A6" s="1184"/>
      <c r="B6" s="200"/>
      <c r="C6" s="262"/>
      <c r="D6" s="261"/>
      <c r="E6" s="323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>
        <v>10</v>
      </c>
      <c r="D8" s="70">
        <v>384.1</v>
      </c>
      <c r="E8" s="140">
        <v>44537</v>
      </c>
      <c r="F8" s="288">
        <f t="shared" ref="F8:F28" si="0">D8</f>
        <v>384.1</v>
      </c>
      <c r="G8" s="278" t="s">
        <v>685</v>
      </c>
      <c r="H8" s="279">
        <v>150</v>
      </c>
      <c r="I8" s="764">
        <f>E5+E6-F8+E4</f>
        <v>0</v>
      </c>
      <c r="J8" s="787">
        <f>H8*F8</f>
        <v>57615</v>
      </c>
    </row>
    <row r="9" spans="1:15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278"/>
      <c r="H9" s="279"/>
      <c r="I9" s="764">
        <f>I8-F9</f>
        <v>0</v>
      </c>
      <c r="J9" s="787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si="0"/>
        <v>0</v>
      </c>
      <c r="G10" s="278"/>
      <c r="H10" s="279"/>
      <c r="I10" s="764">
        <f t="shared" ref="I10:I27" si="3">I9-F10</f>
        <v>0</v>
      </c>
      <c r="J10" s="787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0"/>
        <v>0</v>
      </c>
      <c r="G11" s="278"/>
      <c r="H11" s="279"/>
      <c r="I11" s="764">
        <f t="shared" si="3"/>
        <v>0</v>
      </c>
      <c r="J11" s="787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8">
        <f t="shared" si="0"/>
        <v>0</v>
      </c>
      <c r="G12" s="278"/>
      <c r="H12" s="279"/>
      <c r="I12" s="764">
        <f t="shared" si="3"/>
        <v>0</v>
      </c>
      <c r="J12" s="787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0"/>
        <v>0</v>
      </c>
      <c r="G13" s="278"/>
      <c r="H13" s="279"/>
      <c r="I13" s="766">
        <f t="shared" si="3"/>
        <v>0</v>
      </c>
      <c r="J13" s="787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0"/>
        <v>0</v>
      </c>
      <c r="G14" s="278"/>
      <c r="H14" s="279"/>
      <c r="I14" s="766">
        <f t="shared" si="3"/>
        <v>0</v>
      </c>
      <c r="J14" s="787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66">
        <f t="shared" si="3"/>
        <v>0</v>
      </c>
      <c r="J15" s="787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67">
        <f t="shared" si="3"/>
        <v>0</v>
      </c>
      <c r="J16" s="765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67">
        <f t="shared" si="3"/>
        <v>0</v>
      </c>
      <c r="J17" s="765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67">
        <f t="shared" si="3"/>
        <v>0</v>
      </c>
      <c r="J18" s="765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67">
        <f t="shared" si="3"/>
        <v>0</v>
      </c>
      <c r="J19" s="765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67">
        <f t="shared" si="3"/>
        <v>0</v>
      </c>
      <c r="J20" s="765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67">
        <f t="shared" si="3"/>
        <v>0</v>
      </c>
      <c r="J21" s="765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67">
        <f t="shared" si="3"/>
        <v>0</v>
      </c>
      <c r="J22" s="765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67">
        <f t="shared" si="3"/>
        <v>0</v>
      </c>
      <c r="J23" s="765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67">
        <f t="shared" si="3"/>
        <v>0</v>
      </c>
      <c r="J24" s="765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67">
        <f t="shared" si="3"/>
        <v>0</v>
      </c>
      <c r="J25" s="765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67">
        <f t="shared" si="3"/>
        <v>0</v>
      </c>
      <c r="J26" s="765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68">
        <f t="shared" si="3"/>
        <v>0</v>
      </c>
      <c r="J27" s="765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5"/>
      <c r="F28" s="231">
        <f t="shared" si="0"/>
        <v>0</v>
      </c>
      <c r="G28" s="145"/>
      <c r="H28" s="221"/>
      <c r="I28" s="769"/>
      <c r="J28" s="770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10</v>
      </c>
      <c r="D29" s="107">
        <f>SUM(D8:D28)</f>
        <v>384.1</v>
      </c>
      <c r="E29" s="140"/>
      <c r="F29" s="107">
        <f>SUM(F8:F28)</f>
        <v>384.1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158" t="s">
        <v>21</v>
      </c>
      <c r="E31" s="1159"/>
      <c r="F31" s="147">
        <f>E4+E5-F29+E6</f>
        <v>0</v>
      </c>
    </row>
    <row r="32" spans="1:10" ht="15.75" thickBot="1" x14ac:dyDescent="0.3">
      <c r="A32" s="129"/>
      <c r="D32" s="1104" t="s">
        <v>4</v>
      </c>
      <c r="E32" s="1105"/>
      <c r="F32" s="49">
        <f>F4+F5-C29+F6</f>
        <v>0</v>
      </c>
    </row>
    <row r="33" spans="2:2" x14ac:dyDescent="0.25">
      <c r="B33" s="20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Hoja10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2022-01-20T21:42:35Z</dcterms:modified>
</cp:coreProperties>
</file>