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5  MAYO  2022\"/>
    </mc:Choice>
  </mc:AlternateContent>
  <bookViews>
    <workbookView xWindow="0" yWindow="0" windowWidth="16710" windowHeight="10305" firstSheet="8" activeTab="8"/>
  </bookViews>
  <sheets>
    <sheet name="E N E R O    2 0 2 2         " sheetId="1" r:id="rId1"/>
    <sheet name="REMISIONES    ENERO    2 0 2 2 " sheetId="2" r:id="rId2"/>
    <sheet name="F E B R E R O      2 0 2 2     " sheetId="3" r:id="rId3"/>
    <sheet name="REMISIONES  FEBRERO   2 0 2 2  " sheetId="4" r:id="rId4"/>
    <sheet name="    M A R Z O    2 0 2 2     " sheetId="5" r:id="rId5"/>
    <sheet name="  REMISIONES   MARZO   2022   " sheetId="7" r:id="rId6"/>
    <sheet name="    A B R I L      2 0 2 2     " sheetId="6" r:id="rId7"/>
    <sheet name="REMISIONES   ABRIL   2022  " sheetId="8" r:id="rId8"/>
    <sheet name="    M A Y O     2 0 2 2     " sheetId="9" r:id="rId9"/>
    <sheet name="REMISIONES    MAYO   2022  " sheetId="10" r:id="rId10"/>
    <sheet name="Hoja3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9" l="1"/>
  <c r="M21" i="9"/>
  <c r="M20" i="9"/>
  <c r="M19" i="9"/>
  <c r="M18" i="9"/>
  <c r="M17" i="9"/>
  <c r="M16" i="9"/>
  <c r="M15" i="9"/>
  <c r="M13" i="9"/>
  <c r="M11" i="9"/>
  <c r="M10" i="9"/>
  <c r="M9" i="9"/>
  <c r="M8" i="9"/>
  <c r="M7" i="9" l="1"/>
  <c r="M6" i="9"/>
  <c r="M5" i="9"/>
  <c r="E79" i="10"/>
  <c r="C79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K57" i="9"/>
  <c r="L51" i="9"/>
  <c r="I51" i="9"/>
  <c r="C51" i="9"/>
  <c r="N40" i="9"/>
  <c r="P39" i="9"/>
  <c r="Q39" i="9" s="1"/>
  <c r="P38" i="9"/>
  <c r="Q38" i="9" s="1"/>
  <c r="P37" i="9"/>
  <c r="Q37" i="9" s="1"/>
  <c r="P36" i="9"/>
  <c r="Q36" i="9" s="1"/>
  <c r="P35" i="9"/>
  <c r="Q35" i="9" s="1"/>
  <c r="P34" i="9"/>
  <c r="Q34" i="9" s="1"/>
  <c r="P33" i="9"/>
  <c r="Q33" i="9" s="1"/>
  <c r="P32" i="9"/>
  <c r="Q32" i="9" s="1"/>
  <c r="P31" i="9"/>
  <c r="Q31" i="9" s="1"/>
  <c r="P30" i="9"/>
  <c r="Q30" i="9" s="1"/>
  <c r="P29" i="9"/>
  <c r="Q29" i="9" s="1"/>
  <c r="P28" i="9"/>
  <c r="Q28" i="9" s="1"/>
  <c r="P27" i="9"/>
  <c r="Q27" i="9" s="1"/>
  <c r="P26" i="9"/>
  <c r="Q26" i="9" s="1"/>
  <c r="P25" i="9"/>
  <c r="Q25" i="9" s="1"/>
  <c r="P24" i="9"/>
  <c r="Q24" i="9" s="1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Q13" i="9" s="1"/>
  <c r="P12" i="9"/>
  <c r="Q12" i="9" s="1"/>
  <c r="P11" i="9"/>
  <c r="Q11" i="9" s="1"/>
  <c r="F51" i="9"/>
  <c r="P10" i="9"/>
  <c r="Q10" i="9" s="1"/>
  <c r="P9" i="9"/>
  <c r="Q9" i="9" s="1"/>
  <c r="P8" i="9"/>
  <c r="P7" i="9"/>
  <c r="Q7" i="9" s="1"/>
  <c r="P6" i="9"/>
  <c r="Q6" i="9" s="1"/>
  <c r="M40" i="9"/>
  <c r="K53" i="9" l="1"/>
  <c r="F54" i="9" s="1"/>
  <c r="F57" i="9" s="1"/>
  <c r="K55" i="9" s="1"/>
  <c r="K59" i="9" s="1"/>
  <c r="M53" i="9"/>
  <c r="P5" i="9"/>
  <c r="P40" i="9" l="1"/>
  <c r="Q40" i="9" s="1"/>
  <c r="Q5" i="9"/>
  <c r="C79" i="8" l="1"/>
  <c r="F79" i="7"/>
  <c r="M39" i="6" l="1"/>
  <c r="M38" i="6"/>
  <c r="M37" i="6"/>
  <c r="M36" i="6"/>
  <c r="M35" i="6"/>
  <c r="M34" i="6"/>
  <c r="M33" i="6"/>
  <c r="M30" i="6"/>
  <c r="M32" i="6" l="1"/>
  <c r="M31" i="6"/>
  <c r="M29" i="6"/>
  <c r="M28" i="6"/>
  <c r="M27" i="6"/>
  <c r="M26" i="6"/>
  <c r="M25" i="6"/>
  <c r="M24" i="6"/>
  <c r="M22" i="6"/>
  <c r="M21" i="6"/>
  <c r="M20" i="6"/>
  <c r="M19" i="6"/>
  <c r="M18" i="6"/>
  <c r="M17" i="6"/>
  <c r="M16" i="6"/>
  <c r="M15" i="6" l="1"/>
  <c r="M14" i="6"/>
  <c r="M13" i="6"/>
  <c r="M12" i="6"/>
  <c r="F11" i="6"/>
  <c r="Q11" i="6" s="1"/>
  <c r="P11" i="6"/>
  <c r="M11" i="6"/>
  <c r="M10" i="6"/>
  <c r="M9" i="6"/>
  <c r="M8" i="6"/>
  <c r="M7" i="6"/>
  <c r="M6" i="6" l="1"/>
  <c r="M5" i="6"/>
  <c r="E79" i="8" l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K57" i="6"/>
  <c r="L51" i="6"/>
  <c r="I51" i="6"/>
  <c r="F51" i="6"/>
  <c r="C51" i="6"/>
  <c r="N40" i="6"/>
  <c r="P39" i="6"/>
  <c r="Q39" i="6" s="1"/>
  <c r="P38" i="6"/>
  <c r="Q38" i="6" s="1"/>
  <c r="P37" i="6"/>
  <c r="Q37" i="6" s="1"/>
  <c r="P36" i="6"/>
  <c r="Q36" i="6" s="1"/>
  <c r="P35" i="6"/>
  <c r="Q35" i="6" s="1"/>
  <c r="P34" i="6"/>
  <c r="Q34" i="6" s="1"/>
  <c r="P33" i="6"/>
  <c r="Q33" i="6" s="1"/>
  <c r="P32" i="6"/>
  <c r="Q32" i="6" s="1"/>
  <c r="P31" i="6"/>
  <c r="Q31" i="6" s="1"/>
  <c r="P30" i="6"/>
  <c r="Q30" i="6" s="1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Q21" i="6" s="1"/>
  <c r="P20" i="6"/>
  <c r="Q20" i="6" s="1"/>
  <c r="P19" i="6"/>
  <c r="Q19" i="6" s="1"/>
  <c r="P18" i="6"/>
  <c r="Q18" i="6" s="1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0" i="6"/>
  <c r="Q10" i="6" s="1"/>
  <c r="P9" i="6"/>
  <c r="Q9" i="6" s="1"/>
  <c r="P8" i="6"/>
  <c r="Q8" i="6" s="1"/>
  <c r="P7" i="6"/>
  <c r="Q7" i="6" s="1"/>
  <c r="P6" i="6"/>
  <c r="Q6" i="6" s="1"/>
  <c r="M40" i="6"/>
  <c r="F43" i="8" l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K53" i="6"/>
  <c r="F54" i="6" s="1"/>
  <c r="F57" i="6" s="1"/>
  <c r="K55" i="6" s="1"/>
  <c r="K59" i="6" s="1"/>
  <c r="M53" i="6"/>
  <c r="P5" i="6"/>
  <c r="E79" i="7"/>
  <c r="P40" i="6" l="1"/>
  <c r="Q40" i="6" s="1"/>
  <c r="Q5" i="6"/>
  <c r="M32" i="5"/>
  <c r="M31" i="5"/>
  <c r="M30" i="5"/>
  <c r="M29" i="5"/>
  <c r="M28" i="5"/>
  <c r="M27" i="5" l="1"/>
  <c r="M26" i="5"/>
  <c r="M25" i="5"/>
  <c r="M24" i="5"/>
  <c r="M23" i="5" l="1"/>
  <c r="M22" i="5"/>
  <c r="C77" i="4"/>
  <c r="C79" i="7"/>
  <c r="M21" i="5" l="1"/>
  <c r="M20" i="5"/>
  <c r="M19" i="5"/>
  <c r="M18" i="5" l="1"/>
  <c r="M17" i="5"/>
  <c r="M16" i="5"/>
  <c r="M15" i="5"/>
  <c r="M14" i="5"/>
  <c r="M13" i="5"/>
  <c r="M12" i="5"/>
  <c r="M11" i="5"/>
  <c r="M10" i="5"/>
  <c r="M9" i="5"/>
  <c r="M8" i="5"/>
  <c r="Q6" i="5" l="1"/>
  <c r="M6" i="5"/>
  <c r="M5" i="5"/>
  <c r="F3" i="4" l="1"/>
  <c r="F3" i="7"/>
  <c r="F4" i="7" s="1"/>
  <c r="K57" i="5"/>
  <c r="L51" i="5"/>
  <c r="I51" i="5"/>
  <c r="F51" i="5"/>
  <c r="C51" i="5"/>
  <c r="N40" i="5"/>
  <c r="P39" i="5"/>
  <c r="Q39" i="5" s="1"/>
  <c r="P38" i="5"/>
  <c r="Q38" i="5" s="1"/>
  <c r="P37" i="5"/>
  <c r="Q37" i="5" s="1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Q9" i="5" s="1"/>
  <c r="P8" i="5"/>
  <c r="Q8" i="5" s="1"/>
  <c r="P7" i="5"/>
  <c r="Q7" i="5" s="1"/>
  <c r="P6" i="5"/>
  <c r="P5" i="5"/>
  <c r="Q5" i="5" s="1"/>
  <c r="F5" i="7" l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P40" i="5"/>
  <c r="Q40" i="5" s="1"/>
  <c r="K53" i="5"/>
  <c r="F54" i="5" s="1"/>
  <c r="F57" i="5" s="1"/>
  <c r="K55" i="5" s="1"/>
  <c r="K59" i="5" s="1"/>
  <c r="M40" i="5"/>
  <c r="M53" i="5" s="1"/>
  <c r="M32" i="3" l="1"/>
  <c r="M31" i="3" l="1"/>
  <c r="M30" i="3"/>
  <c r="M29" i="3"/>
  <c r="M28" i="3"/>
  <c r="M27" i="3"/>
  <c r="M26" i="3"/>
  <c r="M25" i="3"/>
  <c r="M24" i="3"/>
  <c r="M23" i="3"/>
  <c r="M22" i="3"/>
  <c r="M21" i="3"/>
  <c r="M19" i="3"/>
  <c r="M20" i="3"/>
  <c r="M12" i="3" l="1"/>
  <c r="M18" i="3" l="1"/>
  <c r="M17" i="3"/>
  <c r="M16" i="3"/>
  <c r="M15" i="3"/>
  <c r="M14" i="3"/>
  <c r="M13" i="3"/>
  <c r="M11" i="3"/>
  <c r="M10" i="3"/>
  <c r="M9" i="3"/>
  <c r="M8" i="3"/>
  <c r="M7" i="3"/>
  <c r="M6" i="3"/>
  <c r="M5" i="3" l="1"/>
  <c r="E77" i="4" l="1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K57" i="3"/>
  <c r="I51" i="3"/>
  <c r="F51" i="3"/>
  <c r="C51" i="3"/>
  <c r="N40" i="3"/>
  <c r="Q39" i="3"/>
  <c r="P39" i="3"/>
  <c r="P38" i="3"/>
  <c r="Q38" i="3" s="1"/>
  <c r="P37" i="3"/>
  <c r="Q37" i="3" s="1"/>
  <c r="P36" i="3"/>
  <c r="Q36" i="3" s="1"/>
  <c r="P35" i="3"/>
  <c r="Q35" i="3" s="1"/>
  <c r="P34" i="3"/>
  <c r="Q34" i="3" s="1"/>
  <c r="Q33" i="3"/>
  <c r="P33" i="3"/>
  <c r="P32" i="3"/>
  <c r="Q32" i="3" s="1"/>
  <c r="P31" i="3"/>
  <c r="Q31" i="3" s="1"/>
  <c r="L51" i="3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P7" i="3"/>
  <c r="P6" i="3"/>
  <c r="P5" i="3"/>
  <c r="M40" i="3"/>
  <c r="F38" i="4" l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K53" i="3"/>
  <c r="F54" i="3" s="1"/>
  <c r="F57" i="3" s="1"/>
  <c r="K55" i="3" s="1"/>
  <c r="K59" i="3" s="1"/>
  <c r="P40" i="3"/>
  <c r="Q40" i="3"/>
  <c r="M53" i="3"/>
  <c r="F3" i="2"/>
  <c r="M32" i="1"/>
  <c r="M31" i="1" l="1"/>
  <c r="L31" i="1"/>
  <c r="M30" i="1"/>
  <c r="M29" i="1" l="1"/>
  <c r="M28" i="1"/>
  <c r="M27" i="1" l="1"/>
  <c r="M26" i="1" l="1"/>
  <c r="M25" i="1"/>
  <c r="M24" i="1"/>
  <c r="M23" i="1"/>
  <c r="M22" i="1"/>
  <c r="M21" i="1"/>
  <c r="M20" i="1"/>
  <c r="M19" i="1"/>
  <c r="M18" i="1"/>
  <c r="M17" i="1"/>
  <c r="M16" i="1"/>
  <c r="M15" i="1"/>
  <c r="M13" i="1" l="1"/>
  <c r="M12" i="1"/>
  <c r="M11" i="1"/>
  <c r="M10" i="1"/>
  <c r="M9" i="1" l="1"/>
  <c r="M8" i="1"/>
  <c r="M7" i="1"/>
  <c r="M6" i="1" l="1"/>
  <c r="M5" i="1" l="1"/>
  <c r="F4" i="2" l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E100" i="2"/>
  <c r="C100" i="2"/>
  <c r="K57" i="1"/>
  <c r="L51" i="1"/>
  <c r="I51" i="1"/>
  <c r="F51" i="1"/>
  <c r="N40" i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C51" i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P6" i="1"/>
  <c r="P5" i="1"/>
  <c r="K53" i="1" l="1"/>
  <c r="F54" i="1" s="1"/>
  <c r="F57" i="1" s="1"/>
  <c r="K55" i="1" s="1"/>
  <c r="K59" i="1" s="1"/>
  <c r="P40" i="1"/>
  <c r="Q5" i="1"/>
  <c r="Q40" i="1" s="1"/>
  <c r="M40" i="1"/>
  <c r="M53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<sst xmlns="http://schemas.openxmlformats.org/spreadsheetml/2006/main" count="508" uniqueCount="281">
  <si>
    <t>COMPRAS</t>
  </si>
  <si>
    <t>MARISOL ORTIZ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</si>
  <si>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</si>
  <si>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</si>
  <si>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</si>
  <si>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</si>
  <si>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</si>
  <si>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</si>
  <si>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</si>
  <si>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</si>
  <si>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</si>
  <si>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</si>
  <si>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</si>
  <si>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</si>
  <si>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</si>
  <si>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</si>
  <si>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</si>
  <si>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</si>
  <si>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</si>
  <si>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</si>
  <si>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</si>
  <si>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 xml:space="preserve">HERRADURA </t>
  </si>
  <si>
    <t>FECHA</t>
  </si>
  <si>
    <t>#</t>
  </si>
  <si>
    <t>IMPORTE</t>
  </si>
  <si>
    <t xml:space="preserve">Fecha </t>
  </si>
  <si>
    <t>PAGOS</t>
  </si>
  <si>
    <t>REMISIONES  ABASTO 4 CARNES       2 0 2 2</t>
  </si>
  <si>
    <t>BALANCE      ABASTO 4 CARNES    H E R R A D U R A    ENERO           2 0 2 2</t>
  </si>
  <si>
    <t>Vacaciones Marisol</t>
  </si>
  <si>
    <t>RETAZO-BOLA RES-PAPA</t>
  </si>
  <si>
    <t>SALAMI</t>
  </si>
  <si>
    <t>BOLA RES-ROASBEEF-BOLSA</t>
  </si>
  <si>
    <t>NOMINA # 2</t>
  </si>
  <si>
    <t>ARABE</t>
  </si>
  <si>
    <t>PAPA-BOLA RES-SALCHICHA-ARRACHERACHAMBARETE</t>
  </si>
  <si>
    <t>CHORIZO--ARABE</t>
  </si>
  <si>
    <t>JAMON-RETAZO-BOLA RES</t>
  </si>
  <si>
    <t>CREDITO MES ANTERIOR</t>
  </si>
  <si>
    <t>SALSAS--CHAMBARETE</t>
  </si>
  <si>
    <t>LONGANIZA ECO</t>
  </si>
  <si>
    <t>NOMINA # 3</t>
  </si>
  <si>
    <t>QUESO--ENCHILADA-BOLSA-SALCHICHA-BOLA RES</t>
  </si>
  <si>
    <t>BOLA RES--SALCHICHA-PAPA-CHAMBARETE-RETAZO-ROASBEEF</t>
  </si>
  <si>
    <t>LONGANIZA--ARABE</t>
  </si>
  <si>
    <t>NOMIINA # 4</t>
  </si>
  <si>
    <t>JAMON-QUESO-PAN</t>
  </si>
  <si>
    <t>LONGANIZA</t>
  </si>
  <si>
    <t>NOMINA # 5 Y vacaciones</t>
  </si>
  <si>
    <t>COMPRAS CENTRAL</t>
  </si>
  <si>
    <t>03/01/2022</t>
  </si>
  <si>
    <t>C-7470</t>
  </si>
  <si>
    <t>07/01/2022</t>
  </si>
  <si>
    <t>C-7494</t>
  </si>
  <si>
    <t>C-7523</t>
  </si>
  <si>
    <t>04/01/2022</t>
  </si>
  <si>
    <t>C-7593</t>
  </si>
  <si>
    <t>C-7600</t>
  </si>
  <si>
    <t>C-7621</t>
  </si>
  <si>
    <t>05/01/2022</t>
  </si>
  <si>
    <t>C-7767</t>
  </si>
  <si>
    <t>06/01/2022</t>
  </si>
  <si>
    <t>C-7802</t>
  </si>
  <si>
    <t>C-7841</t>
  </si>
  <si>
    <t>C-7989</t>
  </si>
  <si>
    <t>14/01/2022</t>
  </si>
  <si>
    <t>C-7990</t>
  </si>
  <si>
    <t>C-8004</t>
  </si>
  <si>
    <t>C-8005</t>
  </si>
  <si>
    <t>08/01/2022</t>
  </si>
  <si>
    <t>C-8009</t>
  </si>
  <si>
    <t>C-8106</t>
  </si>
  <si>
    <t>C-8123</t>
  </si>
  <si>
    <t>10/01/2022</t>
  </si>
  <si>
    <t>C-8289</t>
  </si>
  <si>
    <t>C-8296</t>
  </si>
  <si>
    <t>C-8297</t>
  </si>
  <si>
    <t>11/01/2022</t>
  </si>
  <si>
    <t>C-8368</t>
  </si>
  <si>
    <t>C-8369</t>
  </si>
  <si>
    <t>C-8392</t>
  </si>
  <si>
    <t>12/01/2022</t>
  </si>
  <si>
    <t>C-8454</t>
  </si>
  <si>
    <t>C-8665</t>
  </si>
  <si>
    <t>C-8765</t>
  </si>
  <si>
    <t>21/01/2022</t>
  </si>
  <si>
    <t>15/01/2022</t>
  </si>
  <si>
    <t>C-8826</t>
  </si>
  <si>
    <t>C-8868</t>
  </si>
  <si>
    <t>17/01/2022</t>
  </si>
  <si>
    <t>C-9068</t>
  </si>
  <si>
    <t>18/01/2022</t>
  </si>
  <si>
    <t>C-9105</t>
  </si>
  <si>
    <t>C-9166</t>
  </si>
  <si>
    <t>C-9169</t>
  </si>
  <si>
    <t>19/01/2022</t>
  </si>
  <si>
    <t>C-9206</t>
  </si>
  <si>
    <t>C-9219</t>
  </si>
  <si>
    <t>20/01/2022</t>
  </si>
  <si>
    <t>C-9378</t>
  </si>
  <si>
    <t>C-9479</t>
  </si>
  <si>
    <t>C-9552</t>
  </si>
  <si>
    <t>28/01/2022</t>
  </si>
  <si>
    <t>22/01/2022</t>
  </si>
  <si>
    <t>C-9626</t>
  </si>
  <si>
    <t>C-9669</t>
  </si>
  <si>
    <t>24/01/2022</t>
  </si>
  <si>
    <t>C-9769</t>
  </si>
  <si>
    <t>C-9775</t>
  </si>
  <si>
    <t>26/01/2022</t>
  </si>
  <si>
    <t>C-9973</t>
  </si>
  <si>
    <t>C-9975</t>
  </si>
  <si>
    <t>27/01/2022</t>
  </si>
  <si>
    <t>C-10140</t>
  </si>
  <si>
    <t>C-10149</t>
  </si>
  <si>
    <t>C-10150</t>
  </si>
  <si>
    <t>C-10184</t>
  </si>
  <si>
    <t>29/01/2022</t>
  </si>
  <si>
    <t>C-10325</t>
  </si>
  <si>
    <t>C-10326</t>
  </si>
  <si>
    <t>C-10335</t>
  </si>
  <si>
    <t>C-10529</t>
  </si>
  <si>
    <t>CANCELADA</t>
  </si>
  <si>
    <t>ENERO</t>
  </si>
  <si>
    <t>TELEFONO</t>
  </si>
  <si>
    <t>BALANCE      ABASTO 4 CARNES    H E R R A D U R A    FEBRERO          2 0 2 2</t>
  </si>
  <si>
    <t>JAMON-VARIOS</t>
  </si>
  <si>
    <t>NOMINA # 6</t>
  </si>
  <si>
    <t>TOCINO-BOLA-RETAZO-QUESOS-JAMON</t>
  </si>
  <si>
    <t>LONGANIZA-ARABE-JAMON</t>
  </si>
  <si>
    <t>NOMINA # 7</t>
  </si>
  <si>
    <t>.</t>
  </si>
  <si>
    <t>NOMINA # 8</t>
  </si>
  <si>
    <t>CHORIZO</t>
  </si>
  <si>
    <t>NOMINA # 9</t>
  </si>
  <si>
    <t>BALANCE      ABASTO 4 CARNES    H E R R A D U R A    M A R Z O           2 0 2 2</t>
  </si>
  <si>
    <t>10677 C</t>
  </si>
  <si>
    <t>10770 C</t>
  </si>
  <si>
    <t>11001 C</t>
  </si>
  <si>
    <t>11122 C</t>
  </si>
  <si>
    <t>11217 C</t>
  </si>
  <si>
    <t>11219 C</t>
  </si>
  <si>
    <t>11317 C</t>
  </si>
  <si>
    <t>11232 C</t>
  </si>
  <si>
    <t>11496 C</t>
  </si>
  <si>
    <t>11572 C</t>
  </si>
  <si>
    <t>11641 C</t>
  </si>
  <si>
    <t>11813 C</t>
  </si>
  <si>
    <t>11816 C</t>
  </si>
  <si>
    <t>12042 C</t>
  </si>
  <si>
    <t>12201 C</t>
  </si>
  <si>
    <t>12321 C</t>
  </si>
  <si>
    <t>12412 C</t>
  </si>
  <si>
    <t>12413 C</t>
  </si>
  <si>
    <t>12550 C</t>
  </si>
  <si>
    <t>12625 C</t>
  </si>
  <si>
    <t>12680 C</t>
  </si>
  <si>
    <t>12684 C</t>
  </si>
  <si>
    <t>12741 C</t>
  </si>
  <si>
    <t>12822 C</t>
  </si>
  <si>
    <t>12903 C</t>
  </si>
  <si>
    <t>12932 C</t>
  </si>
  <si>
    <t>12992 C</t>
  </si>
  <si>
    <t>13195 C</t>
  </si>
  <si>
    <t>13248 C</t>
  </si>
  <si>
    <t>13258 C</t>
  </si>
  <si>
    <t>13388 C</t>
  </si>
  <si>
    <t>13519 C</t>
  </si>
  <si>
    <t>GANANCIA</t>
  </si>
  <si>
    <t>13695 C</t>
  </si>
  <si>
    <t>13696 C</t>
  </si>
  <si>
    <t>13732 C</t>
  </si>
  <si>
    <t>13933 C</t>
  </si>
  <si>
    <t>13935 C</t>
  </si>
  <si>
    <t>13950 C</t>
  </si>
  <si>
    <t>13951 C</t>
  </si>
  <si>
    <t>14128 C</t>
  </si>
  <si>
    <t>14219 C</t>
  </si>
  <si>
    <t>14272 C</t>
  </si>
  <si>
    <t>14307 C</t>
  </si>
  <si>
    <t>14427 C</t>
  </si>
  <si>
    <t>14684 C</t>
  </si>
  <si>
    <t>14835 C</t>
  </si>
  <si>
    <t>14859 C</t>
  </si>
  <si>
    <t>14964 C</t>
  </si>
  <si>
    <t>15048 C</t>
  </si>
  <si>
    <t>15050 C</t>
  </si>
  <si>
    <t>15121 C</t>
  </si>
  <si>
    <t>15211 C</t>
  </si>
  <si>
    <t>15241 C</t>
  </si>
  <si>
    <t>LUZ</t>
  </si>
  <si>
    <t>Proteccion Civil</t>
  </si>
  <si>
    <t>LONGANIZA-ENCHILADA</t>
  </si>
  <si>
    <t>NOMINA # 10</t>
  </si>
  <si>
    <t xml:space="preserve">COMPRAS CENTRAL </t>
  </si>
  <si>
    <t>LONGANIZA--CHORIZO</t>
  </si>
  <si>
    <t>NOMINA # 11</t>
  </si>
  <si>
    <t>15422 C</t>
  </si>
  <si>
    <t>15450 C</t>
  </si>
  <si>
    <t>15647 C</t>
  </si>
  <si>
    <t>15688 C</t>
  </si>
  <si>
    <t>COMISION</t>
  </si>
  <si>
    <t>BANCARIA</t>
  </si>
  <si>
    <t>BANCO</t>
  </si>
  <si>
    <t>ADT</t>
  </si>
  <si>
    <t>FUMIGACION</t>
  </si>
  <si>
    <t>COMSION Banco</t>
  </si>
  <si>
    <t>COMSIONES P.V.</t>
  </si>
  <si>
    <t>15768 C</t>
  </si>
  <si>
    <t>15783 C</t>
  </si>
  <si>
    <t>15790 C</t>
  </si>
  <si>
    <t>15906 C</t>
  </si>
  <si>
    <t>15980 C</t>
  </si>
  <si>
    <t>16224 C</t>
  </si>
  <si>
    <t>16351 C</t>
  </si>
  <si>
    <t>16450 C</t>
  </si>
  <si>
    <t>16523 C</t>
  </si>
  <si>
    <t>16601 C</t>
  </si>
  <si>
    <t>16603 C</t>
  </si>
  <si>
    <t>16729 C</t>
  </si>
  <si>
    <t>16731 C</t>
  </si>
  <si>
    <t>NOMINA # 12 Y Vacaciones</t>
  </si>
  <si>
    <t>COMPRAS CENTRAL --PEREJIL</t>
  </si>
  <si>
    <t>QUESOS-LONGANIZA</t>
  </si>
  <si>
    <t>nomina # 13</t>
  </si>
  <si>
    <t>BALANCE      ABASTO 4 CARNES    H E R R A D U R A    ABRIL           2 0 2 2</t>
  </si>
  <si>
    <t xml:space="preserve">GANANCIA </t>
  </si>
  <si>
    <t>Compras CENTRAL</t>
  </si>
  <si>
    <t>NOMINA # 14</t>
  </si>
  <si>
    <t>Compras CENTRAL--ARABE</t>
  </si>
  <si>
    <t>COMPRAS CENTRAL--CHORIZO</t>
  </si>
  <si>
    <t>NOMINA #  15</t>
  </si>
  <si>
    <t>COMPRAS CENTRAL --ARABE</t>
  </si>
  <si>
    <t>CHORIZO-LONGANIZA-ARABE</t>
  </si>
  <si>
    <t>NOMINA # 16</t>
  </si>
  <si>
    <t>NOMINA # 17</t>
  </si>
  <si>
    <t>COMPRAS CENTRAL--LONGANIZA</t>
  </si>
  <si>
    <t>16784 C</t>
  </si>
  <si>
    <t>16825 C</t>
  </si>
  <si>
    <t>16969 C</t>
  </si>
  <si>
    <t>16999 C</t>
  </si>
  <si>
    <t>17001 C</t>
  </si>
  <si>
    <t>C-17249</t>
  </si>
  <si>
    <t>C-17381</t>
  </si>
  <si>
    <t>C-17547</t>
  </si>
  <si>
    <t>C-17657</t>
  </si>
  <si>
    <t>C-17689</t>
  </si>
  <si>
    <t>C-17777</t>
  </si>
  <si>
    <t>C-17937</t>
  </si>
  <si>
    <t>C-18132</t>
  </si>
  <si>
    <t>C-18173</t>
  </si>
  <si>
    <t>C-18175</t>
  </si>
  <si>
    <t>C-18214</t>
  </si>
  <si>
    <t>C-18364</t>
  </si>
  <si>
    <t>C-18489</t>
  </si>
  <si>
    <t>C-18580</t>
  </si>
  <si>
    <t>C-18748</t>
  </si>
  <si>
    <t>C-18770</t>
  </si>
  <si>
    <t>C-18842</t>
  </si>
  <si>
    <t>C-18950</t>
  </si>
  <si>
    <t>C-19025</t>
  </si>
  <si>
    <t>C-19220</t>
  </si>
  <si>
    <t>C-19249</t>
  </si>
  <si>
    <t>C-19400</t>
  </si>
  <si>
    <t>C-19525</t>
  </si>
  <si>
    <t>C-19528</t>
  </si>
  <si>
    <t>C-19552</t>
  </si>
  <si>
    <t>C-19637</t>
  </si>
  <si>
    <t>C-19920</t>
  </si>
  <si>
    <t>C-20049</t>
  </si>
  <si>
    <t>C-20155</t>
  </si>
  <si>
    <t>C-20194</t>
  </si>
  <si>
    <t>C-20196</t>
  </si>
  <si>
    <t>C-20341</t>
  </si>
  <si>
    <t>30/04/2022</t>
  </si>
  <si>
    <t>C-20508</t>
  </si>
  <si>
    <t>C-20579</t>
  </si>
  <si>
    <t>BALANCE      ABASTO 4 CARNES    H E R R A D U R A    MAYO        2 0 2 2</t>
  </si>
  <si>
    <t>NOMINA # 19</t>
  </si>
  <si>
    <t>LONGANIZA-ARABE</t>
  </si>
  <si>
    <t>NOMINA #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</si>
</sst>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66CC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FF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3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9" fillId="0" borderId="7" xfId="0" applyFont="1" applyBorder="1"/>
    <xf numFmtId="164" fontId="10" fillId="0" borderId="8" xfId="0" applyNumberFormat="1" applyFont="1" applyBorder="1" applyAlignment="1">
      <alignment horizontal="center"/>
    </xf>
    <xf numFmtId="44" fontId="11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3" fillId="0" borderId="9" xfId="0" applyNumberFormat="1" applyFont="1" applyBorder="1"/>
    <xf numFmtId="0" fontId="13" fillId="0" borderId="9" xfId="0" applyFont="1" applyBorder="1"/>
    <xf numFmtId="44" fontId="13" fillId="0" borderId="9" xfId="1" applyFont="1" applyBorder="1"/>
    <xf numFmtId="44" fontId="14" fillId="4" borderId="0" xfId="1" applyFont="1" applyFill="1" applyAlignment="1">
      <alignment horizontal="center"/>
    </xf>
    <xf numFmtId="44" fontId="14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6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44" fontId="17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0" fontId="2" fillId="0" borderId="0" xfId="0" applyFont="1" applyFill="1"/>
    <xf numFmtId="166" fontId="18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6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44" fontId="20" fillId="0" borderId="0" xfId="1" applyFont="1" applyFill="1"/>
    <xf numFmtId="165" fontId="21" fillId="0" borderId="0" xfId="1" applyNumberFormat="1" applyFont="1" applyFill="1" applyAlignment="1">
      <alignment horizontal="center"/>
    </xf>
    <xf numFmtId="0" fontId="2" fillId="0" borderId="25" xfId="0" applyFont="1" applyFill="1" applyBorder="1"/>
    <xf numFmtId="16" fontId="2" fillId="0" borderId="25" xfId="0" applyNumberFormat="1" applyFont="1" applyFill="1" applyBorder="1"/>
    <xf numFmtId="165" fontId="21" fillId="0" borderId="27" xfId="0" applyNumberFormat="1" applyFont="1" applyFill="1" applyBorder="1" applyAlignment="1">
      <alignment horizontal="left"/>
    </xf>
    <xf numFmtId="44" fontId="2" fillId="0" borderId="26" xfId="1" applyFont="1" applyFill="1" applyBorder="1" applyAlignment="1">
      <alignment horizontal="right"/>
    </xf>
    <xf numFmtId="16" fontId="21" fillId="0" borderId="25" xfId="0" applyNumberFormat="1" applyFont="1" applyFill="1" applyBorder="1"/>
    <xf numFmtId="0" fontId="22" fillId="0" borderId="25" xfId="0" applyFont="1" applyFill="1" applyBorder="1" applyAlignment="1">
      <alignment wrapText="1"/>
    </xf>
    <xf numFmtId="166" fontId="24" fillId="0" borderId="10" xfId="0" applyNumberFormat="1" applyFont="1" applyFill="1" applyBorder="1"/>
    <xf numFmtId="0" fontId="22" fillId="0" borderId="25" xfId="0" applyFont="1" applyFill="1" applyBorder="1"/>
    <xf numFmtId="16" fontId="25" fillId="0" borderId="27" xfId="0" applyNumberFormat="1" applyFont="1" applyFill="1" applyBorder="1"/>
    <xf numFmtId="0" fontId="22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5" fontId="2" fillId="0" borderId="27" xfId="0" applyNumberFormat="1" applyFont="1" applyFill="1" applyBorder="1" applyAlignment="1">
      <alignment horizontal="left"/>
    </xf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left"/>
    </xf>
    <xf numFmtId="44" fontId="26" fillId="0" borderId="0" xfId="1" applyFont="1" applyFill="1"/>
    <xf numFmtId="0" fontId="21" fillId="0" borderId="27" xfId="0" applyFont="1" applyFill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165" fontId="21" fillId="0" borderId="30" xfId="1" applyNumberFormat="1" applyFont="1" applyFill="1" applyBorder="1" applyAlignment="1">
      <alignment horizontal="left"/>
    </xf>
    <xf numFmtId="0" fontId="2" fillId="0" borderId="25" xfId="0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" fillId="0" borderId="25" xfId="1" applyNumberFormat="1" applyFont="1" applyFill="1" applyBorder="1" applyAlignment="1">
      <alignment horizontal="left"/>
    </xf>
    <xf numFmtId="0" fontId="21" fillId="0" borderId="25" xfId="0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6" fillId="0" borderId="32" xfId="0" applyNumberFormat="1" applyFont="1" applyFill="1" applyBorder="1"/>
    <xf numFmtId="16" fontId="2" fillId="0" borderId="28" xfId="0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0" fontId="19" fillId="0" borderId="25" xfId="0" applyFont="1" applyFill="1" applyBorder="1"/>
    <xf numFmtId="44" fontId="19" fillId="0" borderId="26" xfId="1" applyFont="1" applyFill="1" applyBorder="1"/>
    <xf numFmtId="0" fontId="19" fillId="0" borderId="25" xfId="0" applyFont="1" applyFill="1" applyBorder="1" applyAlignment="1">
      <alignment horizontal="left"/>
    </xf>
    <xf numFmtId="44" fontId="19" fillId="0" borderId="25" xfId="1" applyFont="1" applyFill="1" applyBorder="1" applyAlignment="1">
      <alignment horizontal="right"/>
    </xf>
    <xf numFmtId="166" fontId="16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0" fontId="11" fillId="0" borderId="0" xfId="0" applyFont="1" applyFill="1" applyAlignment="1">
      <alignment horizontal="left" wrapText="1"/>
    </xf>
    <xf numFmtId="44" fontId="19" fillId="0" borderId="0" xfId="1" applyFont="1" applyFill="1"/>
    <xf numFmtId="166" fontId="24" fillId="0" borderId="25" xfId="0" applyNumberFormat="1" applyFont="1" applyFill="1" applyBorder="1"/>
    <xf numFmtId="166" fontId="11" fillId="0" borderId="25" xfId="0" applyNumberFormat="1" applyFont="1" applyFill="1" applyBorder="1"/>
    <xf numFmtId="44" fontId="2" fillId="0" borderId="33" xfId="1" applyFont="1" applyFill="1" applyBorder="1"/>
    <xf numFmtId="44" fontId="2" fillId="0" borderId="25" xfId="1" applyFont="1" applyFill="1" applyBorder="1"/>
    <xf numFmtId="0" fontId="27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0" fontId="19" fillId="0" borderId="25" xfId="0" applyFont="1" applyFill="1" applyBorder="1" applyAlignment="1">
      <alignment horizontal="left" wrapText="1"/>
    </xf>
    <xf numFmtId="44" fontId="2" fillId="0" borderId="39" xfId="1" applyFont="1" applyFill="1" applyBorder="1"/>
    <xf numFmtId="166" fontId="11" fillId="0" borderId="0" xfId="0" applyNumberFormat="1" applyFont="1" applyFill="1" applyBorder="1"/>
    <xf numFmtId="15" fontId="2" fillId="0" borderId="40" xfId="0" applyNumberFormat="1" applyFont="1" applyFill="1" applyBorder="1"/>
    <xf numFmtId="0" fontId="27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4" fillId="0" borderId="41" xfId="1" applyFont="1" applyFill="1" applyBorder="1" applyAlignment="1">
      <alignment horizontal="center" vertical="center"/>
    </xf>
    <xf numFmtId="44" fontId="14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24" fillId="0" borderId="21" xfId="1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left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1" fillId="0" borderId="44" xfId="1" applyFont="1" applyBorder="1"/>
    <xf numFmtId="0" fontId="0" fillId="0" borderId="45" xfId="0" applyBorder="1"/>
    <xf numFmtId="0" fontId="28" fillId="0" borderId="45" xfId="0" applyFont="1" applyBorder="1" applyAlignment="1">
      <alignment horizontal="center"/>
    </xf>
    <xf numFmtId="44" fontId="29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5" fontId="11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1" fillId="0" borderId="0" xfId="1" applyFont="1" applyAlignment="1">
      <alignment horizontal="center" vertical="center" wrapText="1"/>
    </xf>
    <xf numFmtId="165" fontId="11" fillId="0" borderId="0" xfId="1" applyNumberFormat="1" applyFont="1" applyAlignment="1">
      <alignment horizontal="center" vertical="center" wrapText="1"/>
    </xf>
    <xf numFmtId="0" fontId="30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3" fillId="0" borderId="0" xfId="0" applyNumberFormat="1" applyFont="1"/>
    <xf numFmtId="44" fontId="13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0" fontId="19" fillId="0" borderId="0" xfId="0" applyFont="1"/>
    <xf numFmtId="44" fontId="27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1" fillId="0" borderId="0" xfId="0" applyFont="1"/>
    <xf numFmtId="0" fontId="21" fillId="0" borderId="0" xfId="0" applyFont="1"/>
    <xf numFmtId="44" fontId="35" fillId="0" borderId="0" xfId="1" applyFont="1"/>
    <xf numFmtId="166" fontId="11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8" fillId="6" borderId="52" xfId="0" applyFont="1" applyFill="1" applyBorder="1" applyAlignment="1">
      <alignment vertical="center"/>
    </xf>
    <xf numFmtId="164" fontId="39" fillId="6" borderId="54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44" fontId="3" fillId="0" borderId="16" xfId="1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" fontId="40" fillId="0" borderId="25" xfId="0" applyNumberFormat="1" applyFont="1" applyFill="1" applyBorder="1" applyAlignment="1">
      <alignment horizontal="center"/>
    </xf>
    <xf numFmtId="44" fontId="42" fillId="0" borderId="55" xfId="1" applyFont="1" applyFill="1" applyBorder="1"/>
    <xf numFmtId="0" fontId="13" fillId="0" borderId="0" xfId="0" applyFont="1"/>
    <xf numFmtId="164" fontId="43" fillId="0" borderId="25" xfId="0" applyNumberFormat="1" applyFont="1" applyFill="1" applyBorder="1" applyAlignment="1">
      <alignment horizontal="center"/>
    </xf>
    <xf numFmtId="164" fontId="43" fillId="6" borderId="25" xfId="0" applyNumberFormat="1" applyFont="1" applyFill="1" applyBorder="1" applyAlignment="1">
      <alignment horizontal="center"/>
    </xf>
    <xf numFmtId="1" fontId="40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43" fillId="6" borderId="56" xfId="0" applyNumberFormat="1" applyFont="1" applyFill="1" applyBorder="1" applyAlignment="1">
      <alignment horizontal="center"/>
    </xf>
    <xf numFmtId="1" fontId="40" fillId="6" borderId="56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43" fillId="0" borderId="56" xfId="0" applyNumberFormat="1" applyFont="1" applyBorder="1" applyAlignment="1">
      <alignment horizontal="center"/>
    </xf>
    <xf numFmtId="1" fontId="40" fillId="0" borderId="56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44" fontId="2" fillId="0" borderId="8" xfId="1" applyFont="1" applyBorder="1"/>
    <xf numFmtId="44" fontId="2" fillId="0" borderId="16" xfId="1" applyFont="1" applyBorder="1"/>
    <xf numFmtId="44" fontId="41" fillId="3" borderId="55" xfId="1" applyFont="1" applyFill="1" applyBorder="1"/>
    <xf numFmtId="44" fontId="12" fillId="0" borderId="0" xfId="1" applyFont="1"/>
    <xf numFmtId="165" fontId="2" fillId="0" borderId="7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44" fontId="2" fillId="7" borderId="0" xfId="1" applyFont="1" applyFill="1"/>
    <xf numFmtId="44" fontId="23" fillId="0" borderId="0" xfId="1" applyFont="1" applyFill="1"/>
    <xf numFmtId="44" fontId="0" fillId="7" borderId="0" xfId="1" applyFont="1" applyFill="1"/>
    <xf numFmtId="0" fontId="2" fillId="6" borderId="53" xfId="0" applyFont="1" applyFill="1" applyBorder="1"/>
    <xf numFmtId="44" fontId="2" fillId="6" borderId="53" xfId="1" applyFont="1" applyFill="1" applyBorder="1"/>
    <xf numFmtId="164" fontId="2" fillId="0" borderId="8" xfId="0" applyNumberFormat="1" applyFont="1" applyBorder="1" applyAlignment="1">
      <alignment horizontal="center"/>
    </xf>
    <xf numFmtId="16" fontId="2" fillId="0" borderId="0" xfId="0" applyNumberFormat="1" applyFont="1"/>
    <xf numFmtId="44" fontId="2" fillId="3" borderId="58" xfId="1" applyFont="1" applyFill="1" applyBorder="1"/>
    <xf numFmtId="44" fontId="2" fillId="9" borderId="58" xfId="1" applyFont="1" applyFill="1" applyBorder="1"/>
    <xf numFmtId="49" fontId="2" fillId="0" borderId="57" xfId="0" applyNumberFormat="1" applyFont="1" applyFill="1" applyBorder="1"/>
    <xf numFmtId="49" fontId="2" fillId="0" borderId="58" xfId="0" applyNumberFormat="1" applyFont="1" applyFill="1" applyBorder="1" applyAlignment="1">
      <alignment horizontal="center"/>
    </xf>
    <xf numFmtId="44" fontId="2" fillId="0" borderId="58" xfId="1" applyFont="1" applyFill="1" applyBorder="1"/>
    <xf numFmtId="44" fontId="42" fillId="0" borderId="55" xfId="1" applyFont="1" applyBorder="1"/>
    <xf numFmtId="44" fontId="2" fillId="10" borderId="58" xfId="1" applyFont="1" applyFill="1" applyBorder="1"/>
    <xf numFmtId="164" fontId="2" fillId="6" borderId="53" xfId="0" applyNumberFormat="1" applyFont="1" applyFill="1" applyBorder="1"/>
    <xf numFmtId="164" fontId="3" fillId="0" borderId="8" xfId="0" applyNumberFormat="1" applyFont="1" applyBorder="1" applyAlignment="1">
      <alignment horizontal="center"/>
    </xf>
    <xf numFmtId="164" fontId="2" fillId="0" borderId="58" xfId="0" applyNumberFormat="1" applyFont="1" applyFill="1" applyBorder="1"/>
    <xf numFmtId="164" fontId="2" fillId="0" borderId="0" xfId="0" applyNumberFormat="1" applyFont="1"/>
    <xf numFmtId="164" fontId="20" fillId="0" borderId="58" xfId="0" applyNumberFormat="1" applyFont="1" applyFill="1" applyBorder="1"/>
    <xf numFmtId="164" fontId="2" fillId="6" borderId="58" xfId="0" applyNumberFormat="1" applyFont="1" applyFill="1" applyBorder="1"/>
    <xf numFmtId="44" fontId="2" fillId="6" borderId="58" xfId="1" applyFont="1" applyFill="1" applyBorder="1"/>
    <xf numFmtId="44" fontId="2" fillId="11" borderId="58" xfId="1" applyFont="1" applyFill="1" applyBorder="1"/>
    <xf numFmtId="164" fontId="2" fillId="3" borderId="58" xfId="0" applyNumberFormat="1" applyFont="1" applyFill="1" applyBorder="1"/>
    <xf numFmtId="164" fontId="19" fillId="3" borderId="58" xfId="0" applyNumberFormat="1" applyFont="1" applyFill="1" applyBorder="1"/>
    <xf numFmtId="44" fontId="19" fillId="3" borderId="58" xfId="1" applyFont="1" applyFill="1" applyBorder="1"/>
    <xf numFmtId="164" fontId="38" fillId="6" borderId="52" xfId="0" applyNumberFormat="1" applyFont="1" applyFill="1" applyBorder="1" applyAlignment="1">
      <alignment vertical="center"/>
    </xf>
    <xf numFmtId="164" fontId="3" fillId="0" borderId="7" xfId="0" applyNumberFormat="1" applyFont="1" applyBorder="1" applyAlignment="1">
      <alignment horizontal="center"/>
    </xf>
    <xf numFmtId="164" fontId="2" fillId="0" borderId="57" xfId="0" applyNumberFormat="1" applyFont="1" applyFill="1" applyBorder="1"/>
    <xf numFmtId="164" fontId="2" fillId="0" borderId="7" xfId="0" applyNumberFormat="1" applyFont="1" applyBorder="1"/>
    <xf numFmtId="164" fontId="2" fillId="7" borderId="58" xfId="0" applyNumberFormat="1" applyFont="1" applyFill="1" applyBorder="1"/>
    <xf numFmtId="44" fontId="2" fillId="7" borderId="58" xfId="1" applyFont="1" applyFill="1" applyBorder="1"/>
    <xf numFmtId="164" fontId="19" fillId="0" borderId="58" xfId="0" applyNumberFormat="1" applyFont="1" applyFill="1" applyBorder="1"/>
    <xf numFmtId="44" fontId="19" fillId="0" borderId="58" xfId="1" applyFont="1" applyFill="1" applyBorder="1"/>
    <xf numFmtId="44" fontId="19" fillId="11" borderId="58" xfId="1" applyFont="1" applyFill="1" applyBorder="1"/>
    <xf numFmtId="164" fontId="19" fillId="11" borderId="58" xfId="0" applyNumberFormat="1" applyFont="1" applyFill="1" applyBorder="1"/>
    <xf numFmtId="164" fontId="2" fillId="9" borderId="58" xfId="0" applyNumberFormat="1" applyFont="1" applyFill="1" applyBorder="1"/>
    <xf numFmtId="44" fontId="17" fillId="0" borderId="59" xfId="1" applyFont="1" applyFill="1" applyBorder="1"/>
    <xf numFmtId="0" fontId="11" fillId="0" borderId="25" xfId="0" applyFont="1" applyFill="1" applyBorder="1" applyAlignment="1">
      <alignment horizontal="left" wrapText="1"/>
    </xf>
    <xf numFmtId="15" fontId="38" fillId="6" borderId="52" xfId="0" applyNumberFormat="1" applyFont="1" applyFill="1" applyBorder="1" applyAlignment="1">
      <alignment vertical="center"/>
    </xf>
    <xf numFmtId="15" fontId="3" fillId="0" borderId="7" xfId="0" applyNumberFormat="1" applyFont="1" applyBorder="1" applyAlignment="1">
      <alignment horizontal="center"/>
    </xf>
    <xf numFmtId="15" fontId="2" fillId="0" borderId="57" xfId="0" applyNumberFormat="1" applyFont="1" applyFill="1" applyBorder="1"/>
    <xf numFmtId="15" fontId="43" fillId="0" borderId="25" xfId="0" applyNumberFormat="1" applyFont="1" applyFill="1" applyBorder="1" applyAlignment="1">
      <alignment horizontal="center"/>
    </xf>
    <xf numFmtId="15" fontId="43" fillId="6" borderId="25" xfId="0" applyNumberFormat="1" applyFont="1" applyFill="1" applyBorder="1" applyAlignment="1">
      <alignment horizontal="center"/>
    </xf>
    <xf numFmtId="15" fontId="43" fillId="6" borderId="56" xfId="0" applyNumberFormat="1" applyFont="1" applyFill="1" applyBorder="1" applyAlignment="1">
      <alignment horizontal="center"/>
    </xf>
    <xf numFmtId="15" fontId="43" fillId="0" borderId="56" xfId="0" applyNumberFormat="1" applyFont="1" applyBorder="1" applyAlignment="1">
      <alignment horizontal="center"/>
    </xf>
    <xf numFmtId="15" fontId="2" fillId="0" borderId="7" xfId="0" applyNumberFormat="1" applyFont="1" applyBorder="1"/>
    <xf numFmtId="15" fontId="2" fillId="0" borderId="0" xfId="0" applyNumberFormat="1" applyFont="1"/>
    <xf numFmtId="0" fontId="2" fillId="6" borderId="53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27" fillId="7" borderId="25" xfId="0" applyFont="1" applyFill="1" applyBorder="1" applyAlignment="1">
      <alignment horizontal="center"/>
    </xf>
    <xf numFmtId="0" fontId="21" fillId="0" borderId="50" xfId="0" applyFont="1" applyFill="1" applyBorder="1" applyAlignment="1">
      <alignment horizontal="left"/>
    </xf>
    <xf numFmtId="0" fontId="24" fillId="0" borderId="25" xfId="0" applyFont="1" applyFill="1" applyBorder="1" applyAlignment="1">
      <alignment horizontal="center"/>
    </xf>
    <xf numFmtId="164" fontId="2" fillId="10" borderId="58" xfId="0" applyNumberFormat="1" applyFont="1" applyFill="1" applyBorder="1"/>
    <xf numFmtId="164" fontId="45" fillId="0" borderId="58" xfId="0" applyNumberFormat="1" applyFont="1" applyFill="1" applyBorder="1"/>
    <xf numFmtId="44" fontId="45" fillId="0" borderId="58" xfId="1" applyFont="1" applyFill="1" applyBorder="1"/>
    <xf numFmtId="164" fontId="46" fillId="0" borderId="58" xfId="0" applyNumberFormat="1" applyFont="1" applyFill="1" applyBorder="1"/>
    <xf numFmtId="44" fontId="46" fillId="0" borderId="58" xfId="1" applyFont="1" applyFill="1" applyBorder="1"/>
    <xf numFmtId="164" fontId="47" fillId="0" borderId="58" xfId="0" applyNumberFormat="1" applyFont="1" applyFill="1" applyBorder="1"/>
    <xf numFmtId="44" fontId="47" fillId="0" borderId="58" xfId="1" applyFont="1" applyFill="1" applyBorder="1"/>
    <xf numFmtId="0" fontId="0" fillId="0" borderId="0" xfId="0" applyFont="1" applyFill="1"/>
    <xf numFmtId="0" fontId="27" fillId="0" borderId="25" xfId="0" applyFont="1" applyFill="1" applyBorder="1" applyAlignment="1">
      <alignment horizontal="center"/>
    </xf>
    <xf numFmtId="16" fontId="27" fillId="7" borderId="25" xfId="0" applyNumberFormat="1" applyFont="1" applyFill="1" applyBorder="1" applyAlignment="1">
      <alignment horizontal="center" wrapText="1"/>
    </xf>
    <xf numFmtId="49" fontId="3" fillId="0" borderId="0" xfId="0" applyNumberFormat="1" applyFont="1" applyAlignment="1">
      <alignment horizontal="center"/>
    </xf>
    <xf numFmtId="164" fontId="3" fillId="0" borderId="0" xfId="0" applyNumberFormat="1" applyFont="1"/>
    <xf numFmtId="164" fontId="26" fillId="0" borderId="58" xfId="0" applyNumberFormat="1" applyFont="1" applyFill="1" applyBorder="1"/>
    <xf numFmtId="44" fontId="3" fillId="0" borderId="8" xfId="1" applyFont="1" applyBorder="1"/>
    <xf numFmtId="164" fontId="3" fillId="0" borderId="57" xfId="0" applyNumberFormat="1" applyFont="1" applyFill="1" applyBorder="1"/>
    <xf numFmtId="49" fontId="3" fillId="0" borderId="58" xfId="0" applyNumberFormat="1" applyFont="1" applyFill="1" applyBorder="1" applyAlignment="1">
      <alignment horizontal="center"/>
    </xf>
    <xf numFmtId="44" fontId="3" fillId="0" borderId="58" xfId="1" applyFont="1" applyFill="1" applyBorder="1"/>
    <xf numFmtId="44" fontId="48" fillId="0" borderId="58" xfId="1" applyFont="1" applyFill="1" applyBorder="1"/>
    <xf numFmtId="44" fontId="48" fillId="0" borderId="0" xfId="1" applyFont="1"/>
    <xf numFmtId="164" fontId="49" fillId="0" borderId="58" xfId="0" applyNumberFormat="1" applyFont="1" applyFill="1" applyBorder="1"/>
    <xf numFmtId="44" fontId="50" fillId="0" borderId="0" xfId="1" applyFont="1"/>
    <xf numFmtId="44" fontId="51" fillId="0" borderId="0" xfId="1" applyFont="1"/>
    <xf numFmtId="0" fontId="27" fillId="0" borderId="2" xfId="0" applyFont="1" applyFill="1" applyBorder="1" applyAlignment="1">
      <alignment horizontal="center"/>
    </xf>
    <xf numFmtId="15" fontId="2" fillId="0" borderId="28" xfId="0" applyNumberFormat="1" applyFont="1" applyFill="1" applyBorder="1"/>
    <xf numFmtId="0" fontId="0" fillId="0" borderId="25" xfId="0" applyFill="1" applyBorder="1"/>
    <xf numFmtId="15" fontId="2" fillId="0" borderId="53" xfId="0" applyNumberFormat="1" applyFont="1" applyFill="1" applyBorder="1"/>
    <xf numFmtId="164" fontId="2" fillId="0" borderId="61" xfId="0" applyNumberFormat="1" applyFont="1" applyFill="1" applyBorder="1" applyAlignment="1">
      <alignment horizontal="center"/>
    </xf>
    <xf numFmtId="164" fontId="3" fillId="0" borderId="62" xfId="0" applyNumberFormat="1" applyFont="1" applyFill="1" applyBorder="1"/>
    <xf numFmtId="49" fontId="3" fillId="0" borderId="63" xfId="0" applyNumberFormat="1" applyFont="1" applyFill="1" applyBorder="1" applyAlignment="1">
      <alignment horizontal="center"/>
    </xf>
    <xf numFmtId="44" fontId="3" fillId="0" borderId="63" xfId="1" applyFont="1" applyFill="1" applyBorder="1"/>
    <xf numFmtId="164" fontId="2" fillId="0" borderId="63" xfId="0" applyNumberFormat="1" applyFont="1" applyFill="1" applyBorder="1"/>
    <xf numFmtId="164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/>
    <xf numFmtId="49" fontId="2" fillId="0" borderId="25" xfId="0" applyNumberFormat="1" applyFont="1" applyFill="1" applyBorder="1" applyAlignment="1">
      <alignment horizontal="center"/>
    </xf>
    <xf numFmtId="16" fontId="27" fillId="0" borderId="25" xfId="0" applyNumberFormat="1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5" fillId="0" borderId="0" xfId="1" applyFont="1" applyBorder="1" applyAlignment="1">
      <alignment horizontal="center"/>
    </xf>
    <xf numFmtId="44" fontId="5" fillId="0" borderId="4" xfId="1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44" fontId="44" fillId="8" borderId="1" xfId="1" applyFont="1" applyFill="1" applyBorder="1" applyAlignment="1">
      <alignment horizontal="center" wrapText="1"/>
    </xf>
    <xf numFmtId="44" fontId="44" fillId="8" borderId="3" xfId="1" applyFont="1" applyFill="1" applyBorder="1" applyAlignment="1">
      <alignment horizontal="center" wrapText="1"/>
    </xf>
    <xf numFmtId="0" fontId="32" fillId="0" borderId="49" xfId="0" applyFont="1" applyBorder="1" applyAlignment="1">
      <alignment horizontal="center"/>
    </xf>
    <xf numFmtId="0" fontId="32" fillId="0" borderId="50" xfId="0" applyFont="1" applyBorder="1" applyAlignment="1">
      <alignment horizontal="center"/>
    </xf>
    <xf numFmtId="44" fontId="12" fillId="3" borderId="13" xfId="1" applyFont="1" applyFill="1" applyBorder="1" applyAlignment="1">
      <alignment horizontal="center"/>
    </xf>
    <xf numFmtId="44" fontId="12" fillId="3" borderId="51" xfId="1" applyFont="1" applyFill="1" applyBorder="1" applyAlignment="1">
      <alignment horizontal="center"/>
    </xf>
    <xf numFmtId="166" fontId="12" fillId="3" borderId="51" xfId="1" applyNumberFormat="1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44" fontId="14" fillId="0" borderId="35" xfId="1" applyFont="1" applyFill="1" applyBorder="1" applyAlignment="1">
      <alignment horizontal="center" vertical="center"/>
    </xf>
    <xf numFmtId="44" fontId="14" fillId="0" borderId="37" xfId="1" applyFont="1" applyFill="1" applyBorder="1" applyAlignment="1">
      <alignment horizontal="center" vertical="center"/>
    </xf>
    <xf numFmtId="44" fontId="14" fillId="0" borderId="36" xfId="1" applyFont="1" applyFill="1" applyBorder="1" applyAlignment="1">
      <alignment horizontal="center" vertical="center"/>
    </xf>
    <xf numFmtId="44" fontId="14" fillId="0" borderId="38" xfId="1" applyFont="1" applyFill="1" applyBorder="1" applyAlignment="1">
      <alignment horizontal="center" vertical="center"/>
    </xf>
    <xf numFmtId="166" fontId="11" fillId="0" borderId="26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/>
    </xf>
    <xf numFmtId="0" fontId="11" fillId="0" borderId="50" xfId="0" applyFont="1" applyBorder="1" applyAlignment="1">
      <alignment horizontal="center"/>
    </xf>
    <xf numFmtId="167" fontId="12" fillId="0" borderId="7" xfId="1" applyNumberFormat="1" applyFont="1" applyFill="1" applyBorder="1" applyAlignment="1">
      <alignment horizontal="center" vertical="center" wrapText="1"/>
    </xf>
    <xf numFmtId="167" fontId="12" fillId="0" borderId="16" xfId="1" applyNumberFormat="1" applyFont="1" applyFill="1" applyBorder="1" applyAlignment="1">
      <alignment horizontal="center" vertical="center" wrapText="1"/>
    </xf>
    <xf numFmtId="166" fontId="11" fillId="0" borderId="0" xfId="0" applyNumberFormat="1" applyFont="1" applyAlignment="1">
      <alignment horizontal="center" vertical="center" wrapText="1"/>
    </xf>
    <xf numFmtId="166" fontId="19" fillId="0" borderId="0" xfId="0" applyNumberFormat="1" applyFont="1" applyAlignment="1">
      <alignment horizontal="center" vertical="center" wrapText="1"/>
    </xf>
    <xf numFmtId="44" fontId="11" fillId="0" borderId="26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 vertical="center" wrapText="1"/>
    </xf>
    <xf numFmtId="44" fontId="12" fillId="0" borderId="49" xfId="1" applyFont="1" applyBorder="1" applyAlignment="1">
      <alignment horizontal="center"/>
    </xf>
    <xf numFmtId="44" fontId="12" fillId="0" borderId="50" xfId="1" applyFont="1" applyBorder="1" applyAlignment="1">
      <alignment horizontal="center"/>
    </xf>
    <xf numFmtId="44" fontId="13" fillId="0" borderId="26" xfId="1" applyFont="1" applyBorder="1" applyAlignment="1">
      <alignment horizontal="center"/>
    </xf>
    <xf numFmtId="44" fontId="13" fillId="0" borderId="49" xfId="1" applyFont="1" applyBorder="1" applyAlignment="1">
      <alignment horizontal="center"/>
    </xf>
    <xf numFmtId="44" fontId="14" fillId="0" borderId="60" xfId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66CC"/>
      <color rgb="FF99FF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S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18" ht="23.25" x14ac:dyDescent="0.35">
      <c r="B1" s="274"/>
      <c r="C1" s="276" t="s">
        <v>28</v>
      </c>
      <c r="D1" s="277"/>
      <c r="E1" s="277"/>
      <c r="F1" s="277"/>
      <c r="G1" s="277"/>
      <c r="H1" s="277"/>
      <c r="I1" s="277"/>
      <c r="J1" s="277"/>
      <c r="K1" s="277"/>
      <c r="L1" s="277"/>
      <c r="M1" s="277"/>
    </row>
    <row r="2" spans="1:18" ht="16.5" thickBot="1" x14ac:dyDescent="0.3">
      <c r="B2" s="275"/>
      <c r="C2" s="3"/>
      <c r="H2" s="5"/>
      <c r="I2" s="6"/>
      <c r="J2" s="7"/>
      <c r="L2" s="8"/>
      <c r="M2" s="6"/>
      <c r="N2" s="9"/>
    </row>
    <row r="3" spans="1:18" ht="21.75" thickBot="1" x14ac:dyDescent="0.35">
      <c r="B3" s="278" t="s">
        <v>0</v>
      </c>
      <c r="C3" s="279"/>
      <c r="D3" s="10"/>
      <c r="E3" s="11"/>
      <c r="F3" s="11"/>
      <c r="H3" s="280" t="s">
        <v>1</v>
      </c>
      <c r="I3" s="280"/>
      <c r="K3" s="13"/>
      <c r="L3" s="13"/>
      <c r="M3" s="14"/>
      <c r="R3" s="285" t="s">
        <v>38</v>
      </c>
    </row>
    <row r="4" spans="1:18" ht="20.25" thickTop="1" thickBot="1" x14ac:dyDescent="0.35">
      <c r="A4" s="15" t="s">
        <v>2</v>
      </c>
      <c r="B4" s="16"/>
      <c r="C4" s="17">
        <v>221059.7</v>
      </c>
      <c r="D4" s="18">
        <v>44563</v>
      </c>
      <c r="E4" s="281" t="s">
        <v>3</v>
      </c>
      <c r="F4" s="282"/>
      <c r="H4" s="283" t="s">
        <v>4</v>
      </c>
      <c r="I4" s="284"/>
      <c r="J4" s="19"/>
      <c r="K4" s="20"/>
      <c r="L4" s="21"/>
      <c r="M4" s="22" t="s">
        <v>5</v>
      </c>
      <c r="N4" s="23" t="s">
        <v>6</v>
      </c>
      <c r="P4" s="292" t="s">
        <v>7</v>
      </c>
      <c r="Q4" s="293"/>
      <c r="R4" s="286"/>
    </row>
    <row r="5" spans="1:18" ht="18" thickBot="1" x14ac:dyDescent="0.35">
      <c r="A5" s="24" t="s">
        <v>8</v>
      </c>
      <c r="B5" s="25">
        <v>44564</v>
      </c>
      <c r="C5" s="26">
        <v>0</v>
      </c>
      <c r="D5" s="27"/>
      <c r="E5" s="28">
        <v>44564</v>
      </c>
      <c r="F5" s="29">
        <v>68050</v>
      </c>
      <c r="G5" s="2"/>
      <c r="H5" s="30">
        <v>44564</v>
      </c>
      <c r="I5" s="31">
        <v>45</v>
      </c>
      <c r="J5" s="7">
        <v>44564</v>
      </c>
      <c r="K5" s="183" t="s">
        <v>29</v>
      </c>
      <c r="L5" s="9">
        <v>10000</v>
      </c>
      <c r="M5" s="32">
        <f>30800+25622</f>
        <v>56422</v>
      </c>
      <c r="N5" s="33">
        <v>1583</v>
      </c>
      <c r="O5" s="2"/>
      <c r="P5" s="34">
        <f>N5+M5+L5+I5+C5</f>
        <v>68050</v>
      </c>
      <c r="Q5" s="13">
        <f>P5-F5</f>
        <v>0</v>
      </c>
      <c r="R5" s="9"/>
    </row>
    <row r="6" spans="1:18" ht="18" thickBot="1" x14ac:dyDescent="0.35">
      <c r="A6" s="24"/>
      <c r="B6" s="25">
        <v>44565</v>
      </c>
      <c r="C6" s="26">
        <v>0</v>
      </c>
      <c r="D6" s="36"/>
      <c r="E6" s="28">
        <v>44565</v>
      </c>
      <c r="F6" s="29">
        <v>50460</v>
      </c>
      <c r="G6" s="2"/>
      <c r="H6" s="37">
        <v>44565</v>
      </c>
      <c r="I6" s="31">
        <v>8</v>
      </c>
      <c r="J6" s="38"/>
      <c r="K6" s="39"/>
      <c r="L6" s="40"/>
      <c r="M6" s="32">
        <f>25000+30830</f>
        <v>55830</v>
      </c>
      <c r="N6" s="33">
        <v>1112</v>
      </c>
      <c r="O6" s="2"/>
      <c r="P6" s="34">
        <f t="shared" ref="P6:P39" si="0">N6+M6+L6+I6+C6</f>
        <v>56950</v>
      </c>
      <c r="Q6" s="13">
        <v>0</v>
      </c>
      <c r="R6" s="186">
        <v>6490</v>
      </c>
    </row>
    <row r="7" spans="1:18" ht="18" thickBot="1" x14ac:dyDescent="0.35">
      <c r="A7" s="24"/>
      <c r="B7" s="25">
        <v>44566</v>
      </c>
      <c r="C7" s="26">
        <v>7168</v>
      </c>
      <c r="D7" s="41" t="s">
        <v>30</v>
      </c>
      <c r="E7" s="28">
        <v>44566</v>
      </c>
      <c r="F7" s="29">
        <v>41273</v>
      </c>
      <c r="G7" s="2"/>
      <c r="H7" s="37">
        <v>44566</v>
      </c>
      <c r="I7" s="31">
        <v>30</v>
      </c>
      <c r="J7" s="38"/>
      <c r="K7" s="42"/>
      <c r="L7" s="40"/>
      <c r="M7" s="32">
        <f>15000+21355</f>
        <v>36355</v>
      </c>
      <c r="N7" s="33">
        <v>672</v>
      </c>
      <c r="O7" s="2"/>
      <c r="P7" s="34">
        <f t="shared" si="0"/>
        <v>44225</v>
      </c>
      <c r="Q7" s="9">
        <v>36</v>
      </c>
      <c r="R7" s="184">
        <v>2916</v>
      </c>
    </row>
    <row r="8" spans="1:18" ht="18" thickBot="1" x14ac:dyDescent="0.35">
      <c r="A8" s="24"/>
      <c r="B8" s="25">
        <v>44567</v>
      </c>
      <c r="C8" s="26">
        <v>90</v>
      </c>
      <c r="D8" s="41" t="s">
        <v>31</v>
      </c>
      <c r="E8" s="28">
        <v>44567</v>
      </c>
      <c r="F8" s="29">
        <v>55064</v>
      </c>
      <c r="G8" s="2"/>
      <c r="H8" s="37">
        <v>44567</v>
      </c>
      <c r="I8" s="31">
        <v>0</v>
      </c>
      <c r="J8" s="44"/>
      <c r="K8" s="45"/>
      <c r="L8" s="40"/>
      <c r="M8" s="32">
        <f>20000+34920</f>
        <v>54920</v>
      </c>
      <c r="N8" s="33">
        <v>55</v>
      </c>
      <c r="O8" s="2"/>
      <c r="P8" s="34">
        <f t="shared" si="0"/>
        <v>55065</v>
      </c>
      <c r="Q8" s="9">
        <f t="shared" ref="Q8:Q39" si="1">P8-F8</f>
        <v>1</v>
      </c>
      <c r="R8" s="9"/>
    </row>
    <row r="9" spans="1:18" ht="18" thickBot="1" x14ac:dyDescent="0.35">
      <c r="A9" s="24"/>
      <c r="B9" s="25">
        <v>44568</v>
      </c>
      <c r="C9" s="26">
        <v>5363</v>
      </c>
      <c r="D9" s="41" t="s">
        <v>32</v>
      </c>
      <c r="E9" s="28">
        <v>44568</v>
      </c>
      <c r="F9" s="29">
        <v>79746</v>
      </c>
      <c r="G9" s="2"/>
      <c r="H9" s="37">
        <v>44568</v>
      </c>
      <c r="I9" s="31">
        <v>43</v>
      </c>
      <c r="J9" s="38"/>
      <c r="K9" s="46"/>
      <c r="L9" s="40"/>
      <c r="M9" s="32">
        <f>20000+53830</f>
        <v>73830</v>
      </c>
      <c r="N9" s="33">
        <v>509</v>
      </c>
      <c r="O9" s="2"/>
      <c r="P9" s="34">
        <f>N9+M9+L9+I9+C9</f>
        <v>79745</v>
      </c>
      <c r="Q9" s="43">
        <f>P9-F9</f>
        <v>-1</v>
      </c>
      <c r="R9" s="8"/>
    </row>
    <row r="10" spans="1:18" ht="18" thickBot="1" x14ac:dyDescent="0.35">
      <c r="A10" s="24"/>
      <c r="B10" s="25">
        <v>44569</v>
      </c>
      <c r="C10" s="26">
        <v>27</v>
      </c>
      <c r="D10" s="36" t="s">
        <v>34</v>
      </c>
      <c r="E10" s="28">
        <v>44569</v>
      </c>
      <c r="F10" s="29">
        <v>63188</v>
      </c>
      <c r="G10" s="2"/>
      <c r="H10" s="37">
        <v>44569</v>
      </c>
      <c r="I10" s="31">
        <v>15</v>
      </c>
      <c r="J10" s="38">
        <v>44569</v>
      </c>
      <c r="K10" s="47" t="s">
        <v>33</v>
      </c>
      <c r="L10" s="48">
        <v>6400</v>
      </c>
      <c r="M10" s="32">
        <f>20000+29870</f>
        <v>49870</v>
      </c>
      <c r="N10" s="33">
        <v>6874</v>
      </c>
      <c r="O10" s="2"/>
      <c r="P10" s="34">
        <f t="shared" si="0"/>
        <v>63186</v>
      </c>
      <c r="Q10" s="61">
        <f t="shared" si="1"/>
        <v>-2</v>
      </c>
      <c r="R10" s="9"/>
    </row>
    <row r="11" spans="1:18" ht="18" thickBot="1" x14ac:dyDescent="0.35">
      <c r="A11" s="24"/>
      <c r="B11" s="25">
        <v>44570</v>
      </c>
      <c r="C11" s="26">
        <v>9763</v>
      </c>
      <c r="D11" s="36" t="s">
        <v>35</v>
      </c>
      <c r="E11" s="28">
        <v>44570</v>
      </c>
      <c r="F11" s="29">
        <v>90713</v>
      </c>
      <c r="G11" s="2"/>
      <c r="H11" s="37">
        <v>44570</v>
      </c>
      <c r="I11" s="31">
        <v>0</v>
      </c>
      <c r="J11" s="44"/>
      <c r="K11" s="49"/>
      <c r="L11" s="40"/>
      <c r="M11" s="32">
        <f>63000+17900</f>
        <v>80900</v>
      </c>
      <c r="N11" s="33">
        <v>50</v>
      </c>
      <c r="O11" s="2"/>
      <c r="P11" s="34">
        <f>N11+M11+L11+I11+C11</f>
        <v>90713</v>
      </c>
      <c r="Q11" s="13">
        <f t="shared" si="1"/>
        <v>0</v>
      </c>
      <c r="R11" s="8"/>
    </row>
    <row r="12" spans="1:18" ht="18" thickBot="1" x14ac:dyDescent="0.35">
      <c r="A12" s="24"/>
      <c r="B12" s="25">
        <v>44571</v>
      </c>
      <c r="C12" s="26">
        <v>0</v>
      </c>
      <c r="D12" s="36"/>
      <c r="E12" s="28">
        <v>44571</v>
      </c>
      <c r="F12" s="29">
        <v>43731</v>
      </c>
      <c r="G12" s="2"/>
      <c r="H12" s="37">
        <v>44571</v>
      </c>
      <c r="I12" s="31">
        <v>56</v>
      </c>
      <c r="J12" s="38"/>
      <c r="K12" s="50"/>
      <c r="L12" s="40"/>
      <c r="M12" s="32">
        <f>34795+8300</f>
        <v>43095</v>
      </c>
      <c r="N12" s="33">
        <v>580</v>
      </c>
      <c r="O12" s="2"/>
      <c r="P12" s="34">
        <f t="shared" si="0"/>
        <v>43731</v>
      </c>
      <c r="Q12" s="9">
        <f t="shared" si="1"/>
        <v>0</v>
      </c>
      <c r="R12" s="8"/>
    </row>
    <row r="13" spans="1:18" ht="18" thickBot="1" x14ac:dyDescent="0.35">
      <c r="A13" s="24"/>
      <c r="B13" s="25">
        <v>44572</v>
      </c>
      <c r="C13" s="26">
        <v>828</v>
      </c>
      <c r="D13" s="41" t="s">
        <v>36</v>
      </c>
      <c r="E13" s="28">
        <v>44572</v>
      </c>
      <c r="F13" s="29">
        <v>34119</v>
      </c>
      <c r="G13" s="2"/>
      <c r="H13" s="37">
        <v>44572</v>
      </c>
      <c r="I13" s="31">
        <v>115</v>
      </c>
      <c r="J13" s="38"/>
      <c r="K13" s="39"/>
      <c r="L13" s="40"/>
      <c r="M13" s="32">
        <f>18176+15000</f>
        <v>33176</v>
      </c>
      <c r="N13" s="33">
        <v>0</v>
      </c>
      <c r="O13" s="2"/>
      <c r="P13" s="34">
        <f t="shared" si="0"/>
        <v>34119</v>
      </c>
      <c r="Q13" s="13">
        <f t="shared" si="1"/>
        <v>0</v>
      </c>
      <c r="R13" s="185"/>
    </row>
    <row r="14" spans="1:18" ht="18" thickBot="1" x14ac:dyDescent="0.35">
      <c r="A14" s="24"/>
      <c r="B14" s="25">
        <v>44573</v>
      </c>
      <c r="C14" s="26">
        <v>6439</v>
      </c>
      <c r="D14" s="51" t="s">
        <v>37</v>
      </c>
      <c r="E14" s="28">
        <v>44573</v>
      </c>
      <c r="F14" s="29">
        <v>46352</v>
      </c>
      <c r="G14" s="2"/>
      <c r="H14" s="37">
        <v>44573</v>
      </c>
      <c r="I14" s="31">
        <v>21</v>
      </c>
      <c r="J14" s="38"/>
      <c r="K14" s="45"/>
      <c r="L14" s="40"/>
      <c r="M14" s="32">
        <v>38040</v>
      </c>
      <c r="N14" s="33">
        <v>1851</v>
      </c>
      <c r="O14" s="2"/>
      <c r="P14" s="34">
        <f t="shared" si="0"/>
        <v>46351</v>
      </c>
      <c r="Q14" s="61">
        <f t="shared" si="1"/>
        <v>-1</v>
      </c>
      <c r="R14" s="185"/>
    </row>
    <row r="15" spans="1:18" ht="18" thickBot="1" x14ac:dyDescent="0.35">
      <c r="A15" s="24"/>
      <c r="B15" s="25">
        <v>44574</v>
      </c>
      <c r="C15" s="26">
        <v>2170</v>
      </c>
      <c r="D15" s="51" t="s">
        <v>39</v>
      </c>
      <c r="E15" s="28">
        <v>44574</v>
      </c>
      <c r="F15" s="29">
        <v>42374</v>
      </c>
      <c r="G15" s="2"/>
      <c r="H15" s="37">
        <v>44574</v>
      </c>
      <c r="I15" s="31">
        <v>57</v>
      </c>
      <c r="J15" s="38"/>
      <c r="K15" s="45"/>
      <c r="L15" s="40"/>
      <c r="M15" s="32">
        <f>34920+5000</f>
        <v>39920</v>
      </c>
      <c r="N15" s="33">
        <v>225</v>
      </c>
      <c r="P15" s="34">
        <f t="shared" si="0"/>
        <v>42372</v>
      </c>
      <c r="Q15" s="61">
        <f t="shared" si="1"/>
        <v>-2</v>
      </c>
      <c r="R15" s="8"/>
    </row>
    <row r="16" spans="1:18" ht="18" thickBot="1" x14ac:dyDescent="0.35">
      <c r="A16" s="24"/>
      <c r="B16" s="25">
        <v>44575</v>
      </c>
      <c r="C16" s="26">
        <v>1224</v>
      </c>
      <c r="D16" s="36" t="s">
        <v>40</v>
      </c>
      <c r="E16" s="28">
        <v>44575</v>
      </c>
      <c r="F16" s="29">
        <v>87386</v>
      </c>
      <c r="G16" s="2"/>
      <c r="H16" s="37">
        <v>44575</v>
      </c>
      <c r="I16" s="31">
        <v>36</v>
      </c>
      <c r="J16" s="38"/>
      <c r="K16" s="45"/>
      <c r="L16" s="9"/>
      <c r="M16" s="32">
        <f>46030+40000</f>
        <v>86030</v>
      </c>
      <c r="N16" s="33">
        <v>100</v>
      </c>
      <c r="P16" s="34">
        <f t="shared" si="0"/>
        <v>87390</v>
      </c>
      <c r="Q16" s="9">
        <f t="shared" si="1"/>
        <v>4</v>
      </c>
      <c r="R16" s="8"/>
    </row>
    <row r="17" spans="1:19" ht="18" thickBot="1" x14ac:dyDescent="0.35">
      <c r="A17" s="24"/>
      <c r="B17" s="25">
        <v>44576</v>
      </c>
      <c r="C17" s="26">
        <v>0</v>
      </c>
      <c r="D17" s="41"/>
      <c r="E17" s="28">
        <v>44576</v>
      </c>
      <c r="F17" s="29">
        <v>56164</v>
      </c>
      <c r="G17" s="2"/>
      <c r="H17" s="37">
        <v>44576</v>
      </c>
      <c r="I17" s="31">
        <v>59</v>
      </c>
      <c r="J17" s="38">
        <v>44576</v>
      </c>
      <c r="K17" s="52" t="s">
        <v>41</v>
      </c>
      <c r="L17" s="48">
        <v>5757.14</v>
      </c>
      <c r="M17" s="32">
        <f>10000+5000+25250+763</f>
        <v>41013</v>
      </c>
      <c r="N17" s="33">
        <v>9335</v>
      </c>
      <c r="P17" s="34">
        <f t="shared" si="0"/>
        <v>56164.14</v>
      </c>
      <c r="Q17" s="13">
        <f t="shared" si="1"/>
        <v>0.13999999999941792</v>
      </c>
      <c r="R17" s="8"/>
    </row>
    <row r="18" spans="1:19" ht="18" thickBot="1" x14ac:dyDescent="0.35">
      <c r="A18" s="24"/>
      <c r="B18" s="25">
        <v>44577</v>
      </c>
      <c r="C18" s="26">
        <v>2717</v>
      </c>
      <c r="D18" s="36" t="s">
        <v>42</v>
      </c>
      <c r="E18" s="28">
        <v>44577</v>
      </c>
      <c r="F18" s="29">
        <v>77890</v>
      </c>
      <c r="G18" s="2"/>
      <c r="H18" s="37">
        <v>44577</v>
      </c>
      <c r="I18" s="31">
        <v>57</v>
      </c>
      <c r="J18" s="38"/>
      <c r="K18" s="53"/>
      <c r="L18" s="40"/>
      <c r="M18" s="32">
        <f>55000+19596</f>
        <v>74596</v>
      </c>
      <c r="N18" s="33">
        <v>520</v>
      </c>
      <c r="P18" s="34">
        <f t="shared" si="0"/>
        <v>77890</v>
      </c>
      <c r="Q18" s="9">
        <f t="shared" si="1"/>
        <v>0</v>
      </c>
      <c r="R18" s="8"/>
    </row>
    <row r="19" spans="1:19" ht="18" thickBot="1" x14ac:dyDescent="0.35">
      <c r="A19" s="24"/>
      <c r="B19" s="25">
        <v>44578</v>
      </c>
      <c r="C19" s="26">
        <v>0</v>
      </c>
      <c r="D19" s="36"/>
      <c r="E19" s="28">
        <v>44578</v>
      </c>
      <c r="F19" s="29">
        <v>37491</v>
      </c>
      <c r="G19" s="2"/>
      <c r="H19" s="37">
        <v>44578</v>
      </c>
      <c r="I19" s="31">
        <v>36</v>
      </c>
      <c r="J19" s="38"/>
      <c r="K19" s="54"/>
      <c r="L19" s="55"/>
      <c r="M19" s="32">
        <f>30302+6400</f>
        <v>36702</v>
      </c>
      <c r="N19" s="33">
        <v>753</v>
      </c>
      <c r="P19" s="34">
        <f t="shared" si="0"/>
        <v>37491</v>
      </c>
      <c r="Q19" s="9">
        <f t="shared" si="1"/>
        <v>0</v>
      </c>
      <c r="R19" s="8"/>
    </row>
    <row r="20" spans="1:19" ht="18" thickBot="1" x14ac:dyDescent="0.35">
      <c r="A20" s="24"/>
      <c r="B20" s="25">
        <v>44579</v>
      </c>
      <c r="C20" s="26">
        <v>0</v>
      </c>
      <c r="D20" s="36"/>
      <c r="E20" s="28">
        <v>44579</v>
      </c>
      <c r="F20" s="29">
        <v>39151</v>
      </c>
      <c r="G20" s="2"/>
      <c r="H20" s="37">
        <v>44579</v>
      </c>
      <c r="I20" s="31">
        <v>51</v>
      </c>
      <c r="J20" s="38"/>
      <c r="K20" s="56"/>
      <c r="L20" s="48"/>
      <c r="M20" s="32">
        <f>33450+5000</f>
        <v>38450</v>
      </c>
      <c r="N20" s="33">
        <v>649</v>
      </c>
      <c r="P20" s="34">
        <f t="shared" si="0"/>
        <v>39150</v>
      </c>
      <c r="Q20" s="43">
        <f t="shared" si="1"/>
        <v>-1</v>
      </c>
      <c r="R20" s="8"/>
    </row>
    <row r="21" spans="1:19" ht="18" thickBot="1" x14ac:dyDescent="0.35">
      <c r="A21" s="24"/>
      <c r="B21" s="25">
        <v>44580</v>
      </c>
      <c r="C21" s="26">
        <v>22</v>
      </c>
      <c r="D21" s="36" t="s">
        <v>34</v>
      </c>
      <c r="E21" s="28">
        <v>44580</v>
      </c>
      <c r="F21" s="29">
        <v>39601</v>
      </c>
      <c r="G21" s="2"/>
      <c r="H21" s="37">
        <v>44580</v>
      </c>
      <c r="I21" s="31">
        <v>30</v>
      </c>
      <c r="J21" s="38"/>
      <c r="K21" s="57"/>
      <c r="L21" s="48"/>
      <c r="M21" s="32">
        <f>10000+28900</f>
        <v>38900</v>
      </c>
      <c r="N21" s="33">
        <v>647</v>
      </c>
      <c r="P21" s="34">
        <f t="shared" si="0"/>
        <v>39599</v>
      </c>
      <c r="Q21" s="61">
        <f t="shared" si="1"/>
        <v>-2</v>
      </c>
      <c r="R21" s="8"/>
    </row>
    <row r="22" spans="1:19" ht="18" thickBot="1" x14ac:dyDescent="0.35">
      <c r="A22" s="24"/>
      <c r="B22" s="25">
        <v>44581</v>
      </c>
      <c r="C22" s="26">
        <v>0</v>
      </c>
      <c r="D22" s="36"/>
      <c r="E22" s="28">
        <v>44581</v>
      </c>
      <c r="F22" s="29">
        <v>38741</v>
      </c>
      <c r="G22" s="2"/>
      <c r="H22" s="37">
        <v>44581</v>
      </c>
      <c r="I22" s="31">
        <v>0</v>
      </c>
      <c r="J22" s="38"/>
      <c r="K22" s="35"/>
      <c r="L22" s="58"/>
      <c r="M22" s="32">
        <f>10000+28750</f>
        <v>38750</v>
      </c>
      <c r="N22" s="33">
        <v>0</v>
      </c>
      <c r="P22" s="34">
        <f t="shared" si="0"/>
        <v>38750</v>
      </c>
      <c r="Q22" s="13">
        <f t="shared" si="1"/>
        <v>9</v>
      </c>
      <c r="R22" s="8"/>
    </row>
    <row r="23" spans="1:19" ht="18" thickBot="1" x14ac:dyDescent="0.35">
      <c r="A23" s="24"/>
      <c r="B23" s="25">
        <v>44582</v>
      </c>
      <c r="C23" s="26">
        <v>13341</v>
      </c>
      <c r="D23" s="36" t="s">
        <v>43</v>
      </c>
      <c r="E23" s="28">
        <v>44582</v>
      </c>
      <c r="F23" s="29">
        <v>86099</v>
      </c>
      <c r="G23" s="2"/>
      <c r="H23" s="37">
        <v>44582</v>
      </c>
      <c r="I23" s="31">
        <v>39</v>
      </c>
      <c r="J23" s="59"/>
      <c r="K23" s="60"/>
      <c r="L23" s="48"/>
      <c r="M23" s="32">
        <f>30000+42720</f>
        <v>72720</v>
      </c>
      <c r="N23" s="33">
        <v>0</v>
      </c>
      <c r="P23" s="34">
        <f t="shared" si="0"/>
        <v>86100</v>
      </c>
      <c r="Q23" s="13">
        <f t="shared" si="1"/>
        <v>1</v>
      </c>
      <c r="R23" s="8"/>
    </row>
    <row r="24" spans="1:19" ht="18" thickBot="1" x14ac:dyDescent="0.35">
      <c r="A24" s="24"/>
      <c r="B24" s="25">
        <v>44583</v>
      </c>
      <c r="C24" s="26">
        <v>2740</v>
      </c>
      <c r="D24" s="41" t="s">
        <v>44</v>
      </c>
      <c r="E24" s="28">
        <v>44583</v>
      </c>
      <c r="F24" s="29">
        <v>69549</v>
      </c>
      <c r="G24" s="2"/>
      <c r="H24" s="37">
        <v>44583</v>
      </c>
      <c r="I24" s="31">
        <v>100</v>
      </c>
      <c r="J24" s="181">
        <v>44583</v>
      </c>
      <c r="K24" s="62" t="s">
        <v>45</v>
      </c>
      <c r="L24" s="63">
        <v>8417</v>
      </c>
      <c r="M24" s="32">
        <f>39390+10000</f>
        <v>49390</v>
      </c>
      <c r="N24" s="33">
        <v>8900</v>
      </c>
      <c r="P24" s="34">
        <f t="shared" si="0"/>
        <v>69547</v>
      </c>
      <c r="Q24" s="61">
        <f t="shared" si="1"/>
        <v>-2</v>
      </c>
      <c r="R24" s="8"/>
    </row>
    <row r="25" spans="1:19" ht="18" thickBot="1" x14ac:dyDescent="0.35">
      <c r="A25" s="24"/>
      <c r="B25" s="25">
        <v>44584</v>
      </c>
      <c r="C25" s="26">
        <v>1083</v>
      </c>
      <c r="D25" s="36" t="s">
        <v>46</v>
      </c>
      <c r="E25" s="28">
        <v>44584</v>
      </c>
      <c r="F25" s="29">
        <v>85933</v>
      </c>
      <c r="G25" s="2"/>
      <c r="H25" s="37">
        <v>44584</v>
      </c>
      <c r="I25" s="31">
        <v>229</v>
      </c>
      <c r="J25" s="64"/>
      <c r="K25" s="65"/>
      <c r="L25" s="66"/>
      <c r="M25" s="32">
        <f>50000+20000+13948</f>
        <v>83948</v>
      </c>
      <c r="N25" s="33">
        <v>673</v>
      </c>
      <c r="O25" t="s">
        <v>8</v>
      </c>
      <c r="P25" s="34">
        <f t="shared" si="0"/>
        <v>85933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44585</v>
      </c>
      <c r="C26" s="26">
        <v>0</v>
      </c>
      <c r="D26" s="36"/>
      <c r="E26" s="28">
        <v>44585</v>
      </c>
      <c r="F26" s="29">
        <v>42010</v>
      </c>
      <c r="G26" s="2"/>
      <c r="H26" s="37">
        <v>44585</v>
      </c>
      <c r="I26" s="31">
        <v>78</v>
      </c>
      <c r="J26" s="38"/>
      <c r="K26" s="62"/>
      <c r="L26" s="48"/>
      <c r="M26" s="32">
        <f>25375+16400</f>
        <v>41775</v>
      </c>
      <c r="N26" s="33">
        <v>157</v>
      </c>
      <c r="P26" s="34">
        <f t="shared" si="0"/>
        <v>42010</v>
      </c>
      <c r="Q26" s="13">
        <f t="shared" si="1"/>
        <v>0</v>
      </c>
      <c r="R26" s="9"/>
    </row>
    <row r="27" spans="1:19" ht="18" thickBot="1" x14ac:dyDescent="0.35">
      <c r="A27" s="24"/>
      <c r="B27" s="25">
        <v>44586</v>
      </c>
      <c r="C27" s="26">
        <v>0</v>
      </c>
      <c r="D27" s="41"/>
      <c r="E27" s="28">
        <v>44586</v>
      </c>
      <c r="F27" s="29">
        <v>38607</v>
      </c>
      <c r="G27" s="2"/>
      <c r="H27" s="37">
        <v>44586</v>
      </c>
      <c r="I27" s="31">
        <v>32</v>
      </c>
      <c r="J27" s="67"/>
      <c r="K27" s="68"/>
      <c r="L27" s="66"/>
      <c r="M27" s="32">
        <f>27075+10000</f>
        <v>37075</v>
      </c>
      <c r="N27" s="33">
        <v>1500</v>
      </c>
      <c r="P27" s="34">
        <f t="shared" si="0"/>
        <v>38607</v>
      </c>
      <c r="Q27" s="13">
        <f t="shared" si="1"/>
        <v>0</v>
      </c>
      <c r="R27" s="8"/>
    </row>
    <row r="28" spans="1:19" ht="18" thickBot="1" x14ac:dyDescent="0.35">
      <c r="A28" s="24"/>
      <c r="B28" s="25">
        <v>44587</v>
      </c>
      <c r="C28" s="26">
        <v>15</v>
      </c>
      <c r="D28" s="41" t="s">
        <v>34</v>
      </c>
      <c r="E28" s="28">
        <v>44587</v>
      </c>
      <c r="F28" s="29">
        <v>37270</v>
      </c>
      <c r="G28" s="2"/>
      <c r="H28" s="37">
        <v>44587</v>
      </c>
      <c r="I28" s="31">
        <v>45</v>
      </c>
      <c r="J28" s="69"/>
      <c r="K28" s="70"/>
      <c r="L28" s="66"/>
      <c r="M28" s="32">
        <f>27210+10000</f>
        <v>37210</v>
      </c>
      <c r="N28" s="33">
        <v>0</v>
      </c>
      <c r="P28" s="34">
        <f t="shared" si="0"/>
        <v>37270</v>
      </c>
      <c r="Q28" s="13">
        <f t="shared" si="1"/>
        <v>0</v>
      </c>
      <c r="R28" s="8"/>
    </row>
    <row r="29" spans="1:19" ht="18" thickBot="1" x14ac:dyDescent="0.35">
      <c r="A29" s="24"/>
      <c r="B29" s="25">
        <v>44588</v>
      </c>
      <c r="C29" s="26">
        <v>0</v>
      </c>
      <c r="D29" s="71"/>
      <c r="E29" s="28">
        <v>44588</v>
      </c>
      <c r="F29" s="29">
        <v>48904</v>
      </c>
      <c r="G29" s="2"/>
      <c r="H29" s="37">
        <v>44588</v>
      </c>
      <c r="I29" s="31">
        <v>0</v>
      </c>
      <c r="J29" s="67"/>
      <c r="K29" s="72"/>
      <c r="L29" s="66"/>
      <c r="M29" s="32">
        <f>20000+28760</f>
        <v>48760</v>
      </c>
      <c r="N29" s="33">
        <v>144</v>
      </c>
      <c r="P29" s="34">
        <f t="shared" si="0"/>
        <v>48904</v>
      </c>
      <c r="Q29" s="13">
        <f t="shared" si="1"/>
        <v>0</v>
      </c>
      <c r="R29" s="8"/>
    </row>
    <row r="30" spans="1:19" ht="18" thickBot="1" x14ac:dyDescent="0.35">
      <c r="A30" s="24"/>
      <c r="B30" s="25">
        <v>44589</v>
      </c>
      <c r="C30" s="26">
        <v>0</v>
      </c>
      <c r="D30" s="71"/>
      <c r="E30" s="28">
        <v>44589</v>
      </c>
      <c r="F30" s="29">
        <v>88236</v>
      </c>
      <c r="G30" s="2"/>
      <c r="H30" s="37">
        <v>44589</v>
      </c>
      <c r="I30" s="31">
        <v>51</v>
      </c>
      <c r="J30" s="73"/>
      <c r="K30" s="74"/>
      <c r="L30" s="75"/>
      <c r="M30" s="32">
        <f>50000+38185</f>
        <v>88185</v>
      </c>
      <c r="N30" s="33">
        <v>0</v>
      </c>
      <c r="P30" s="34">
        <f t="shared" si="0"/>
        <v>88236</v>
      </c>
      <c r="Q30" s="9">
        <f t="shared" si="1"/>
        <v>0</v>
      </c>
      <c r="R30" s="8"/>
    </row>
    <row r="31" spans="1:19" ht="18" thickBot="1" x14ac:dyDescent="0.35">
      <c r="A31" s="24"/>
      <c r="B31" s="25">
        <v>44590</v>
      </c>
      <c r="C31" s="26">
        <v>680</v>
      </c>
      <c r="D31" s="83" t="s">
        <v>47</v>
      </c>
      <c r="E31" s="28">
        <v>44590</v>
      </c>
      <c r="F31" s="29">
        <v>90540</v>
      </c>
      <c r="G31" s="2"/>
      <c r="H31" s="37">
        <v>44590</v>
      </c>
      <c r="I31" s="31">
        <v>79</v>
      </c>
      <c r="J31" s="73">
        <v>44590</v>
      </c>
      <c r="K31" s="76" t="s">
        <v>48</v>
      </c>
      <c r="L31" s="77">
        <f>9500+2571.43</f>
        <v>12071.43</v>
      </c>
      <c r="M31" s="32">
        <f>40000+28480</f>
        <v>68480</v>
      </c>
      <c r="N31" s="33">
        <v>9229</v>
      </c>
      <c r="P31" s="34">
        <f t="shared" si="0"/>
        <v>90539.43</v>
      </c>
      <c r="Q31" s="9">
        <f t="shared" si="1"/>
        <v>-0.57000000000698492</v>
      </c>
      <c r="R31" s="8"/>
    </row>
    <row r="32" spans="1:19" ht="18" thickBot="1" x14ac:dyDescent="0.35">
      <c r="A32" s="24"/>
      <c r="B32" s="25">
        <v>44591</v>
      </c>
      <c r="C32" s="26">
        <v>21227</v>
      </c>
      <c r="D32" s="78" t="s">
        <v>49</v>
      </c>
      <c r="E32" s="28">
        <v>44591</v>
      </c>
      <c r="F32" s="29">
        <v>107820</v>
      </c>
      <c r="G32" s="2"/>
      <c r="H32" s="37">
        <v>44591</v>
      </c>
      <c r="I32" s="31">
        <v>10</v>
      </c>
      <c r="J32" s="73"/>
      <c r="K32" s="74"/>
      <c r="L32" s="75"/>
      <c r="M32" s="32">
        <f>50000+32688</f>
        <v>82688</v>
      </c>
      <c r="N32" s="33">
        <v>3895</v>
      </c>
      <c r="P32" s="34">
        <f t="shared" si="0"/>
        <v>107820</v>
      </c>
      <c r="Q32" s="9">
        <f t="shared" si="1"/>
        <v>0</v>
      </c>
      <c r="R32" s="8"/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7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9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7"/>
      <c r="I34" s="31"/>
      <c r="J34" s="73" t="s">
        <v>123</v>
      </c>
      <c r="K34" s="81" t="s">
        <v>124</v>
      </c>
      <c r="L34" s="82">
        <v>549</v>
      </c>
      <c r="M34" s="32">
        <v>0</v>
      </c>
      <c r="N34" s="33">
        <v>0</v>
      </c>
      <c r="P34" s="34">
        <f t="shared" si="0"/>
        <v>549</v>
      </c>
      <c r="Q34" s="9">
        <f t="shared" si="1"/>
        <v>549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7"/>
      <c r="I35" s="31"/>
      <c r="J35" s="73"/>
      <c r="K35" s="76"/>
      <c r="L35" s="80"/>
      <c r="M35" s="32">
        <v>0</v>
      </c>
      <c r="N35" s="33">
        <v>0</v>
      </c>
      <c r="P35" s="34">
        <f t="shared" si="0"/>
        <v>0</v>
      </c>
      <c r="Q35" s="9">
        <f t="shared" si="1"/>
        <v>0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7"/>
      <c r="I36" s="31"/>
      <c r="J36" s="73" t="s">
        <v>201</v>
      </c>
      <c r="K36" s="182" t="s">
        <v>202</v>
      </c>
      <c r="L36" s="82">
        <v>2143.61</v>
      </c>
      <c r="M36" s="32">
        <v>0</v>
      </c>
      <c r="N36" s="33">
        <v>0</v>
      </c>
      <c r="P36" s="34">
        <f t="shared" si="0"/>
        <v>2143.61</v>
      </c>
      <c r="Q36" s="9">
        <f t="shared" si="1"/>
        <v>2143.61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7"/>
      <c r="I37" s="31"/>
      <c r="J37" s="73" t="s">
        <v>201</v>
      </c>
      <c r="K37" s="81" t="s">
        <v>203</v>
      </c>
      <c r="L37" s="82">
        <v>1195.68</v>
      </c>
      <c r="M37" s="32">
        <v>0</v>
      </c>
      <c r="N37" s="33">
        <v>0</v>
      </c>
      <c r="P37" s="34">
        <f t="shared" si="0"/>
        <v>1195.68</v>
      </c>
      <c r="Q37" s="9">
        <f t="shared" si="1"/>
        <v>1195.68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7"/>
      <c r="I38" s="31"/>
      <c r="J38" s="73"/>
      <c r="K38" s="76" t="s">
        <v>204</v>
      </c>
      <c r="L38" s="80">
        <v>895.42</v>
      </c>
      <c r="M38" s="32">
        <v>0</v>
      </c>
      <c r="N38" s="33">
        <v>0</v>
      </c>
      <c r="P38" s="34">
        <f t="shared" si="0"/>
        <v>895.42</v>
      </c>
      <c r="Q38" s="9">
        <f t="shared" si="1"/>
        <v>895.42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7"/>
      <c r="I39" s="31"/>
      <c r="J39" s="73"/>
      <c r="K39" s="76" t="s">
        <v>205</v>
      </c>
      <c r="L39" s="75">
        <v>1392</v>
      </c>
      <c r="M39" s="32">
        <v>0</v>
      </c>
      <c r="N39" s="33">
        <v>0</v>
      </c>
      <c r="P39" s="34">
        <f t="shared" si="0"/>
        <v>1392</v>
      </c>
      <c r="Q39" s="9">
        <f t="shared" si="1"/>
        <v>1392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75"/>
      <c r="M40" s="294">
        <f>SUM(M5:M39)</f>
        <v>1527030</v>
      </c>
      <c r="N40" s="296">
        <f>SUM(N5:N39)</f>
        <v>50013</v>
      </c>
      <c r="P40" s="34">
        <f>SUM(P5:P39)</f>
        <v>1702083.28</v>
      </c>
      <c r="Q40" s="9">
        <f>SUM(Q5:Q38)</f>
        <v>4823.2799999999925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76"/>
      <c r="L41" s="75"/>
      <c r="M41" s="295"/>
      <c r="N41" s="297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74897</v>
      </c>
      <c r="D51" s="107"/>
      <c r="E51" s="108" t="s">
        <v>9</v>
      </c>
      <c r="F51" s="109">
        <f>SUM(F5:F50)</f>
        <v>1686462</v>
      </c>
      <c r="G51" s="107"/>
      <c r="H51" s="110" t="s">
        <v>10</v>
      </c>
      <c r="I51" s="111">
        <f>SUM(I5:I50)</f>
        <v>1322</v>
      </c>
      <c r="J51" s="112"/>
      <c r="K51" s="113" t="s">
        <v>11</v>
      </c>
      <c r="L51" s="114">
        <f>SUM(L5:L50)</f>
        <v>48821.279999999999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298" t="s">
        <v>12</v>
      </c>
      <c r="I53" s="299"/>
      <c r="J53" s="119"/>
      <c r="K53" s="300">
        <f>I51+L51</f>
        <v>50143.28</v>
      </c>
      <c r="L53" s="301"/>
      <c r="M53" s="302">
        <f>N40+M40</f>
        <v>1577043</v>
      </c>
      <c r="N53" s="303"/>
      <c r="P53" s="34"/>
      <c r="Q53" s="9"/>
    </row>
    <row r="54" spans="1:17" ht="15.75" x14ac:dyDescent="0.25">
      <c r="D54" s="304" t="s">
        <v>13</v>
      </c>
      <c r="E54" s="304"/>
      <c r="F54" s="120">
        <f>F51-K53-C51</f>
        <v>1561421.72</v>
      </c>
      <c r="I54" s="121"/>
      <c r="J54" s="122"/>
      <c r="P54" s="34"/>
      <c r="Q54" s="9"/>
    </row>
    <row r="55" spans="1:17" ht="18.75" x14ac:dyDescent="0.3">
      <c r="D55" s="305" t="s">
        <v>14</v>
      </c>
      <c r="E55" s="305"/>
      <c r="F55" s="115">
        <v>-1419082.77</v>
      </c>
      <c r="I55" s="306" t="s">
        <v>15</v>
      </c>
      <c r="J55" s="307"/>
      <c r="K55" s="308">
        <f>F57+F58+F59</f>
        <v>296963.46999999997</v>
      </c>
      <c r="L55" s="309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142338.94999999995</v>
      </c>
      <c r="H57" s="24"/>
      <c r="I57" s="129" t="s">
        <v>17</v>
      </c>
      <c r="J57" s="130"/>
      <c r="K57" s="310">
        <f>-C4</f>
        <v>-221059.7</v>
      </c>
      <c r="L57" s="311"/>
    </row>
    <row r="58" spans="1:17" ht="16.5" thickBot="1" x14ac:dyDescent="0.3">
      <c r="D58" s="131" t="s">
        <v>18</v>
      </c>
      <c r="E58" s="117" t="s">
        <v>19</v>
      </c>
      <c r="F58" s="132">
        <v>310</v>
      </c>
    </row>
    <row r="59" spans="1:17" ht="20.25" thickTop="1" thickBot="1" x14ac:dyDescent="0.35">
      <c r="C59" s="133">
        <v>44591</v>
      </c>
      <c r="D59" s="287" t="s">
        <v>20</v>
      </c>
      <c r="E59" s="288"/>
      <c r="F59" s="134">
        <v>154314.51999999999</v>
      </c>
      <c r="I59" s="289" t="s">
        <v>168</v>
      </c>
      <c r="J59" s="290"/>
      <c r="K59" s="291">
        <f>K55+K57</f>
        <v>75903.76999999996</v>
      </c>
      <c r="L59" s="291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R3:R4"/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  <mergeCell ref="B1:B2"/>
    <mergeCell ref="C1:M1"/>
    <mergeCell ref="B3:C3"/>
    <mergeCell ref="H3:I3"/>
    <mergeCell ref="E4:F4"/>
    <mergeCell ref="H4:I4"/>
  </mergeCells>
  <pageMargins left="0.23622047244094491" right="0.23622047244094491" top="0.74803149606299213" bottom="0.74803149606299213" header="0.31496062992125984" footer="0.31496062992125984"/>
  <pageSetup scale="80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G115"/>
  <sheetViews>
    <sheetView workbookViewId="0">
      <selection activeCell="A13" sqref="A13"/>
    </sheetView>
  </sheetViews>
  <sheetFormatPr baseColWidth="10" defaultRowHeight="15" x14ac:dyDescent="0.25"/>
  <cols>
    <col min="1" max="1" width="13.42578125" style="201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09" t="s">
        <v>27</v>
      </c>
      <c r="B1" s="231"/>
      <c r="C1" s="188"/>
      <c r="D1" s="198"/>
      <c r="E1" s="188"/>
      <c r="F1" s="153" t="s">
        <v>21</v>
      </c>
    </row>
    <row r="2" spans="1:7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265"/>
      <c r="B3" s="266"/>
      <c r="C3" s="267"/>
      <c r="D3" s="268"/>
      <c r="E3" s="267"/>
      <c r="F3" s="158">
        <f>C3-E3</f>
        <v>0</v>
      </c>
    </row>
    <row r="4" spans="1:7" ht="15.75" x14ac:dyDescent="0.25">
      <c r="A4" s="269"/>
      <c r="B4" s="270"/>
      <c r="C4" s="132"/>
      <c r="D4" s="271"/>
      <c r="E4" s="132"/>
      <c r="F4" s="196">
        <f>C4-E4+F3</f>
        <v>0</v>
      </c>
    </row>
    <row r="5" spans="1:7" s="35" customFormat="1" ht="15.75" x14ac:dyDescent="0.25">
      <c r="A5" s="269"/>
      <c r="B5" s="270"/>
      <c r="C5" s="132"/>
      <c r="D5" s="271"/>
      <c r="E5" s="132"/>
      <c r="F5" s="196">
        <f t="shared" ref="F5:F68" si="0">C5-E5+F4</f>
        <v>0</v>
      </c>
    </row>
    <row r="6" spans="1:7" ht="18.75" x14ac:dyDescent="0.3">
      <c r="A6" s="269"/>
      <c r="B6" s="270"/>
      <c r="C6" s="132"/>
      <c r="D6" s="271"/>
      <c r="E6" s="132"/>
      <c r="F6" s="196">
        <f t="shared" si="0"/>
        <v>0</v>
      </c>
      <c r="G6" s="162"/>
    </row>
    <row r="7" spans="1:7" ht="15.75" x14ac:dyDescent="0.25">
      <c r="A7" s="269"/>
      <c r="B7" s="270"/>
      <c r="C7" s="132"/>
      <c r="D7" s="271"/>
      <c r="E7" s="132"/>
      <c r="F7" s="196">
        <f t="shared" si="0"/>
        <v>0</v>
      </c>
    </row>
    <row r="8" spans="1:7" ht="15.75" x14ac:dyDescent="0.25">
      <c r="A8" s="269"/>
      <c r="B8" s="270"/>
      <c r="C8" s="132"/>
      <c r="D8" s="271"/>
      <c r="E8" s="132"/>
      <c r="F8" s="196">
        <f t="shared" si="0"/>
        <v>0</v>
      </c>
    </row>
    <row r="9" spans="1:7" ht="15.75" x14ac:dyDescent="0.25">
      <c r="A9" s="269"/>
      <c r="B9" s="270"/>
      <c r="C9" s="132"/>
      <c r="D9" s="271"/>
      <c r="E9" s="132"/>
      <c r="F9" s="196">
        <f t="shared" si="0"/>
        <v>0</v>
      </c>
    </row>
    <row r="10" spans="1:7" ht="15.75" x14ac:dyDescent="0.25">
      <c r="A10" s="269"/>
      <c r="B10" s="270"/>
      <c r="C10" s="132"/>
      <c r="D10" s="271"/>
      <c r="E10" s="132"/>
      <c r="F10" s="196">
        <f t="shared" si="0"/>
        <v>0</v>
      </c>
    </row>
    <row r="11" spans="1:7" ht="15.75" x14ac:dyDescent="0.25">
      <c r="A11" s="269"/>
      <c r="B11" s="270"/>
      <c r="C11" s="132"/>
      <c r="D11" s="271"/>
      <c r="E11" s="132"/>
      <c r="F11" s="196">
        <f t="shared" si="0"/>
        <v>0</v>
      </c>
    </row>
    <row r="12" spans="1:7" ht="18.75" x14ac:dyDescent="0.3">
      <c r="A12" s="269"/>
      <c r="B12" s="270"/>
      <c r="C12" s="132"/>
      <c r="D12" s="271"/>
      <c r="E12" s="132"/>
      <c r="F12" s="196">
        <f t="shared" si="0"/>
        <v>0</v>
      </c>
      <c r="G12" s="162"/>
    </row>
    <row r="13" spans="1:7" ht="15.75" x14ac:dyDescent="0.25">
      <c r="A13" s="269"/>
      <c r="B13" s="270"/>
      <c r="C13" s="132"/>
      <c r="D13" s="271"/>
      <c r="E13" s="132"/>
      <c r="F13" s="196">
        <f t="shared" si="0"/>
        <v>0</v>
      </c>
    </row>
    <row r="14" spans="1:7" ht="15.75" x14ac:dyDescent="0.25">
      <c r="A14" s="269"/>
      <c r="B14" s="270"/>
      <c r="C14" s="132"/>
      <c r="D14" s="271"/>
      <c r="E14" s="132"/>
      <c r="F14" s="196">
        <f t="shared" si="0"/>
        <v>0</v>
      </c>
    </row>
    <row r="15" spans="1:7" ht="15.75" x14ac:dyDescent="0.25">
      <c r="A15" s="269"/>
      <c r="B15" s="270"/>
      <c r="C15" s="132"/>
      <c r="D15" s="271"/>
      <c r="E15" s="132"/>
      <c r="F15" s="196">
        <f t="shared" si="0"/>
        <v>0</v>
      </c>
    </row>
    <row r="16" spans="1:7" ht="15.75" x14ac:dyDescent="0.25">
      <c r="A16" s="269"/>
      <c r="B16" s="270"/>
      <c r="C16" s="132"/>
      <c r="D16" s="271"/>
      <c r="E16" s="132"/>
      <c r="F16" s="196">
        <f t="shared" si="0"/>
        <v>0</v>
      </c>
    </row>
    <row r="17" spans="1:7" ht="15.75" x14ac:dyDescent="0.25">
      <c r="A17" s="269"/>
      <c r="B17" s="270"/>
      <c r="C17" s="132"/>
      <c r="D17" s="271"/>
      <c r="E17" s="132"/>
      <c r="F17" s="196">
        <f t="shared" si="0"/>
        <v>0</v>
      </c>
    </row>
    <row r="18" spans="1:7" ht="15.75" x14ac:dyDescent="0.25">
      <c r="A18" s="269"/>
      <c r="B18" s="270"/>
      <c r="C18" s="132"/>
      <c r="D18" s="271"/>
      <c r="E18" s="132"/>
      <c r="F18" s="196">
        <f t="shared" si="0"/>
        <v>0</v>
      </c>
    </row>
    <row r="19" spans="1:7" ht="15.75" x14ac:dyDescent="0.25">
      <c r="A19" s="269"/>
      <c r="B19" s="270"/>
      <c r="C19" s="132"/>
      <c r="D19" s="271"/>
      <c r="E19" s="132"/>
      <c r="F19" s="196">
        <f t="shared" si="0"/>
        <v>0</v>
      </c>
    </row>
    <row r="20" spans="1:7" ht="15.75" x14ac:dyDescent="0.25">
      <c r="A20" s="269"/>
      <c r="B20" s="270"/>
      <c r="C20" s="132"/>
      <c r="D20" s="271"/>
      <c r="E20" s="132"/>
      <c r="F20" s="196">
        <f t="shared" si="0"/>
        <v>0</v>
      </c>
    </row>
    <row r="21" spans="1:7" ht="15.75" x14ac:dyDescent="0.25">
      <c r="A21" s="269"/>
      <c r="B21" s="270"/>
      <c r="C21" s="132"/>
      <c r="D21" s="271"/>
      <c r="E21" s="132"/>
      <c r="F21" s="196">
        <f t="shared" si="0"/>
        <v>0</v>
      </c>
    </row>
    <row r="22" spans="1:7" ht="15.75" x14ac:dyDescent="0.25">
      <c r="A22" s="269"/>
      <c r="B22" s="270"/>
      <c r="C22" s="132"/>
      <c r="D22" s="271"/>
      <c r="E22" s="132"/>
      <c r="F22" s="196">
        <f t="shared" si="0"/>
        <v>0</v>
      </c>
    </row>
    <row r="23" spans="1:7" ht="15.75" x14ac:dyDescent="0.25">
      <c r="A23" s="269"/>
      <c r="B23" s="270"/>
      <c r="C23" s="132"/>
      <c r="D23" s="271"/>
      <c r="E23" s="132"/>
      <c r="F23" s="196">
        <f t="shared" si="0"/>
        <v>0</v>
      </c>
    </row>
    <row r="24" spans="1:7" ht="18.75" x14ac:dyDescent="0.3">
      <c r="A24" s="269"/>
      <c r="B24" s="270"/>
      <c r="C24" s="132"/>
      <c r="D24" s="271"/>
      <c r="E24" s="132"/>
      <c r="F24" s="196">
        <f t="shared" si="0"/>
        <v>0</v>
      </c>
      <c r="G24" s="162"/>
    </row>
    <row r="25" spans="1:7" ht="15.75" x14ac:dyDescent="0.25">
      <c r="A25" s="269"/>
      <c r="B25" s="270"/>
      <c r="C25" s="132"/>
      <c r="D25" s="271"/>
      <c r="E25" s="132"/>
      <c r="F25" s="196">
        <f t="shared" si="0"/>
        <v>0</v>
      </c>
    </row>
    <row r="26" spans="1:7" ht="15.75" x14ac:dyDescent="0.25">
      <c r="A26" s="269"/>
      <c r="B26" s="270"/>
      <c r="C26" s="132"/>
      <c r="D26" s="271"/>
      <c r="E26" s="132"/>
      <c r="F26" s="196">
        <f t="shared" si="0"/>
        <v>0</v>
      </c>
    </row>
    <row r="27" spans="1:7" ht="15.75" x14ac:dyDescent="0.25">
      <c r="A27" s="269"/>
      <c r="B27" s="270"/>
      <c r="C27" s="132"/>
      <c r="D27" s="271"/>
      <c r="E27" s="132"/>
      <c r="F27" s="196">
        <f t="shared" si="0"/>
        <v>0</v>
      </c>
    </row>
    <row r="28" spans="1:7" ht="15.75" x14ac:dyDescent="0.25">
      <c r="A28" s="269"/>
      <c r="B28" s="270"/>
      <c r="C28" s="132"/>
      <c r="D28" s="271"/>
      <c r="E28" s="132"/>
      <c r="F28" s="196">
        <f t="shared" si="0"/>
        <v>0</v>
      </c>
    </row>
    <row r="29" spans="1:7" ht="15.75" x14ac:dyDescent="0.25">
      <c r="A29" s="269"/>
      <c r="B29" s="270"/>
      <c r="C29" s="132"/>
      <c r="D29" s="271"/>
      <c r="E29" s="132"/>
      <c r="F29" s="196">
        <f t="shared" si="0"/>
        <v>0</v>
      </c>
    </row>
    <row r="30" spans="1:7" ht="15.75" x14ac:dyDescent="0.25">
      <c r="A30" s="269"/>
      <c r="B30" s="270"/>
      <c r="C30" s="132"/>
      <c r="D30" s="269"/>
      <c r="E30" s="132"/>
      <c r="F30" s="196">
        <f t="shared" si="0"/>
        <v>0</v>
      </c>
    </row>
    <row r="31" spans="1:7" ht="15.75" x14ac:dyDescent="0.25">
      <c r="A31" s="269"/>
      <c r="B31" s="270"/>
      <c r="C31" s="132"/>
      <c r="D31" s="271"/>
      <c r="E31" s="132"/>
      <c r="F31" s="196">
        <f t="shared" si="0"/>
        <v>0</v>
      </c>
    </row>
    <row r="32" spans="1:7" ht="18.75" x14ac:dyDescent="0.3">
      <c r="A32" s="269"/>
      <c r="B32" s="270"/>
      <c r="C32" s="132"/>
      <c r="D32" s="271"/>
      <c r="E32" s="132"/>
      <c r="F32" s="196">
        <f t="shared" si="0"/>
        <v>0</v>
      </c>
      <c r="G32" s="162"/>
    </row>
    <row r="33" spans="1:6" ht="15.75" x14ac:dyDescent="0.25">
      <c r="A33" s="269"/>
      <c r="B33" s="270"/>
      <c r="C33" s="132"/>
      <c r="D33" s="271"/>
      <c r="E33" s="132"/>
      <c r="F33" s="196">
        <f t="shared" si="0"/>
        <v>0</v>
      </c>
    </row>
    <row r="34" spans="1:6" ht="15.75" x14ac:dyDescent="0.25">
      <c r="A34" s="269"/>
      <c r="B34" s="270"/>
      <c r="C34" s="132"/>
      <c r="D34" s="271"/>
      <c r="E34" s="132"/>
      <c r="F34" s="196">
        <f t="shared" si="0"/>
        <v>0</v>
      </c>
    </row>
    <row r="35" spans="1:6" ht="15.75" x14ac:dyDescent="0.25">
      <c r="A35" s="269"/>
      <c r="B35" s="270"/>
      <c r="C35" s="132"/>
      <c r="D35" s="271"/>
      <c r="E35" s="132"/>
      <c r="F35" s="196">
        <f t="shared" si="0"/>
        <v>0</v>
      </c>
    </row>
    <row r="36" spans="1:6" ht="15.75" x14ac:dyDescent="0.25">
      <c r="A36" s="269"/>
      <c r="B36" s="270"/>
      <c r="C36" s="132"/>
      <c r="D36" s="271"/>
      <c r="E36" s="132"/>
      <c r="F36" s="196">
        <f t="shared" si="0"/>
        <v>0</v>
      </c>
    </row>
    <row r="37" spans="1:6" ht="15.75" x14ac:dyDescent="0.25">
      <c r="A37" s="269"/>
      <c r="B37" s="270"/>
      <c r="C37" s="132"/>
      <c r="D37" s="271"/>
      <c r="E37" s="132"/>
      <c r="F37" s="196">
        <f t="shared" si="0"/>
        <v>0</v>
      </c>
    </row>
    <row r="38" spans="1:6" ht="15.75" x14ac:dyDescent="0.25">
      <c r="A38" s="269"/>
      <c r="B38" s="270"/>
      <c r="C38" s="132"/>
      <c r="D38" s="271"/>
      <c r="E38" s="132"/>
      <c r="F38" s="196">
        <f t="shared" si="0"/>
        <v>0</v>
      </c>
    </row>
    <row r="39" spans="1:6" ht="15.75" x14ac:dyDescent="0.25">
      <c r="A39" s="269"/>
      <c r="B39" s="270"/>
      <c r="C39" s="132"/>
      <c r="D39" s="271"/>
      <c r="E39" s="132"/>
      <c r="F39" s="196">
        <f t="shared" si="0"/>
        <v>0</v>
      </c>
    </row>
    <row r="40" spans="1:6" ht="15.75" x14ac:dyDescent="0.25">
      <c r="A40" s="269"/>
      <c r="B40" s="270"/>
      <c r="C40" s="132"/>
      <c r="D40" s="271"/>
      <c r="E40" s="86"/>
      <c r="F40" s="196">
        <f t="shared" si="0"/>
        <v>0</v>
      </c>
    </row>
    <row r="41" spans="1:6" ht="15.75" x14ac:dyDescent="0.25">
      <c r="A41" s="269"/>
      <c r="B41" s="270"/>
      <c r="C41" s="132"/>
      <c r="D41" s="271"/>
      <c r="E41" s="86"/>
      <c r="F41" s="196">
        <f t="shared" si="0"/>
        <v>0</v>
      </c>
    </row>
    <row r="42" spans="1:6" ht="15.75" x14ac:dyDescent="0.25">
      <c r="A42" s="271"/>
      <c r="B42" s="272"/>
      <c r="C42" s="86"/>
      <c r="D42" s="271"/>
      <c r="E42" s="86"/>
      <c r="F42" s="196">
        <f t="shared" si="0"/>
        <v>0</v>
      </c>
    </row>
    <row r="43" spans="1:6" ht="16.5" thickBot="1" x14ac:dyDescent="0.3">
      <c r="A43" s="163"/>
      <c r="B43" s="160"/>
      <c r="C43" s="86"/>
      <c r="D43" s="159"/>
      <c r="E43" s="86"/>
      <c r="F43" s="196">
        <f t="shared" si="0"/>
        <v>0</v>
      </c>
    </row>
    <row r="44" spans="1:6" ht="15" hidden="1" customHeight="1" x14ac:dyDescent="0.25">
      <c r="A44" s="164"/>
      <c r="B44" s="165"/>
      <c r="C44" s="166"/>
      <c r="D44" s="159"/>
      <c r="E44" s="86"/>
      <c r="F44" s="196">
        <f t="shared" si="0"/>
        <v>0</v>
      </c>
    </row>
    <row r="45" spans="1:6" ht="16.5" hidden="1" thickBot="1" x14ac:dyDescent="0.3">
      <c r="A45" s="164"/>
      <c r="B45" s="165"/>
      <c r="C45" s="166"/>
      <c r="D45" s="159"/>
      <c r="E45" s="86"/>
      <c r="F45" s="196">
        <f t="shared" si="0"/>
        <v>0</v>
      </c>
    </row>
    <row r="46" spans="1:6" ht="16.5" hidden="1" thickBot="1" x14ac:dyDescent="0.3">
      <c r="A46" s="164"/>
      <c r="B46" s="165"/>
      <c r="C46" s="166"/>
      <c r="D46" s="159"/>
      <c r="E46" s="86"/>
      <c r="F46" s="196">
        <f t="shared" si="0"/>
        <v>0</v>
      </c>
    </row>
    <row r="47" spans="1:6" ht="16.5" hidden="1" thickBot="1" x14ac:dyDescent="0.3">
      <c r="A47" s="164"/>
      <c r="B47" s="165"/>
      <c r="C47" s="166"/>
      <c r="D47" s="159"/>
      <c r="E47" s="86"/>
      <c r="F47" s="196">
        <f t="shared" si="0"/>
        <v>0</v>
      </c>
    </row>
    <row r="48" spans="1:6" ht="16.5" hidden="1" thickBot="1" x14ac:dyDescent="0.3">
      <c r="A48" s="164"/>
      <c r="B48" s="165"/>
      <c r="C48" s="166"/>
      <c r="D48" s="159"/>
      <c r="E48" s="86"/>
      <c r="F48" s="196">
        <f t="shared" si="0"/>
        <v>0</v>
      </c>
    </row>
    <row r="49" spans="1:6" ht="16.5" hidden="1" thickBot="1" x14ac:dyDescent="0.3">
      <c r="A49" s="164"/>
      <c r="B49" s="165"/>
      <c r="C49" s="166"/>
      <c r="D49" s="159"/>
      <c r="E49" s="86"/>
      <c r="F49" s="196">
        <f t="shared" si="0"/>
        <v>0</v>
      </c>
    </row>
    <row r="50" spans="1:6" ht="16.5" hidden="1" thickBot="1" x14ac:dyDescent="0.3">
      <c r="A50" s="164"/>
      <c r="B50" s="165"/>
      <c r="C50" s="166"/>
      <c r="D50" s="159"/>
      <c r="E50" s="86"/>
      <c r="F50" s="196">
        <f t="shared" si="0"/>
        <v>0</v>
      </c>
    </row>
    <row r="51" spans="1:6" ht="16.5" hidden="1" thickBot="1" x14ac:dyDescent="0.3">
      <c r="A51" s="164"/>
      <c r="B51" s="165"/>
      <c r="C51" s="166"/>
      <c r="D51" s="159"/>
      <c r="E51" s="86"/>
      <c r="F51" s="196">
        <f t="shared" si="0"/>
        <v>0</v>
      </c>
    </row>
    <row r="52" spans="1:6" ht="16.5" hidden="1" thickBot="1" x14ac:dyDescent="0.3">
      <c r="A52" s="164"/>
      <c r="B52" s="165"/>
      <c r="C52" s="166"/>
      <c r="D52" s="159"/>
      <c r="E52" s="86"/>
      <c r="F52" s="196">
        <f t="shared" si="0"/>
        <v>0</v>
      </c>
    </row>
    <row r="53" spans="1:6" ht="16.5" hidden="1" thickBot="1" x14ac:dyDescent="0.3">
      <c r="A53" s="164"/>
      <c r="B53" s="165"/>
      <c r="C53" s="166"/>
      <c r="D53" s="159"/>
      <c r="E53" s="86"/>
      <c r="F53" s="196">
        <f t="shared" si="0"/>
        <v>0</v>
      </c>
    </row>
    <row r="54" spans="1:6" ht="16.5" hidden="1" thickBot="1" x14ac:dyDescent="0.3">
      <c r="A54" s="164"/>
      <c r="B54" s="165"/>
      <c r="C54" s="166"/>
      <c r="D54" s="159"/>
      <c r="E54" s="86"/>
      <c r="F54" s="196">
        <f t="shared" si="0"/>
        <v>0</v>
      </c>
    </row>
    <row r="55" spans="1:6" ht="16.5" hidden="1" thickBot="1" x14ac:dyDescent="0.3">
      <c r="A55" s="164"/>
      <c r="B55" s="165"/>
      <c r="C55" s="166"/>
      <c r="D55" s="159"/>
      <c r="E55" s="86"/>
      <c r="F55" s="196">
        <f t="shared" si="0"/>
        <v>0</v>
      </c>
    </row>
    <row r="56" spans="1:6" ht="16.5" hidden="1" thickBot="1" x14ac:dyDescent="0.3">
      <c r="A56" s="164"/>
      <c r="B56" s="165"/>
      <c r="C56" s="166"/>
      <c r="D56" s="159"/>
      <c r="E56" s="86"/>
      <c r="F56" s="196">
        <f t="shared" si="0"/>
        <v>0</v>
      </c>
    </row>
    <row r="57" spans="1:6" ht="16.5" hidden="1" thickBot="1" x14ac:dyDescent="0.3">
      <c r="A57" s="164"/>
      <c r="B57" s="165"/>
      <c r="C57" s="166"/>
      <c r="D57" s="159"/>
      <c r="E57" s="86"/>
      <c r="F57" s="196">
        <f t="shared" si="0"/>
        <v>0</v>
      </c>
    </row>
    <row r="58" spans="1:6" ht="16.5" hidden="1" thickBot="1" x14ac:dyDescent="0.3">
      <c r="A58" s="164"/>
      <c r="B58" s="165"/>
      <c r="C58" s="166"/>
      <c r="D58" s="159"/>
      <c r="E58" s="86"/>
      <c r="F58" s="196">
        <f t="shared" si="0"/>
        <v>0</v>
      </c>
    </row>
    <row r="59" spans="1:6" ht="16.5" hidden="1" thickBot="1" x14ac:dyDescent="0.3">
      <c r="A59" s="164"/>
      <c r="B59" s="165"/>
      <c r="C59" s="166"/>
      <c r="D59" s="159"/>
      <c r="E59" s="86"/>
      <c r="F59" s="196">
        <f t="shared" si="0"/>
        <v>0</v>
      </c>
    </row>
    <row r="60" spans="1:6" ht="16.5" hidden="1" thickBot="1" x14ac:dyDescent="0.3">
      <c r="A60" s="164"/>
      <c r="B60" s="165"/>
      <c r="C60" s="166"/>
      <c r="D60" s="159"/>
      <c r="E60" s="86"/>
      <c r="F60" s="196">
        <f t="shared" si="0"/>
        <v>0</v>
      </c>
    </row>
    <row r="61" spans="1:6" ht="16.5" hidden="1" thickBot="1" x14ac:dyDescent="0.3">
      <c r="A61" s="164"/>
      <c r="B61" s="165"/>
      <c r="C61" s="166"/>
      <c r="D61" s="159"/>
      <c r="E61" s="86"/>
      <c r="F61" s="196">
        <f t="shared" si="0"/>
        <v>0</v>
      </c>
    </row>
    <row r="62" spans="1:6" ht="16.5" hidden="1" thickBot="1" x14ac:dyDescent="0.3">
      <c r="A62" s="167"/>
      <c r="B62" s="168"/>
      <c r="C62" s="169"/>
      <c r="D62" s="170"/>
      <c r="E62" s="34"/>
      <c r="F62" s="196">
        <f t="shared" si="0"/>
        <v>0</v>
      </c>
    </row>
    <row r="63" spans="1:6" ht="16.5" hidden="1" thickBot="1" x14ac:dyDescent="0.3">
      <c r="A63" s="167"/>
      <c r="B63" s="168"/>
      <c r="C63" s="169"/>
      <c r="D63" s="170"/>
      <c r="E63" s="34"/>
      <c r="F63" s="196">
        <f t="shared" si="0"/>
        <v>0</v>
      </c>
    </row>
    <row r="64" spans="1:6" ht="16.5" hidden="1" thickBot="1" x14ac:dyDescent="0.3">
      <c r="A64" s="167"/>
      <c r="B64" s="168"/>
      <c r="C64" s="169"/>
      <c r="D64" s="170"/>
      <c r="E64" s="34"/>
      <c r="F64" s="196">
        <f t="shared" si="0"/>
        <v>0</v>
      </c>
    </row>
    <row r="65" spans="1:6" ht="16.5" hidden="1" thickBot="1" x14ac:dyDescent="0.3">
      <c r="A65" s="167"/>
      <c r="B65" s="168"/>
      <c r="C65" s="169"/>
      <c r="D65" s="170"/>
      <c r="E65" s="34"/>
      <c r="F65" s="196">
        <f t="shared" si="0"/>
        <v>0</v>
      </c>
    </row>
    <row r="66" spans="1:6" ht="16.5" hidden="1" thickBot="1" x14ac:dyDescent="0.3">
      <c r="A66" s="167"/>
      <c r="B66" s="168"/>
      <c r="C66" s="169"/>
      <c r="D66" s="170"/>
      <c r="E66" s="34"/>
      <c r="F66" s="196">
        <f t="shared" si="0"/>
        <v>0</v>
      </c>
    </row>
    <row r="67" spans="1:6" ht="16.5" hidden="1" thickBot="1" x14ac:dyDescent="0.3">
      <c r="A67" s="167"/>
      <c r="B67" s="168"/>
      <c r="C67" s="169"/>
      <c r="D67" s="170"/>
      <c r="E67" s="34"/>
      <c r="F67" s="196">
        <f t="shared" si="0"/>
        <v>0</v>
      </c>
    </row>
    <row r="68" spans="1:6" ht="16.5" hidden="1" thickBot="1" x14ac:dyDescent="0.3">
      <c r="A68" s="164"/>
      <c r="B68" s="165"/>
      <c r="C68" s="166"/>
      <c r="D68" s="171"/>
      <c r="E68" s="86"/>
      <c r="F68" s="196">
        <f t="shared" si="0"/>
        <v>0</v>
      </c>
    </row>
    <row r="69" spans="1:6" ht="16.5" hidden="1" thickBot="1" x14ac:dyDescent="0.3">
      <c r="A69" s="164"/>
      <c r="B69" s="165"/>
      <c r="C69" s="166"/>
      <c r="D69" s="171"/>
      <c r="E69" s="86"/>
      <c r="F69" s="196">
        <f t="shared" ref="F69:F78" si="1">C69-E69+F68</f>
        <v>0</v>
      </c>
    </row>
    <row r="70" spans="1:6" ht="16.5" hidden="1" thickBot="1" x14ac:dyDescent="0.3">
      <c r="A70" s="164"/>
      <c r="B70" s="165"/>
      <c r="C70" s="166"/>
      <c r="D70" s="171"/>
      <c r="E70" s="86"/>
      <c r="F70" s="196">
        <f t="shared" si="1"/>
        <v>0</v>
      </c>
    </row>
    <row r="71" spans="1:6" ht="16.5" hidden="1" thickBot="1" x14ac:dyDescent="0.3">
      <c r="A71" s="164"/>
      <c r="B71" s="165"/>
      <c r="C71" s="166"/>
      <c r="D71" s="171"/>
      <c r="E71" s="86"/>
      <c r="F71" s="196">
        <f t="shared" si="1"/>
        <v>0</v>
      </c>
    </row>
    <row r="72" spans="1:6" ht="16.5" hidden="1" thickBot="1" x14ac:dyDescent="0.3">
      <c r="A72" s="164"/>
      <c r="B72" s="165"/>
      <c r="C72" s="166"/>
      <c r="D72" s="171"/>
      <c r="E72" s="86"/>
      <c r="F72" s="196">
        <f t="shared" si="1"/>
        <v>0</v>
      </c>
    </row>
    <row r="73" spans="1:6" ht="16.5" hidden="1" thickBot="1" x14ac:dyDescent="0.3">
      <c r="A73" s="164"/>
      <c r="B73" s="165"/>
      <c r="C73" s="166"/>
      <c r="D73" s="171"/>
      <c r="E73" s="86"/>
      <c r="F73" s="196">
        <f t="shared" si="1"/>
        <v>0</v>
      </c>
    </row>
    <row r="74" spans="1:6" ht="16.5" hidden="1" thickBot="1" x14ac:dyDescent="0.3">
      <c r="A74" s="164"/>
      <c r="B74" s="165"/>
      <c r="C74" s="166"/>
      <c r="D74" s="171"/>
      <c r="E74" s="86"/>
      <c r="F74" s="196">
        <f t="shared" si="1"/>
        <v>0</v>
      </c>
    </row>
    <row r="75" spans="1:6" ht="16.5" hidden="1" thickBot="1" x14ac:dyDescent="0.3">
      <c r="A75" s="164"/>
      <c r="B75" s="165"/>
      <c r="C75" s="166"/>
      <c r="D75" s="171"/>
      <c r="E75" s="86"/>
      <c r="F75" s="196">
        <f t="shared" si="1"/>
        <v>0</v>
      </c>
    </row>
    <row r="76" spans="1:6" ht="16.5" hidden="1" thickBot="1" x14ac:dyDescent="0.3">
      <c r="A76" s="164"/>
      <c r="B76" s="165"/>
      <c r="C76" s="166"/>
      <c r="D76" s="171"/>
      <c r="E76" s="86"/>
      <c r="F76" s="196">
        <f t="shared" si="1"/>
        <v>0</v>
      </c>
    </row>
    <row r="77" spans="1:6" ht="16.5" hidden="1" thickBot="1" x14ac:dyDescent="0.3">
      <c r="A77" s="164"/>
      <c r="B77" s="165"/>
      <c r="C77" s="166"/>
      <c r="D77" s="171"/>
      <c r="E77" s="86"/>
      <c r="F77" s="196">
        <f t="shared" si="1"/>
        <v>0</v>
      </c>
    </row>
    <row r="78" spans="1:6" ht="16.5" hidden="1" thickBot="1" x14ac:dyDescent="0.3">
      <c r="A78" s="172"/>
      <c r="B78" s="173"/>
      <c r="C78" s="34">
        <v>0</v>
      </c>
      <c r="D78" s="174"/>
      <c r="E78" s="34"/>
      <c r="F78" s="196">
        <f t="shared" si="1"/>
        <v>0</v>
      </c>
    </row>
    <row r="79" spans="1:6" ht="19.5" thickBot="1" x14ac:dyDescent="0.35">
      <c r="A79" s="212"/>
      <c r="B79" s="232"/>
      <c r="C79" s="251">
        <f>SUM(C3:C78)</f>
        <v>0</v>
      </c>
      <c r="D79" s="189"/>
      <c r="E79" s="178">
        <f>SUM(E3:E78)</f>
        <v>0</v>
      </c>
      <c r="F79" s="179">
        <f>F78</f>
        <v>0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5" sqref="B5:G12"/>
    </sheetView>
  </sheetViews>
  <sheetFormatPr baseColWidth="10" defaultRowHeight="15" x14ac:dyDescent="0.25"/>
  <sheetData/>
  <sortState ref="B7:C9">
    <sortCondition ref="B7:B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36"/>
  <sheetViews>
    <sheetView topLeftCell="A43" workbookViewId="0">
      <selection activeCell="B56" sqref="B56"/>
    </sheetView>
  </sheetViews>
  <sheetFormatPr baseColWidth="10" defaultRowHeight="15" x14ac:dyDescent="0.25"/>
  <cols>
    <col min="1" max="1" width="13.42578125" style="117" bestFit="1" customWidth="1"/>
    <col min="2" max="2" width="12.85546875" style="117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152" t="s">
        <v>27</v>
      </c>
      <c r="B1" s="187"/>
      <c r="C1" s="188"/>
      <c r="D1" s="198"/>
      <c r="E1" s="188"/>
      <c r="F1" s="153" t="s">
        <v>21</v>
      </c>
    </row>
    <row r="2" spans="1:7" ht="16.5" thickBot="1" x14ac:dyDescent="0.3">
      <c r="A2" s="154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193" t="s">
        <v>50</v>
      </c>
      <c r="B3" s="194" t="s">
        <v>51</v>
      </c>
      <c r="C3" s="195">
        <v>4720</v>
      </c>
      <c r="D3" s="200">
        <v>44568</v>
      </c>
      <c r="E3" s="191">
        <v>4720</v>
      </c>
      <c r="F3" s="158">
        <f>C3-E3</f>
        <v>0</v>
      </c>
    </row>
    <row r="4" spans="1:7" ht="15.75" x14ac:dyDescent="0.25">
      <c r="A4" s="193" t="s">
        <v>50</v>
      </c>
      <c r="B4" s="194" t="s">
        <v>53</v>
      </c>
      <c r="C4" s="195">
        <v>15065.6</v>
      </c>
      <c r="D4" s="200">
        <v>44568</v>
      </c>
      <c r="E4" s="191">
        <v>15065.6</v>
      </c>
      <c r="F4" s="196">
        <f>C4-E4+F3</f>
        <v>0</v>
      </c>
    </row>
    <row r="5" spans="1:7" s="35" customFormat="1" ht="15.75" x14ac:dyDescent="0.25">
      <c r="A5" s="193" t="s">
        <v>50</v>
      </c>
      <c r="B5" s="194" t="s">
        <v>54</v>
      </c>
      <c r="C5" s="195">
        <v>6166.9</v>
      </c>
      <c r="D5" s="200">
        <v>44568</v>
      </c>
      <c r="E5" s="191">
        <v>6166.9</v>
      </c>
      <c r="F5" s="161">
        <f>C5-E5+F4</f>
        <v>0</v>
      </c>
    </row>
    <row r="6" spans="1:7" ht="18.75" x14ac:dyDescent="0.3">
      <c r="A6" s="193" t="s">
        <v>55</v>
      </c>
      <c r="B6" s="194" t="s">
        <v>56</v>
      </c>
      <c r="C6" s="195">
        <v>94565.5</v>
      </c>
      <c r="D6" s="200">
        <v>44568</v>
      </c>
      <c r="E6" s="191">
        <v>94565.5</v>
      </c>
      <c r="F6" s="161">
        <f>F5+C6-E6</f>
        <v>0</v>
      </c>
      <c r="G6" s="162"/>
    </row>
    <row r="7" spans="1:7" ht="15.75" x14ac:dyDescent="0.25">
      <c r="A7" s="193" t="s">
        <v>55</v>
      </c>
      <c r="B7" s="194" t="s">
        <v>57</v>
      </c>
      <c r="C7" s="195">
        <v>5455.5</v>
      </c>
      <c r="D7" s="200">
        <v>44568</v>
      </c>
      <c r="E7" s="191">
        <v>5455.5</v>
      </c>
      <c r="F7" s="161">
        <f t="shared" ref="F7" si="0">F6+C7-E7</f>
        <v>0</v>
      </c>
    </row>
    <row r="8" spans="1:7" ht="15.75" x14ac:dyDescent="0.25">
      <c r="A8" s="193" t="s">
        <v>55</v>
      </c>
      <c r="B8" s="194" t="s">
        <v>58</v>
      </c>
      <c r="C8" s="195">
        <v>10495</v>
      </c>
      <c r="D8" s="200">
        <v>44568</v>
      </c>
      <c r="E8" s="191">
        <v>10495</v>
      </c>
      <c r="F8" s="161">
        <f>F7+C8-E8</f>
        <v>0</v>
      </c>
    </row>
    <row r="9" spans="1:7" ht="15.75" x14ac:dyDescent="0.25">
      <c r="A9" s="193" t="s">
        <v>59</v>
      </c>
      <c r="B9" s="194" t="s">
        <v>60</v>
      </c>
      <c r="C9" s="195">
        <v>12376.64</v>
      </c>
      <c r="D9" s="200">
        <v>44568</v>
      </c>
      <c r="E9" s="191">
        <v>12376.64</v>
      </c>
      <c r="F9" s="161">
        <f>F8+C9-E9</f>
        <v>0</v>
      </c>
    </row>
    <row r="10" spans="1:7" ht="15.75" x14ac:dyDescent="0.25">
      <c r="A10" s="193" t="s">
        <v>61</v>
      </c>
      <c r="B10" s="194" t="s">
        <v>62</v>
      </c>
      <c r="C10" s="195">
        <v>24073.5</v>
      </c>
      <c r="D10" s="200">
        <v>44568</v>
      </c>
      <c r="E10" s="191">
        <v>24073.5</v>
      </c>
      <c r="F10" s="161">
        <f>F9+C10-E10</f>
        <v>0</v>
      </c>
    </row>
    <row r="11" spans="1:7" ht="15.75" x14ac:dyDescent="0.25">
      <c r="A11" s="193" t="s">
        <v>61</v>
      </c>
      <c r="B11" s="194" t="s">
        <v>63</v>
      </c>
      <c r="C11" s="195">
        <v>15490</v>
      </c>
      <c r="D11" s="200">
        <v>44568</v>
      </c>
      <c r="E11" s="191">
        <v>15490</v>
      </c>
      <c r="F11" s="161">
        <f t="shared" ref="F11:F74" si="1">F10+C11-E11</f>
        <v>0</v>
      </c>
    </row>
    <row r="12" spans="1:7" ht="18.75" x14ac:dyDescent="0.3">
      <c r="A12" s="193" t="s">
        <v>52</v>
      </c>
      <c r="B12" s="194" t="s">
        <v>64</v>
      </c>
      <c r="C12" s="195">
        <v>19125.400000000001</v>
      </c>
      <c r="D12" s="200">
        <v>44575</v>
      </c>
      <c r="E12" s="197">
        <v>19125.400000000001</v>
      </c>
      <c r="F12" s="161">
        <f t="shared" si="1"/>
        <v>0</v>
      </c>
      <c r="G12" s="162"/>
    </row>
    <row r="13" spans="1:7" ht="15.75" x14ac:dyDescent="0.25">
      <c r="A13" s="193" t="s">
        <v>52</v>
      </c>
      <c r="B13" s="194" t="s">
        <v>66</v>
      </c>
      <c r="C13" s="195">
        <v>1916.6</v>
      </c>
      <c r="D13" s="200">
        <v>44575</v>
      </c>
      <c r="E13" s="197">
        <v>1916.6</v>
      </c>
      <c r="F13" s="161">
        <f t="shared" si="1"/>
        <v>0</v>
      </c>
    </row>
    <row r="14" spans="1:7" ht="15.75" x14ac:dyDescent="0.25">
      <c r="A14" s="193" t="s">
        <v>52</v>
      </c>
      <c r="B14" s="194" t="s">
        <v>67</v>
      </c>
      <c r="C14" s="195">
        <v>33608.75</v>
      </c>
      <c r="D14" s="200">
        <v>44575</v>
      </c>
      <c r="E14" s="197">
        <v>33608.75</v>
      </c>
      <c r="F14" s="161">
        <f t="shared" si="1"/>
        <v>0</v>
      </c>
    </row>
    <row r="15" spans="1:7" ht="15.75" x14ac:dyDescent="0.25">
      <c r="A15" s="193" t="s">
        <v>52</v>
      </c>
      <c r="B15" s="194" t="s">
        <v>68</v>
      </c>
      <c r="C15" s="195">
        <v>36639.949999999997</v>
      </c>
      <c r="D15" s="200">
        <v>44575</v>
      </c>
      <c r="E15" s="197">
        <v>36639.949999999997</v>
      </c>
      <c r="F15" s="161">
        <f t="shared" si="1"/>
        <v>0</v>
      </c>
    </row>
    <row r="16" spans="1:7" ht="15.75" x14ac:dyDescent="0.25">
      <c r="A16" s="193" t="s">
        <v>69</v>
      </c>
      <c r="B16" s="194" t="s">
        <v>70</v>
      </c>
      <c r="C16" s="195">
        <v>11449.6</v>
      </c>
      <c r="D16" s="200">
        <v>44575</v>
      </c>
      <c r="E16" s="197">
        <v>11449.6</v>
      </c>
      <c r="F16" s="161">
        <f t="shared" si="1"/>
        <v>0</v>
      </c>
    </row>
    <row r="17" spans="1:7" ht="15.75" x14ac:dyDescent="0.25">
      <c r="A17" s="193" t="s">
        <v>69</v>
      </c>
      <c r="B17" s="194" t="s">
        <v>71</v>
      </c>
      <c r="C17" s="195">
        <v>54857.7</v>
      </c>
      <c r="D17" s="200">
        <v>44575</v>
      </c>
      <c r="E17" s="197">
        <v>54857.7</v>
      </c>
      <c r="F17" s="161">
        <f t="shared" si="1"/>
        <v>0</v>
      </c>
    </row>
    <row r="18" spans="1:7" ht="15.75" x14ac:dyDescent="0.25">
      <c r="A18" s="193" t="s">
        <v>69</v>
      </c>
      <c r="B18" s="194" t="s">
        <v>72</v>
      </c>
      <c r="C18" s="195">
        <v>8076.8</v>
      </c>
      <c r="D18" s="200">
        <v>44575</v>
      </c>
      <c r="E18" s="197">
        <v>8076.8</v>
      </c>
      <c r="F18" s="161">
        <f t="shared" si="1"/>
        <v>0</v>
      </c>
    </row>
    <row r="19" spans="1:7" ht="15.75" x14ac:dyDescent="0.25">
      <c r="A19" s="193" t="s">
        <v>73</v>
      </c>
      <c r="B19" s="194" t="s">
        <v>74</v>
      </c>
      <c r="C19" s="195">
        <v>65864.160000000003</v>
      </c>
      <c r="D19" s="200">
        <v>44575</v>
      </c>
      <c r="E19" s="197">
        <v>65864.160000000003</v>
      </c>
      <c r="F19" s="161">
        <f t="shared" si="1"/>
        <v>0</v>
      </c>
    </row>
    <row r="20" spans="1:7" ht="15.75" x14ac:dyDescent="0.25">
      <c r="A20" s="193" t="s">
        <v>73</v>
      </c>
      <c r="B20" s="194" t="s">
        <v>75</v>
      </c>
      <c r="C20" s="195">
        <v>30221.4</v>
      </c>
      <c r="D20" s="200">
        <v>44575</v>
      </c>
      <c r="E20" s="197">
        <v>30221.4</v>
      </c>
      <c r="F20" s="161">
        <f t="shared" si="1"/>
        <v>0</v>
      </c>
    </row>
    <row r="21" spans="1:7" ht="15.75" x14ac:dyDescent="0.25">
      <c r="A21" s="193" t="s">
        <v>73</v>
      </c>
      <c r="B21" s="194" t="s">
        <v>76</v>
      </c>
      <c r="C21" s="195">
        <v>2528</v>
      </c>
      <c r="D21" s="200">
        <v>44575</v>
      </c>
      <c r="E21" s="197">
        <v>2528</v>
      </c>
      <c r="F21" s="161">
        <f t="shared" si="1"/>
        <v>0</v>
      </c>
    </row>
    <row r="22" spans="1:7" ht="15.75" x14ac:dyDescent="0.25">
      <c r="A22" s="193" t="s">
        <v>77</v>
      </c>
      <c r="B22" s="194" t="s">
        <v>78</v>
      </c>
      <c r="C22" s="195">
        <v>0</v>
      </c>
      <c r="D22" s="202" t="s">
        <v>122</v>
      </c>
      <c r="E22" s="197">
        <v>0</v>
      </c>
      <c r="F22" s="161">
        <f t="shared" si="1"/>
        <v>0</v>
      </c>
    </row>
    <row r="23" spans="1:7" ht="15.75" x14ac:dyDescent="0.25">
      <c r="A23" s="193" t="s">
        <v>77</v>
      </c>
      <c r="B23" s="194" t="s">
        <v>79</v>
      </c>
      <c r="C23" s="195">
        <v>52417.4</v>
      </c>
      <c r="D23" s="200">
        <v>44575</v>
      </c>
      <c r="E23" s="197">
        <v>52417.4</v>
      </c>
      <c r="F23" s="161">
        <f t="shared" si="1"/>
        <v>0</v>
      </c>
    </row>
    <row r="24" spans="1:7" ht="18.75" x14ac:dyDescent="0.3">
      <c r="A24" s="193" t="s">
        <v>77</v>
      </c>
      <c r="B24" s="194" t="s">
        <v>80</v>
      </c>
      <c r="C24" s="195">
        <v>13493.8</v>
      </c>
      <c r="D24" s="200">
        <v>44575</v>
      </c>
      <c r="E24" s="197">
        <v>13493.8</v>
      </c>
      <c r="F24" s="161">
        <f t="shared" si="1"/>
        <v>0</v>
      </c>
      <c r="G24" s="162"/>
    </row>
    <row r="25" spans="1:7" ht="15.75" x14ac:dyDescent="0.25">
      <c r="A25" s="193" t="s">
        <v>81</v>
      </c>
      <c r="B25" s="194" t="s">
        <v>82</v>
      </c>
      <c r="C25" s="195">
        <v>47877.760000000002</v>
      </c>
      <c r="D25" s="200">
        <v>44575</v>
      </c>
      <c r="E25" s="197">
        <v>47877.760000000002</v>
      </c>
      <c r="F25" s="161">
        <f t="shared" si="1"/>
        <v>0</v>
      </c>
    </row>
    <row r="26" spans="1:7" ht="15.75" x14ac:dyDescent="0.25">
      <c r="A26" s="193" t="s">
        <v>65</v>
      </c>
      <c r="B26" s="194" t="s">
        <v>83</v>
      </c>
      <c r="C26" s="195">
        <v>700</v>
      </c>
      <c r="D26" s="200">
        <v>44575</v>
      </c>
      <c r="E26" s="197">
        <v>700</v>
      </c>
      <c r="F26" s="161">
        <f t="shared" si="1"/>
        <v>0</v>
      </c>
    </row>
    <row r="27" spans="1:7" ht="15.75" x14ac:dyDescent="0.25">
      <c r="A27" s="193" t="s">
        <v>65</v>
      </c>
      <c r="B27" s="194" t="s">
        <v>84</v>
      </c>
      <c r="C27" s="195">
        <v>29321.599999999999</v>
      </c>
      <c r="D27" s="200">
        <v>44582</v>
      </c>
      <c r="E27" s="192">
        <v>29321.599999999999</v>
      </c>
      <c r="F27" s="161">
        <f t="shared" si="1"/>
        <v>0</v>
      </c>
    </row>
    <row r="28" spans="1:7" ht="15.75" x14ac:dyDescent="0.25">
      <c r="A28" s="193" t="s">
        <v>86</v>
      </c>
      <c r="B28" s="194" t="s">
        <v>87</v>
      </c>
      <c r="C28" s="195">
        <v>76289.399999999994</v>
      </c>
      <c r="D28" s="200">
        <v>44582</v>
      </c>
      <c r="E28" s="192">
        <v>76289.399999999994</v>
      </c>
      <c r="F28" s="161">
        <f t="shared" si="1"/>
        <v>0</v>
      </c>
    </row>
    <row r="29" spans="1:7" ht="15.75" x14ac:dyDescent="0.25">
      <c r="A29" s="193" t="s">
        <v>86</v>
      </c>
      <c r="B29" s="194" t="s">
        <v>88</v>
      </c>
      <c r="C29" s="195">
        <v>20931.8</v>
      </c>
      <c r="D29" s="200">
        <v>44582</v>
      </c>
      <c r="E29" s="192">
        <v>20931.8</v>
      </c>
      <c r="F29" s="161">
        <f t="shared" si="1"/>
        <v>0</v>
      </c>
    </row>
    <row r="30" spans="1:7" ht="15.75" x14ac:dyDescent="0.25">
      <c r="A30" s="193" t="s">
        <v>89</v>
      </c>
      <c r="B30" s="194" t="s">
        <v>90</v>
      </c>
      <c r="C30" s="195">
        <v>39513.49</v>
      </c>
      <c r="D30" s="200">
        <v>44582</v>
      </c>
      <c r="E30" s="192">
        <v>39513.49</v>
      </c>
      <c r="F30" s="161">
        <f t="shared" si="1"/>
        <v>0</v>
      </c>
    </row>
    <row r="31" spans="1:7" ht="15.75" x14ac:dyDescent="0.25">
      <c r="A31" s="193" t="s">
        <v>91</v>
      </c>
      <c r="B31" s="194" t="s">
        <v>92</v>
      </c>
      <c r="C31" s="195">
        <v>38406.839999999997</v>
      </c>
      <c r="D31" s="200">
        <v>44582</v>
      </c>
      <c r="E31" s="192">
        <v>38406.839999999997</v>
      </c>
      <c r="F31" s="161">
        <f t="shared" si="1"/>
        <v>0</v>
      </c>
    </row>
    <row r="32" spans="1:7" ht="18.75" x14ac:dyDescent="0.3">
      <c r="A32" s="193" t="s">
        <v>91</v>
      </c>
      <c r="B32" s="194" t="s">
        <v>93</v>
      </c>
      <c r="C32" s="195">
        <v>1462</v>
      </c>
      <c r="D32" s="203" t="s">
        <v>91</v>
      </c>
      <c r="E32" s="204">
        <v>1462</v>
      </c>
      <c r="F32" s="161">
        <f t="shared" si="1"/>
        <v>0</v>
      </c>
      <c r="G32" s="162"/>
    </row>
    <row r="33" spans="1:6" ht="15.75" x14ac:dyDescent="0.25">
      <c r="A33" s="193" t="s">
        <v>91</v>
      </c>
      <c r="B33" s="194" t="s">
        <v>94</v>
      </c>
      <c r="C33" s="195">
        <v>6217.6</v>
      </c>
      <c r="D33" s="200">
        <v>44582</v>
      </c>
      <c r="E33" s="192">
        <v>6217.6</v>
      </c>
      <c r="F33" s="161">
        <f t="shared" si="1"/>
        <v>0</v>
      </c>
    </row>
    <row r="34" spans="1:6" ht="15.75" x14ac:dyDescent="0.25">
      <c r="A34" s="193" t="s">
        <v>95</v>
      </c>
      <c r="B34" s="194" t="s">
        <v>96</v>
      </c>
      <c r="C34" s="195">
        <v>46665.9</v>
      </c>
      <c r="D34" s="200">
        <v>44582</v>
      </c>
      <c r="E34" s="192">
        <v>46665.9</v>
      </c>
      <c r="F34" s="161">
        <f t="shared" si="1"/>
        <v>0</v>
      </c>
    </row>
    <row r="35" spans="1:6" ht="15.75" x14ac:dyDescent="0.25">
      <c r="A35" s="193" t="s">
        <v>95</v>
      </c>
      <c r="B35" s="194" t="s">
        <v>97</v>
      </c>
      <c r="C35" s="195">
        <v>8897.7999999999993</v>
      </c>
      <c r="D35" s="200">
        <v>44582</v>
      </c>
      <c r="E35" s="192">
        <v>8897.7999999999993</v>
      </c>
      <c r="F35" s="161">
        <f t="shared" si="1"/>
        <v>0</v>
      </c>
    </row>
    <row r="36" spans="1:6" ht="15.75" x14ac:dyDescent="0.25">
      <c r="A36" s="193" t="s">
        <v>98</v>
      </c>
      <c r="B36" s="194" t="s">
        <v>99</v>
      </c>
      <c r="C36" s="195">
        <v>7616.4</v>
      </c>
      <c r="D36" s="200">
        <v>44582</v>
      </c>
      <c r="E36" s="192">
        <v>7616.4</v>
      </c>
      <c r="F36" s="161">
        <f t="shared" si="1"/>
        <v>0</v>
      </c>
    </row>
    <row r="37" spans="1:6" ht="15.75" x14ac:dyDescent="0.25">
      <c r="A37" s="193" t="s">
        <v>85</v>
      </c>
      <c r="B37" s="194" t="s">
        <v>100</v>
      </c>
      <c r="C37" s="195">
        <v>100870.28</v>
      </c>
      <c r="D37" s="200">
        <v>44582</v>
      </c>
      <c r="E37" s="192">
        <v>100870.28</v>
      </c>
      <c r="F37" s="161">
        <f t="shared" si="1"/>
        <v>0</v>
      </c>
    </row>
    <row r="38" spans="1:6" ht="15.75" x14ac:dyDescent="0.25">
      <c r="A38" s="193" t="s">
        <v>85</v>
      </c>
      <c r="B38" s="194" t="s">
        <v>101</v>
      </c>
      <c r="C38" s="195">
        <v>5418.8</v>
      </c>
      <c r="D38" s="200">
        <v>44589</v>
      </c>
      <c r="E38" s="205">
        <v>5418.8</v>
      </c>
      <c r="F38" s="161">
        <f t="shared" si="1"/>
        <v>0</v>
      </c>
    </row>
    <row r="39" spans="1:6" ht="15.75" x14ac:dyDescent="0.25">
      <c r="A39" s="193" t="s">
        <v>103</v>
      </c>
      <c r="B39" s="194" t="s">
        <v>104</v>
      </c>
      <c r="C39" s="195">
        <v>100279.24</v>
      </c>
      <c r="D39" s="200">
        <v>44589</v>
      </c>
      <c r="E39" s="205">
        <v>100279.24</v>
      </c>
      <c r="F39" s="161">
        <f t="shared" si="1"/>
        <v>0</v>
      </c>
    </row>
    <row r="40" spans="1:6" ht="15.75" x14ac:dyDescent="0.25">
      <c r="A40" s="193" t="s">
        <v>103</v>
      </c>
      <c r="B40" s="194" t="s">
        <v>105</v>
      </c>
      <c r="C40" s="195">
        <v>6011.8</v>
      </c>
      <c r="D40" s="200">
        <v>44589</v>
      </c>
      <c r="E40" s="205">
        <v>6011.8</v>
      </c>
      <c r="F40" s="161">
        <f t="shared" si="1"/>
        <v>0</v>
      </c>
    </row>
    <row r="41" spans="1:6" ht="15.75" x14ac:dyDescent="0.25">
      <c r="A41" s="193" t="s">
        <v>106</v>
      </c>
      <c r="B41" s="194" t="s">
        <v>107</v>
      </c>
      <c r="C41" s="195">
        <v>51496.14</v>
      </c>
      <c r="D41" s="200">
        <v>44589</v>
      </c>
      <c r="E41" s="205">
        <v>51496.14</v>
      </c>
      <c r="F41" s="161">
        <f t="shared" si="1"/>
        <v>0</v>
      </c>
    </row>
    <row r="42" spans="1:6" ht="15.75" x14ac:dyDescent="0.25">
      <c r="A42" s="193" t="s">
        <v>106</v>
      </c>
      <c r="B42" s="194" t="s">
        <v>108</v>
      </c>
      <c r="C42" s="195">
        <v>3248.8</v>
      </c>
      <c r="D42" s="200">
        <v>44589</v>
      </c>
      <c r="E42" s="205">
        <v>3248.8</v>
      </c>
      <c r="F42" s="161">
        <f t="shared" si="1"/>
        <v>0</v>
      </c>
    </row>
    <row r="43" spans="1:6" ht="15.75" x14ac:dyDescent="0.25">
      <c r="A43" s="193" t="s">
        <v>109</v>
      </c>
      <c r="B43" s="194" t="s">
        <v>110</v>
      </c>
      <c r="C43" s="195">
        <v>114946.5</v>
      </c>
      <c r="D43" s="200">
        <v>44589</v>
      </c>
      <c r="E43" s="205">
        <v>114946.5</v>
      </c>
      <c r="F43" s="161">
        <f t="shared" si="1"/>
        <v>0</v>
      </c>
    </row>
    <row r="44" spans="1:6" ht="15.75" x14ac:dyDescent="0.25">
      <c r="A44" s="193" t="s">
        <v>109</v>
      </c>
      <c r="B44" s="194" t="s">
        <v>111</v>
      </c>
      <c r="C44" s="195">
        <v>11723</v>
      </c>
      <c r="D44" s="200">
        <v>44589</v>
      </c>
      <c r="E44" s="205">
        <v>11723</v>
      </c>
      <c r="F44" s="161">
        <f t="shared" si="1"/>
        <v>0</v>
      </c>
    </row>
    <row r="45" spans="1:6" ht="15.75" x14ac:dyDescent="0.25">
      <c r="A45" s="193" t="s">
        <v>112</v>
      </c>
      <c r="B45" s="194" t="s">
        <v>113</v>
      </c>
      <c r="C45" s="195">
        <v>5262.6</v>
      </c>
      <c r="D45" s="200">
        <v>44589</v>
      </c>
      <c r="E45" s="205">
        <v>5262.6</v>
      </c>
      <c r="F45" s="161">
        <f t="shared" si="1"/>
        <v>0</v>
      </c>
    </row>
    <row r="46" spans="1:6" ht="15.75" x14ac:dyDescent="0.25">
      <c r="A46" s="193" t="s">
        <v>112</v>
      </c>
      <c r="B46" s="194" t="s">
        <v>114</v>
      </c>
      <c r="C46" s="195">
        <v>10932.6</v>
      </c>
      <c r="D46" s="200">
        <v>44589</v>
      </c>
      <c r="E46" s="205">
        <v>10932.6</v>
      </c>
      <c r="F46" s="161">
        <f t="shared" si="1"/>
        <v>0</v>
      </c>
    </row>
    <row r="47" spans="1:6" ht="15.75" x14ac:dyDescent="0.25">
      <c r="A47" s="193" t="s">
        <v>112</v>
      </c>
      <c r="B47" s="194" t="s">
        <v>115</v>
      </c>
      <c r="C47" s="195">
        <v>1306.5</v>
      </c>
      <c r="D47" s="200">
        <v>44589</v>
      </c>
      <c r="E47" s="205">
        <v>1306.5</v>
      </c>
      <c r="F47" s="161">
        <f t="shared" si="1"/>
        <v>0</v>
      </c>
    </row>
    <row r="48" spans="1:6" ht="15.75" x14ac:dyDescent="0.25">
      <c r="A48" s="193" t="s">
        <v>102</v>
      </c>
      <c r="B48" s="194" t="s">
        <v>116</v>
      </c>
      <c r="C48" s="195">
        <v>91103.16</v>
      </c>
      <c r="D48" s="200">
        <v>44589</v>
      </c>
      <c r="E48" s="205">
        <v>91103.16</v>
      </c>
      <c r="F48" s="161">
        <f t="shared" si="1"/>
        <v>0</v>
      </c>
    </row>
    <row r="49" spans="1:6" ht="15.75" x14ac:dyDescent="0.25">
      <c r="A49" s="193" t="s">
        <v>117</v>
      </c>
      <c r="B49" s="194" t="s">
        <v>118</v>
      </c>
      <c r="C49" s="195">
        <v>81224.759999999995</v>
      </c>
      <c r="D49" s="207">
        <v>44596</v>
      </c>
      <c r="E49" s="208">
        <v>81224.759999999995</v>
      </c>
      <c r="F49" s="161">
        <f t="shared" si="1"/>
        <v>0</v>
      </c>
    </row>
    <row r="50" spans="1:6" ht="15.75" x14ac:dyDescent="0.25">
      <c r="A50" s="193" t="s">
        <v>117</v>
      </c>
      <c r="B50" s="194" t="s">
        <v>119</v>
      </c>
      <c r="C50" s="195">
        <v>4089.6</v>
      </c>
      <c r="D50" s="207">
        <v>44596</v>
      </c>
      <c r="E50" s="208">
        <v>4089.6</v>
      </c>
      <c r="F50" s="161">
        <f t="shared" si="1"/>
        <v>0</v>
      </c>
    </row>
    <row r="51" spans="1:6" ht="15.75" x14ac:dyDescent="0.25">
      <c r="A51" s="193" t="s">
        <v>117</v>
      </c>
      <c r="B51" s="194" t="s">
        <v>120</v>
      </c>
      <c r="C51" s="195">
        <v>8445.7999999999993</v>
      </c>
      <c r="D51" s="207">
        <v>44596</v>
      </c>
      <c r="E51" s="208">
        <v>8445.7999999999993</v>
      </c>
      <c r="F51" s="161">
        <f t="shared" si="1"/>
        <v>0</v>
      </c>
    </row>
    <row r="52" spans="1:6" ht="15.75" x14ac:dyDescent="0.25">
      <c r="A52" s="193"/>
      <c r="B52" s="194"/>
      <c r="C52" s="195"/>
      <c r="D52" s="215"/>
      <c r="E52" s="216"/>
      <c r="F52" s="161">
        <f t="shared" si="1"/>
        <v>0</v>
      </c>
    </row>
    <row r="53" spans="1:6" ht="15.75" x14ac:dyDescent="0.25">
      <c r="A53" s="159"/>
      <c r="B53" s="160"/>
      <c r="C53" s="86"/>
      <c r="D53" s="159"/>
      <c r="E53" s="86"/>
      <c r="F53" s="161">
        <f t="shared" si="1"/>
        <v>0</v>
      </c>
    </row>
    <row r="54" spans="1:6" ht="15.75" x14ac:dyDescent="0.25">
      <c r="A54" s="159"/>
      <c r="B54" s="160"/>
      <c r="C54" s="86"/>
      <c r="D54" s="159"/>
      <c r="E54" s="86"/>
      <c r="F54" s="161">
        <f t="shared" si="1"/>
        <v>0</v>
      </c>
    </row>
    <row r="55" spans="1:6" ht="15.75" x14ac:dyDescent="0.25">
      <c r="A55" s="159"/>
      <c r="B55" s="160"/>
      <c r="C55" s="86"/>
      <c r="D55" s="159"/>
      <c r="E55" s="86"/>
      <c r="F55" s="161">
        <f t="shared" si="1"/>
        <v>0</v>
      </c>
    </row>
    <row r="56" spans="1:6" ht="15.75" x14ac:dyDescent="0.25">
      <c r="A56" s="163"/>
      <c r="B56" s="160"/>
      <c r="C56" s="86"/>
      <c r="D56" s="159"/>
      <c r="E56" s="86"/>
      <c r="F56" s="161">
        <f t="shared" si="1"/>
        <v>0</v>
      </c>
    </row>
    <row r="57" spans="1:6" ht="15.75" x14ac:dyDescent="0.25">
      <c r="A57" s="163"/>
      <c r="B57" s="160"/>
      <c r="C57" s="86"/>
      <c r="D57" s="159"/>
      <c r="E57" s="86"/>
      <c r="F57" s="161">
        <f t="shared" si="1"/>
        <v>0</v>
      </c>
    </row>
    <row r="58" spans="1:6" ht="15.75" x14ac:dyDescent="0.25">
      <c r="A58" s="163"/>
      <c r="B58" s="160"/>
      <c r="C58" s="86"/>
      <c r="D58" s="159"/>
      <c r="E58" s="86"/>
      <c r="F58" s="161">
        <f t="shared" si="1"/>
        <v>0</v>
      </c>
    </row>
    <row r="59" spans="1:6" ht="15.75" x14ac:dyDescent="0.25">
      <c r="A59" s="159"/>
      <c r="B59" s="160"/>
      <c r="C59" s="86"/>
      <c r="D59" s="159"/>
      <c r="E59" s="86"/>
      <c r="F59" s="161">
        <f t="shared" si="1"/>
        <v>0</v>
      </c>
    </row>
    <row r="60" spans="1:6" ht="15.75" x14ac:dyDescent="0.25">
      <c r="A60" s="159"/>
      <c r="B60" s="160"/>
      <c r="C60" s="86"/>
      <c r="D60" s="159"/>
      <c r="E60" s="86"/>
      <c r="F60" s="161">
        <f t="shared" si="1"/>
        <v>0</v>
      </c>
    </row>
    <row r="61" spans="1:6" ht="15.75" x14ac:dyDescent="0.25">
      <c r="A61" s="159"/>
      <c r="B61" s="160"/>
      <c r="C61" s="86"/>
      <c r="D61" s="159"/>
      <c r="E61" s="86"/>
      <c r="F61" s="161">
        <f t="shared" si="1"/>
        <v>0</v>
      </c>
    </row>
    <row r="62" spans="1:6" ht="15.75" x14ac:dyDescent="0.25">
      <c r="A62" s="163"/>
      <c r="B62" s="160"/>
      <c r="C62" s="86"/>
      <c r="D62" s="159"/>
      <c r="E62" s="86"/>
      <c r="F62" s="161">
        <f t="shared" si="1"/>
        <v>0</v>
      </c>
    </row>
    <row r="63" spans="1:6" ht="15.75" x14ac:dyDescent="0.25">
      <c r="A63" s="163"/>
      <c r="B63" s="160"/>
      <c r="C63" s="86"/>
      <c r="D63" s="159"/>
      <c r="E63" s="86"/>
      <c r="F63" s="161">
        <f t="shared" si="1"/>
        <v>0</v>
      </c>
    </row>
    <row r="64" spans="1:6" ht="16.5" thickBot="1" x14ac:dyDescent="0.3">
      <c r="A64" s="163"/>
      <c r="B64" s="160"/>
      <c r="C64" s="86"/>
      <c r="D64" s="159"/>
      <c r="E64" s="86"/>
      <c r="F64" s="161">
        <f t="shared" si="1"/>
        <v>0</v>
      </c>
    </row>
    <row r="65" spans="1:6" ht="15" hidden="1" customHeight="1" x14ac:dyDescent="0.25">
      <c r="A65" s="164"/>
      <c r="B65" s="165"/>
      <c r="C65" s="166"/>
      <c r="D65" s="159"/>
      <c r="E65" s="86"/>
      <c r="F65" s="161">
        <f t="shared" si="1"/>
        <v>0</v>
      </c>
    </row>
    <row r="66" spans="1:6" ht="16.5" hidden="1" thickBot="1" x14ac:dyDescent="0.3">
      <c r="A66" s="164"/>
      <c r="B66" s="165"/>
      <c r="C66" s="166"/>
      <c r="D66" s="159"/>
      <c r="E66" s="86"/>
      <c r="F66" s="161">
        <f t="shared" si="1"/>
        <v>0</v>
      </c>
    </row>
    <row r="67" spans="1:6" ht="16.5" hidden="1" thickBot="1" x14ac:dyDescent="0.3">
      <c r="A67" s="164"/>
      <c r="B67" s="165"/>
      <c r="C67" s="166"/>
      <c r="D67" s="159"/>
      <c r="E67" s="86"/>
      <c r="F67" s="161">
        <f t="shared" si="1"/>
        <v>0</v>
      </c>
    </row>
    <row r="68" spans="1:6" ht="16.5" hidden="1" thickBot="1" x14ac:dyDescent="0.3">
      <c r="A68" s="164"/>
      <c r="B68" s="165"/>
      <c r="C68" s="166"/>
      <c r="D68" s="159"/>
      <c r="E68" s="86"/>
      <c r="F68" s="161">
        <f t="shared" si="1"/>
        <v>0</v>
      </c>
    </row>
    <row r="69" spans="1:6" ht="16.5" hidden="1" thickBot="1" x14ac:dyDescent="0.3">
      <c r="A69" s="164"/>
      <c r="B69" s="165"/>
      <c r="C69" s="166"/>
      <c r="D69" s="159"/>
      <c r="E69" s="86"/>
      <c r="F69" s="161">
        <f t="shared" si="1"/>
        <v>0</v>
      </c>
    </row>
    <row r="70" spans="1:6" ht="16.5" hidden="1" thickBot="1" x14ac:dyDescent="0.3">
      <c r="A70" s="164"/>
      <c r="B70" s="165"/>
      <c r="C70" s="166"/>
      <c r="D70" s="159"/>
      <c r="E70" s="86"/>
      <c r="F70" s="161">
        <f t="shared" si="1"/>
        <v>0</v>
      </c>
    </row>
    <row r="71" spans="1:6" ht="16.5" hidden="1" thickBot="1" x14ac:dyDescent="0.3">
      <c r="A71" s="164"/>
      <c r="B71" s="165"/>
      <c r="C71" s="166"/>
      <c r="D71" s="159"/>
      <c r="E71" s="86"/>
      <c r="F71" s="161">
        <f t="shared" si="1"/>
        <v>0</v>
      </c>
    </row>
    <row r="72" spans="1:6" ht="16.5" hidden="1" thickBot="1" x14ac:dyDescent="0.3">
      <c r="A72" s="164"/>
      <c r="B72" s="165"/>
      <c r="C72" s="166"/>
      <c r="D72" s="159"/>
      <c r="E72" s="86"/>
      <c r="F72" s="161">
        <f t="shared" si="1"/>
        <v>0</v>
      </c>
    </row>
    <row r="73" spans="1:6" ht="16.5" hidden="1" thickBot="1" x14ac:dyDescent="0.3">
      <c r="A73" s="164"/>
      <c r="B73" s="165"/>
      <c r="C73" s="166"/>
      <c r="D73" s="159"/>
      <c r="E73" s="86"/>
      <c r="F73" s="161">
        <f t="shared" si="1"/>
        <v>0</v>
      </c>
    </row>
    <row r="74" spans="1:6" ht="16.5" hidden="1" thickBot="1" x14ac:dyDescent="0.3">
      <c r="A74" s="164"/>
      <c r="B74" s="165"/>
      <c r="C74" s="166"/>
      <c r="D74" s="159"/>
      <c r="E74" s="86"/>
      <c r="F74" s="161">
        <f t="shared" si="1"/>
        <v>0</v>
      </c>
    </row>
    <row r="75" spans="1:6" ht="16.5" hidden="1" thickBot="1" x14ac:dyDescent="0.3">
      <c r="A75" s="164"/>
      <c r="B75" s="165"/>
      <c r="C75" s="166"/>
      <c r="D75" s="159"/>
      <c r="E75" s="86"/>
      <c r="F75" s="161">
        <f t="shared" ref="F75:F99" si="2">F74+C75-E75</f>
        <v>0</v>
      </c>
    </row>
    <row r="76" spans="1:6" ht="16.5" hidden="1" thickBot="1" x14ac:dyDescent="0.3">
      <c r="A76" s="164"/>
      <c r="B76" s="165"/>
      <c r="C76" s="166"/>
      <c r="D76" s="159"/>
      <c r="E76" s="86"/>
      <c r="F76" s="161">
        <f t="shared" si="2"/>
        <v>0</v>
      </c>
    </row>
    <row r="77" spans="1:6" ht="16.5" hidden="1" thickBot="1" x14ac:dyDescent="0.3">
      <c r="A77" s="164"/>
      <c r="B77" s="165"/>
      <c r="C77" s="166"/>
      <c r="D77" s="159"/>
      <c r="E77" s="86"/>
      <c r="F77" s="161">
        <f t="shared" si="2"/>
        <v>0</v>
      </c>
    </row>
    <row r="78" spans="1:6" ht="16.5" hidden="1" thickBot="1" x14ac:dyDescent="0.3">
      <c r="A78" s="164"/>
      <c r="B78" s="165"/>
      <c r="C78" s="166"/>
      <c r="D78" s="159"/>
      <c r="E78" s="86"/>
      <c r="F78" s="161">
        <f t="shared" si="2"/>
        <v>0</v>
      </c>
    </row>
    <row r="79" spans="1:6" ht="16.5" hidden="1" thickBot="1" x14ac:dyDescent="0.3">
      <c r="A79" s="164"/>
      <c r="B79" s="165"/>
      <c r="C79" s="166"/>
      <c r="D79" s="159"/>
      <c r="E79" s="86"/>
      <c r="F79" s="161">
        <f t="shared" si="2"/>
        <v>0</v>
      </c>
    </row>
    <row r="80" spans="1:6" ht="16.5" hidden="1" thickBot="1" x14ac:dyDescent="0.3">
      <c r="A80" s="164"/>
      <c r="B80" s="165"/>
      <c r="C80" s="166"/>
      <c r="D80" s="159"/>
      <c r="E80" s="86"/>
      <c r="F80" s="161">
        <f t="shared" si="2"/>
        <v>0</v>
      </c>
    </row>
    <row r="81" spans="1:6" ht="16.5" hidden="1" thickBot="1" x14ac:dyDescent="0.3">
      <c r="A81" s="164"/>
      <c r="B81" s="165"/>
      <c r="C81" s="166"/>
      <c r="D81" s="159"/>
      <c r="E81" s="86"/>
      <c r="F81" s="161">
        <f t="shared" si="2"/>
        <v>0</v>
      </c>
    </row>
    <row r="82" spans="1:6" ht="16.5" hidden="1" thickBot="1" x14ac:dyDescent="0.3">
      <c r="A82" s="164"/>
      <c r="B82" s="165"/>
      <c r="C82" s="166"/>
      <c r="D82" s="159"/>
      <c r="E82" s="86"/>
      <c r="F82" s="161">
        <f t="shared" si="2"/>
        <v>0</v>
      </c>
    </row>
    <row r="83" spans="1:6" ht="16.5" hidden="1" thickBot="1" x14ac:dyDescent="0.3">
      <c r="A83" s="167"/>
      <c r="B83" s="168"/>
      <c r="C83" s="169"/>
      <c r="D83" s="170"/>
      <c r="E83" s="34"/>
      <c r="F83" s="161">
        <f t="shared" si="2"/>
        <v>0</v>
      </c>
    </row>
    <row r="84" spans="1:6" ht="16.5" hidden="1" thickBot="1" x14ac:dyDescent="0.3">
      <c r="A84" s="167"/>
      <c r="B84" s="168"/>
      <c r="C84" s="169"/>
      <c r="D84" s="170"/>
      <c r="E84" s="34"/>
      <c r="F84" s="161">
        <f t="shared" si="2"/>
        <v>0</v>
      </c>
    </row>
    <row r="85" spans="1:6" ht="16.5" hidden="1" thickBot="1" x14ac:dyDescent="0.3">
      <c r="A85" s="167"/>
      <c r="B85" s="168"/>
      <c r="C85" s="169"/>
      <c r="D85" s="170"/>
      <c r="E85" s="34"/>
      <c r="F85" s="161">
        <f t="shared" si="2"/>
        <v>0</v>
      </c>
    </row>
    <row r="86" spans="1:6" ht="16.5" hidden="1" thickBot="1" x14ac:dyDescent="0.3">
      <c r="A86" s="167"/>
      <c r="B86" s="168"/>
      <c r="C86" s="169"/>
      <c r="D86" s="170"/>
      <c r="E86" s="34"/>
      <c r="F86" s="161">
        <f t="shared" si="2"/>
        <v>0</v>
      </c>
    </row>
    <row r="87" spans="1:6" ht="16.5" hidden="1" thickBot="1" x14ac:dyDescent="0.3">
      <c r="A87" s="167"/>
      <c r="B87" s="168"/>
      <c r="C87" s="169"/>
      <c r="D87" s="170"/>
      <c r="E87" s="34"/>
      <c r="F87" s="161">
        <f t="shared" si="2"/>
        <v>0</v>
      </c>
    </row>
    <row r="88" spans="1:6" ht="16.5" hidden="1" thickBot="1" x14ac:dyDescent="0.3">
      <c r="A88" s="167"/>
      <c r="B88" s="168"/>
      <c r="C88" s="169"/>
      <c r="D88" s="170"/>
      <c r="E88" s="34"/>
      <c r="F88" s="161">
        <f t="shared" si="2"/>
        <v>0</v>
      </c>
    </row>
    <row r="89" spans="1:6" ht="16.5" hidden="1" thickBot="1" x14ac:dyDescent="0.3">
      <c r="A89" s="164"/>
      <c r="B89" s="165"/>
      <c r="C89" s="166"/>
      <c r="D89" s="171"/>
      <c r="E89" s="86"/>
      <c r="F89" s="161">
        <f t="shared" si="2"/>
        <v>0</v>
      </c>
    </row>
    <row r="90" spans="1:6" ht="16.5" hidden="1" thickBot="1" x14ac:dyDescent="0.3">
      <c r="A90" s="164"/>
      <c r="B90" s="165"/>
      <c r="C90" s="166"/>
      <c r="D90" s="171"/>
      <c r="E90" s="86"/>
      <c r="F90" s="161">
        <f t="shared" si="2"/>
        <v>0</v>
      </c>
    </row>
    <row r="91" spans="1:6" ht="16.5" hidden="1" thickBot="1" x14ac:dyDescent="0.3">
      <c r="A91" s="164"/>
      <c r="B91" s="165"/>
      <c r="C91" s="166"/>
      <c r="D91" s="171"/>
      <c r="E91" s="86"/>
      <c r="F91" s="161">
        <f t="shared" si="2"/>
        <v>0</v>
      </c>
    </row>
    <row r="92" spans="1:6" ht="16.5" hidden="1" thickBot="1" x14ac:dyDescent="0.3">
      <c r="A92" s="164"/>
      <c r="B92" s="165"/>
      <c r="C92" s="166"/>
      <c r="D92" s="171"/>
      <c r="E92" s="86"/>
      <c r="F92" s="161">
        <f t="shared" si="2"/>
        <v>0</v>
      </c>
    </row>
    <row r="93" spans="1:6" ht="16.5" hidden="1" thickBot="1" x14ac:dyDescent="0.3">
      <c r="A93" s="164"/>
      <c r="B93" s="165"/>
      <c r="C93" s="166"/>
      <c r="D93" s="171"/>
      <c r="E93" s="86"/>
      <c r="F93" s="161">
        <f t="shared" si="2"/>
        <v>0</v>
      </c>
    </row>
    <row r="94" spans="1:6" ht="16.5" hidden="1" thickBot="1" x14ac:dyDescent="0.3">
      <c r="A94" s="164"/>
      <c r="B94" s="165"/>
      <c r="C94" s="166"/>
      <c r="D94" s="171"/>
      <c r="E94" s="86"/>
      <c r="F94" s="161">
        <f t="shared" si="2"/>
        <v>0</v>
      </c>
    </row>
    <row r="95" spans="1:6" ht="16.5" hidden="1" thickBot="1" x14ac:dyDescent="0.3">
      <c r="A95" s="164"/>
      <c r="B95" s="165"/>
      <c r="C95" s="166"/>
      <c r="D95" s="171"/>
      <c r="E95" s="86"/>
      <c r="F95" s="161">
        <f t="shared" si="2"/>
        <v>0</v>
      </c>
    </row>
    <row r="96" spans="1:6" ht="16.5" hidden="1" thickBot="1" x14ac:dyDescent="0.3">
      <c r="A96" s="164"/>
      <c r="B96" s="165"/>
      <c r="C96" s="166"/>
      <c r="D96" s="171"/>
      <c r="E96" s="86"/>
      <c r="F96" s="161">
        <f t="shared" si="2"/>
        <v>0</v>
      </c>
    </row>
    <row r="97" spans="1:6" ht="16.5" hidden="1" thickBot="1" x14ac:dyDescent="0.3">
      <c r="A97" s="164"/>
      <c r="B97" s="165"/>
      <c r="C97" s="166"/>
      <c r="D97" s="171"/>
      <c r="E97" s="86"/>
      <c r="F97" s="161">
        <f t="shared" si="2"/>
        <v>0</v>
      </c>
    </row>
    <row r="98" spans="1:6" ht="16.5" hidden="1" thickBot="1" x14ac:dyDescent="0.3">
      <c r="A98" s="164"/>
      <c r="B98" s="165"/>
      <c r="C98" s="166"/>
      <c r="D98" s="171"/>
      <c r="E98" s="86"/>
      <c r="F98" s="161">
        <f t="shared" si="2"/>
        <v>0</v>
      </c>
    </row>
    <row r="99" spans="1:6" ht="16.5" hidden="1" thickBot="1" x14ac:dyDescent="0.3">
      <c r="A99" s="172"/>
      <c r="B99" s="173"/>
      <c r="C99" s="34">
        <v>0</v>
      </c>
      <c r="D99" s="174"/>
      <c r="E99" s="34"/>
      <c r="F99" s="161">
        <f t="shared" si="2"/>
        <v>0</v>
      </c>
    </row>
    <row r="100" spans="1:6" ht="19.5" thickBot="1" x14ac:dyDescent="0.35">
      <c r="A100" s="175"/>
      <c r="B100" s="176"/>
      <c r="C100" s="177">
        <f>SUM(C5:C99)</f>
        <v>1419082.7700000005</v>
      </c>
      <c r="D100" s="189"/>
      <c r="E100" s="178">
        <f>SUM(E5:E99)</f>
        <v>1419082.7700000005</v>
      </c>
      <c r="F100" s="179">
        <f>F99</f>
        <v>0</v>
      </c>
    </row>
    <row r="101" spans="1:6" x14ac:dyDescent="0.25">
      <c r="D101" s="170"/>
    </row>
    <row r="102" spans="1:6" x14ac:dyDescent="0.25">
      <c r="D102" s="170"/>
    </row>
    <row r="103" spans="1:6" x14ac:dyDescent="0.25">
      <c r="B103" s="190"/>
    </row>
    <row r="104" spans="1:6" x14ac:dyDescent="0.25">
      <c r="B104" s="190"/>
    </row>
    <row r="105" spans="1:6" x14ac:dyDescent="0.25">
      <c r="B105" s="190"/>
    </row>
    <row r="106" spans="1:6" x14ac:dyDescent="0.25">
      <c r="B106" s="190"/>
      <c r="F106" s="117"/>
    </row>
    <row r="107" spans="1:6" x14ac:dyDescent="0.25">
      <c r="B107" s="190"/>
      <c r="F107" s="117"/>
    </row>
    <row r="108" spans="1:6" x14ac:dyDescent="0.25">
      <c r="B108" s="190"/>
      <c r="F108" s="117"/>
    </row>
    <row r="109" spans="1:6" x14ac:dyDescent="0.25">
      <c r="B109" s="190"/>
      <c r="F109" s="117"/>
    </row>
    <row r="110" spans="1:6" x14ac:dyDescent="0.25">
      <c r="B110" s="190"/>
      <c r="F110" s="117"/>
    </row>
    <row r="111" spans="1:6" x14ac:dyDescent="0.25">
      <c r="B111" s="190"/>
      <c r="F111" s="117"/>
    </row>
    <row r="112" spans="1:6" x14ac:dyDescent="0.25">
      <c r="B112" s="190"/>
      <c r="F112" s="117"/>
    </row>
    <row r="113" spans="2:6" x14ac:dyDescent="0.25">
      <c r="B113" s="190"/>
      <c r="F113" s="117"/>
    </row>
    <row r="114" spans="2:6" x14ac:dyDescent="0.25">
      <c r="B114" s="190"/>
      <c r="F114" s="117"/>
    </row>
    <row r="115" spans="2:6" x14ac:dyDescent="0.25">
      <c r="B115" s="190"/>
      <c r="E115" s="117"/>
      <c r="F115" s="117"/>
    </row>
    <row r="116" spans="2:6" x14ac:dyDescent="0.25">
      <c r="B116" s="190"/>
      <c r="E116" s="117"/>
      <c r="F116" s="117"/>
    </row>
    <row r="117" spans="2:6" x14ac:dyDescent="0.25">
      <c r="B117" s="190"/>
      <c r="E117" s="117"/>
      <c r="F117" s="117"/>
    </row>
    <row r="118" spans="2:6" x14ac:dyDescent="0.25">
      <c r="B118" s="190"/>
      <c r="E118" s="117"/>
      <c r="F118" s="117"/>
    </row>
    <row r="119" spans="2:6" x14ac:dyDescent="0.25">
      <c r="B119" s="190"/>
      <c r="E119" s="117"/>
      <c r="F119" s="117"/>
    </row>
    <row r="120" spans="2:6" x14ac:dyDescent="0.25">
      <c r="B120" s="190"/>
      <c r="E120" s="117"/>
      <c r="F120" s="117"/>
    </row>
    <row r="121" spans="2:6" x14ac:dyDescent="0.25">
      <c r="B121" s="190"/>
      <c r="E121" s="117"/>
    </row>
    <row r="122" spans="2:6" x14ac:dyDescent="0.25">
      <c r="B122" s="190"/>
      <c r="E122" s="117"/>
    </row>
    <row r="123" spans="2:6" x14ac:dyDescent="0.25">
      <c r="B123" s="190"/>
      <c r="E123" s="117"/>
    </row>
    <row r="124" spans="2:6" x14ac:dyDescent="0.25">
      <c r="B124" s="190"/>
      <c r="E124" s="117"/>
    </row>
    <row r="125" spans="2:6" x14ac:dyDescent="0.25">
      <c r="B125" s="190"/>
      <c r="E125" s="117"/>
    </row>
    <row r="126" spans="2:6" x14ac:dyDescent="0.25">
      <c r="B126" s="190"/>
      <c r="E126" s="117"/>
    </row>
    <row r="127" spans="2:6" x14ac:dyDescent="0.25">
      <c r="B127" s="190"/>
      <c r="E127" s="117"/>
    </row>
    <row r="128" spans="2:6" x14ac:dyDescent="0.25">
      <c r="B128" s="190"/>
      <c r="E128" s="117"/>
    </row>
    <row r="129" spans="2:5" x14ac:dyDescent="0.25">
      <c r="B129" s="190"/>
      <c r="E129" s="117"/>
    </row>
    <row r="130" spans="2:5" x14ac:dyDescent="0.25">
      <c r="B130" s="190"/>
    </row>
    <row r="131" spans="2:5" x14ac:dyDescent="0.25">
      <c r="B131" s="190"/>
    </row>
    <row r="132" spans="2:5" x14ac:dyDescent="0.25">
      <c r="B132" s="190"/>
    </row>
    <row r="133" spans="2:5" x14ac:dyDescent="0.25">
      <c r="B133" s="190"/>
    </row>
    <row r="134" spans="2:5" x14ac:dyDescent="0.25">
      <c r="B134" s="190"/>
    </row>
    <row r="135" spans="2:5" x14ac:dyDescent="0.25">
      <c r="B135" s="190"/>
    </row>
    <row r="136" spans="2:5" ht="18.75" x14ac:dyDescent="0.3">
      <c r="C136" s="180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22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21" ht="23.25" x14ac:dyDescent="0.35">
      <c r="B1" s="274"/>
      <c r="C1" s="276" t="s">
        <v>125</v>
      </c>
      <c r="D1" s="277"/>
      <c r="E1" s="277"/>
      <c r="F1" s="277"/>
      <c r="G1" s="277"/>
      <c r="H1" s="277"/>
      <c r="I1" s="277"/>
      <c r="J1" s="277"/>
      <c r="K1" s="277"/>
      <c r="L1" s="277"/>
      <c r="M1" s="277"/>
    </row>
    <row r="2" spans="1:21" ht="16.5" thickBot="1" x14ac:dyDescent="0.3">
      <c r="B2" s="275"/>
      <c r="C2" s="3"/>
      <c r="H2" s="5"/>
      <c r="I2" s="6"/>
      <c r="J2" s="7"/>
      <c r="L2" s="8"/>
      <c r="M2" s="6"/>
      <c r="N2" s="9"/>
    </row>
    <row r="3" spans="1:21" ht="21.75" thickBot="1" x14ac:dyDescent="0.35">
      <c r="B3" s="278" t="s">
        <v>0</v>
      </c>
      <c r="C3" s="279"/>
      <c r="D3" s="10"/>
      <c r="E3" s="11"/>
      <c r="F3" s="11"/>
      <c r="H3" s="280" t="s">
        <v>1</v>
      </c>
      <c r="I3" s="280"/>
      <c r="K3" s="13"/>
      <c r="L3" s="13"/>
      <c r="M3" s="14"/>
      <c r="R3" s="285" t="s">
        <v>38</v>
      </c>
    </row>
    <row r="4" spans="1:21" ht="20.25" thickTop="1" thickBot="1" x14ac:dyDescent="0.35">
      <c r="A4" s="15" t="s">
        <v>2</v>
      </c>
      <c r="B4" s="16"/>
      <c r="C4" s="17">
        <v>154314.51999999999</v>
      </c>
      <c r="D4" s="18">
        <v>44591</v>
      </c>
      <c r="E4" s="281" t="s">
        <v>3</v>
      </c>
      <c r="F4" s="282"/>
      <c r="H4" s="283" t="s">
        <v>4</v>
      </c>
      <c r="I4" s="284"/>
      <c r="J4" s="19"/>
      <c r="K4" s="20"/>
      <c r="L4" s="21"/>
      <c r="M4" s="22" t="s">
        <v>5</v>
      </c>
      <c r="N4" s="23" t="s">
        <v>6</v>
      </c>
      <c r="P4" s="292" t="s">
        <v>7</v>
      </c>
      <c r="Q4" s="293"/>
      <c r="R4" s="286"/>
    </row>
    <row r="5" spans="1:21" ht="18" thickBot="1" x14ac:dyDescent="0.35">
      <c r="A5" s="24" t="s">
        <v>8</v>
      </c>
      <c r="B5" s="25">
        <v>44592</v>
      </c>
      <c r="C5" s="26">
        <v>4540</v>
      </c>
      <c r="D5" s="27" t="s">
        <v>47</v>
      </c>
      <c r="E5" s="28">
        <v>44592</v>
      </c>
      <c r="F5" s="29">
        <v>35119</v>
      </c>
      <c r="G5" s="2"/>
      <c r="H5" s="30">
        <v>44592</v>
      </c>
      <c r="I5" s="31">
        <v>246</v>
      </c>
      <c r="J5" s="7"/>
      <c r="K5" s="183"/>
      <c r="L5" s="9"/>
      <c r="M5" s="32">
        <f>10743+19900</f>
        <v>30643</v>
      </c>
      <c r="N5" s="33">
        <v>0</v>
      </c>
      <c r="O5" s="2"/>
      <c r="P5" s="34">
        <f>N5+M5+L5+I5+C5</f>
        <v>35429</v>
      </c>
      <c r="Q5" s="13">
        <v>0</v>
      </c>
      <c r="R5" s="184">
        <v>310</v>
      </c>
    </row>
    <row r="6" spans="1:21" ht="18" thickBot="1" x14ac:dyDescent="0.35">
      <c r="A6" s="24"/>
      <c r="B6" s="25">
        <v>44593</v>
      </c>
      <c r="C6" s="26">
        <v>0</v>
      </c>
      <c r="D6" s="36"/>
      <c r="E6" s="28">
        <v>44593</v>
      </c>
      <c r="F6" s="29">
        <v>42378</v>
      </c>
      <c r="G6" s="2"/>
      <c r="H6" s="37">
        <v>44593</v>
      </c>
      <c r="I6" s="31">
        <v>41</v>
      </c>
      <c r="J6" s="38"/>
      <c r="K6" s="39"/>
      <c r="L6" s="40"/>
      <c r="M6" s="32">
        <f>9692+32500</f>
        <v>42192</v>
      </c>
      <c r="N6" s="33">
        <v>145</v>
      </c>
      <c r="O6" s="2"/>
      <c r="P6" s="34">
        <f t="shared" ref="P6:P39" si="0">N6+M6+L6+I6+C6</f>
        <v>42378</v>
      </c>
      <c r="Q6" s="13">
        <v>0</v>
      </c>
      <c r="R6" s="8"/>
    </row>
    <row r="7" spans="1:21" ht="18" thickBot="1" x14ac:dyDescent="0.35">
      <c r="A7" s="24"/>
      <c r="B7" s="25">
        <v>44594</v>
      </c>
      <c r="C7" s="26">
        <v>0</v>
      </c>
      <c r="D7" s="41"/>
      <c r="E7" s="28">
        <v>44594</v>
      </c>
      <c r="F7" s="29">
        <v>47132</v>
      </c>
      <c r="G7" s="2"/>
      <c r="H7" s="37">
        <v>44594</v>
      </c>
      <c r="I7" s="31">
        <v>186</v>
      </c>
      <c r="J7" s="38" t="s">
        <v>8</v>
      </c>
      <c r="K7" s="42"/>
      <c r="L7" s="40"/>
      <c r="M7" s="32">
        <f>34300+12646</f>
        <v>46946</v>
      </c>
      <c r="N7" s="33">
        <v>0</v>
      </c>
      <c r="O7" s="2"/>
      <c r="P7" s="34">
        <f t="shared" si="0"/>
        <v>47132</v>
      </c>
      <c r="Q7" s="9">
        <v>0</v>
      </c>
      <c r="R7" s="9"/>
    </row>
    <row r="8" spans="1:21" ht="18" thickBot="1" x14ac:dyDescent="0.35">
      <c r="A8" s="24"/>
      <c r="B8" s="25">
        <v>44595</v>
      </c>
      <c r="C8" s="26">
        <v>0</v>
      </c>
      <c r="D8" s="41"/>
      <c r="E8" s="28">
        <v>44595</v>
      </c>
      <c r="F8" s="29">
        <v>65082</v>
      </c>
      <c r="G8" s="2"/>
      <c r="H8" s="37">
        <v>44595</v>
      </c>
      <c r="I8" s="31">
        <v>0</v>
      </c>
      <c r="J8" s="44"/>
      <c r="K8" s="45"/>
      <c r="L8" s="40"/>
      <c r="M8" s="32">
        <f>30682+34400</f>
        <v>65082</v>
      </c>
      <c r="N8" s="33">
        <v>0</v>
      </c>
      <c r="O8" s="2"/>
      <c r="P8" s="34">
        <f t="shared" si="0"/>
        <v>65082</v>
      </c>
      <c r="Q8" s="9">
        <f t="shared" ref="Q8:Q39" si="1">P8-F8</f>
        <v>0</v>
      </c>
      <c r="R8" s="9"/>
    </row>
    <row r="9" spans="1:21" ht="18" thickBot="1" x14ac:dyDescent="0.35">
      <c r="A9" s="24"/>
      <c r="B9" s="25">
        <v>44596</v>
      </c>
      <c r="C9" s="26">
        <v>12482</v>
      </c>
      <c r="D9" s="41" t="s">
        <v>126</v>
      </c>
      <c r="E9" s="28">
        <v>44596</v>
      </c>
      <c r="F9" s="29">
        <v>71591</v>
      </c>
      <c r="G9" s="2"/>
      <c r="H9" s="37">
        <v>44596</v>
      </c>
      <c r="I9" s="31">
        <v>31</v>
      </c>
      <c r="J9" s="38"/>
      <c r="K9" s="46"/>
      <c r="L9" s="40"/>
      <c r="M9" s="32">
        <f>28100+24178</f>
        <v>52278</v>
      </c>
      <c r="N9" s="33">
        <v>6800</v>
      </c>
      <c r="O9" s="2"/>
      <c r="P9" s="34">
        <f>N9+M9+L9+I9+C9</f>
        <v>71591</v>
      </c>
      <c r="Q9" s="9">
        <f>P9-F9</f>
        <v>0</v>
      </c>
      <c r="R9" s="8"/>
    </row>
    <row r="10" spans="1:21" ht="18" thickBot="1" x14ac:dyDescent="0.35">
      <c r="A10" s="24"/>
      <c r="B10" s="25">
        <v>44597</v>
      </c>
      <c r="C10" s="26">
        <v>0</v>
      </c>
      <c r="D10" s="36"/>
      <c r="E10" s="28">
        <v>44597</v>
      </c>
      <c r="F10" s="29">
        <v>73744</v>
      </c>
      <c r="G10" s="2"/>
      <c r="H10" s="37">
        <v>44597</v>
      </c>
      <c r="I10" s="31">
        <v>77</v>
      </c>
      <c r="J10" s="38">
        <v>44597</v>
      </c>
      <c r="K10" s="47" t="s">
        <v>127</v>
      </c>
      <c r="L10" s="48">
        <v>7950</v>
      </c>
      <c r="M10" s="32">
        <f>26061+38200</f>
        <v>64261</v>
      </c>
      <c r="N10" s="33">
        <v>1456</v>
      </c>
      <c r="O10" s="2"/>
      <c r="P10" s="34">
        <f t="shared" si="0"/>
        <v>73744</v>
      </c>
      <c r="Q10" s="13">
        <f t="shared" si="1"/>
        <v>0</v>
      </c>
      <c r="R10" s="9"/>
      <c r="U10" t="s">
        <v>8</v>
      </c>
    </row>
    <row r="11" spans="1:21" ht="18" thickBot="1" x14ac:dyDescent="0.35">
      <c r="A11" s="24"/>
      <c r="B11" s="25">
        <v>44598</v>
      </c>
      <c r="C11" s="26">
        <v>5501</v>
      </c>
      <c r="D11" s="36" t="s">
        <v>128</v>
      </c>
      <c r="E11" s="28">
        <v>44598</v>
      </c>
      <c r="F11" s="29">
        <v>79345</v>
      </c>
      <c r="G11" s="2"/>
      <c r="H11" s="37">
        <v>44598</v>
      </c>
      <c r="I11" s="31">
        <v>0</v>
      </c>
      <c r="J11" s="44"/>
      <c r="K11" s="49"/>
      <c r="L11" s="40"/>
      <c r="M11" s="32">
        <f>64900+1644</f>
        <v>66544</v>
      </c>
      <c r="N11" s="33">
        <v>7300</v>
      </c>
      <c r="O11" s="2"/>
      <c r="P11" s="34">
        <f>N11+M11+L11+I11+C11</f>
        <v>79345</v>
      </c>
      <c r="Q11" s="13">
        <f t="shared" si="1"/>
        <v>0</v>
      </c>
      <c r="R11" s="8" t="s">
        <v>8</v>
      </c>
    </row>
    <row r="12" spans="1:21" ht="18" thickBot="1" x14ac:dyDescent="0.35">
      <c r="A12" s="24"/>
      <c r="B12" s="25">
        <v>44599</v>
      </c>
      <c r="C12" s="26">
        <v>0</v>
      </c>
      <c r="D12" s="36"/>
      <c r="E12" s="28">
        <v>44599</v>
      </c>
      <c r="F12" s="29">
        <v>67731</v>
      </c>
      <c r="G12" s="2"/>
      <c r="H12" s="37">
        <v>44599</v>
      </c>
      <c r="I12" s="31">
        <v>67</v>
      </c>
      <c r="J12" s="38"/>
      <c r="K12" s="50"/>
      <c r="L12" s="40"/>
      <c r="M12" s="32">
        <f>13164+54500</f>
        <v>67664</v>
      </c>
      <c r="N12" s="33">
        <v>0</v>
      </c>
      <c r="O12" s="2"/>
      <c r="P12" s="34">
        <f t="shared" si="0"/>
        <v>67731</v>
      </c>
      <c r="Q12" s="9">
        <f t="shared" si="1"/>
        <v>0</v>
      </c>
      <c r="R12" s="8"/>
    </row>
    <row r="13" spans="1:21" ht="18" thickBot="1" x14ac:dyDescent="0.35">
      <c r="A13" s="24"/>
      <c r="B13" s="25">
        <v>44600</v>
      </c>
      <c r="C13" s="26">
        <v>0</v>
      </c>
      <c r="D13" s="41"/>
      <c r="E13" s="28">
        <v>44600</v>
      </c>
      <c r="F13" s="29">
        <v>51979</v>
      </c>
      <c r="G13" s="2"/>
      <c r="H13" s="37">
        <v>44600</v>
      </c>
      <c r="I13" s="31">
        <v>8</v>
      </c>
      <c r="J13" s="38"/>
      <c r="K13" s="39"/>
      <c r="L13" s="40"/>
      <c r="M13" s="32">
        <f>21751+29500</f>
        <v>51251</v>
      </c>
      <c r="N13" s="33">
        <v>720</v>
      </c>
      <c r="O13" s="2"/>
      <c r="P13" s="34">
        <f t="shared" si="0"/>
        <v>51979</v>
      </c>
      <c r="Q13" s="13">
        <f t="shared" si="1"/>
        <v>0</v>
      </c>
      <c r="R13" s="185"/>
    </row>
    <row r="14" spans="1:21" ht="18" thickBot="1" x14ac:dyDescent="0.35">
      <c r="A14" s="24"/>
      <c r="B14" s="25">
        <v>44601</v>
      </c>
      <c r="C14" s="26">
        <v>6305</v>
      </c>
      <c r="D14" s="51" t="s">
        <v>129</v>
      </c>
      <c r="E14" s="28">
        <v>44601</v>
      </c>
      <c r="F14" s="29">
        <v>41680</v>
      </c>
      <c r="G14" s="2"/>
      <c r="H14" s="37">
        <v>44601</v>
      </c>
      <c r="I14" s="31">
        <v>69</v>
      </c>
      <c r="J14" s="38"/>
      <c r="K14" s="45"/>
      <c r="L14" s="40"/>
      <c r="M14" s="32">
        <f>16400+18750</f>
        <v>35150</v>
      </c>
      <c r="N14" s="33">
        <v>159</v>
      </c>
      <c r="O14" s="2"/>
      <c r="P14" s="34">
        <f t="shared" si="0"/>
        <v>41683</v>
      </c>
      <c r="Q14" s="13">
        <f t="shared" si="1"/>
        <v>3</v>
      </c>
      <c r="R14" s="185"/>
    </row>
    <row r="15" spans="1:21" ht="18" thickBot="1" x14ac:dyDescent="0.35">
      <c r="A15" s="24"/>
      <c r="B15" s="25">
        <v>44602</v>
      </c>
      <c r="C15" s="26">
        <v>0</v>
      </c>
      <c r="D15" s="51"/>
      <c r="E15" s="28">
        <v>44602</v>
      </c>
      <c r="F15" s="29">
        <v>63053</v>
      </c>
      <c r="G15" s="2"/>
      <c r="H15" s="37">
        <v>44602</v>
      </c>
      <c r="I15" s="31">
        <v>0</v>
      </c>
      <c r="J15" s="38"/>
      <c r="K15" s="45"/>
      <c r="L15" s="40"/>
      <c r="M15" s="32">
        <f>38100+24952+1</f>
        <v>63053</v>
      </c>
      <c r="N15" s="33">
        <v>0</v>
      </c>
      <c r="P15" s="34">
        <f t="shared" si="0"/>
        <v>63053</v>
      </c>
      <c r="Q15" s="13">
        <f t="shared" si="1"/>
        <v>0</v>
      </c>
      <c r="R15" s="8"/>
    </row>
    <row r="16" spans="1:21" ht="18" thickBot="1" x14ac:dyDescent="0.35">
      <c r="A16" s="24"/>
      <c r="B16" s="25">
        <v>44603</v>
      </c>
      <c r="C16" s="26">
        <v>18244</v>
      </c>
      <c r="D16" s="36" t="s">
        <v>49</v>
      </c>
      <c r="E16" s="28">
        <v>44603</v>
      </c>
      <c r="F16" s="29">
        <v>76646</v>
      </c>
      <c r="G16" s="2"/>
      <c r="H16" s="37">
        <v>44603</v>
      </c>
      <c r="I16" s="31">
        <v>33</v>
      </c>
      <c r="J16" s="38"/>
      <c r="K16" s="45"/>
      <c r="L16" s="9"/>
      <c r="M16" s="32">
        <f>32669+25700</f>
        <v>58369</v>
      </c>
      <c r="N16" s="33">
        <v>0</v>
      </c>
      <c r="P16" s="34">
        <f t="shared" si="0"/>
        <v>76646</v>
      </c>
      <c r="Q16" s="9">
        <f t="shared" si="1"/>
        <v>0</v>
      </c>
      <c r="R16" s="8" t="s">
        <v>8</v>
      </c>
    </row>
    <row r="17" spans="1:19" ht="18" thickBot="1" x14ac:dyDescent="0.35">
      <c r="A17" s="24"/>
      <c r="B17" s="25">
        <v>44604</v>
      </c>
      <c r="C17" s="26">
        <v>0</v>
      </c>
      <c r="D17" s="41"/>
      <c r="E17" s="28">
        <v>44604</v>
      </c>
      <c r="F17" s="29">
        <v>64635</v>
      </c>
      <c r="G17" s="2"/>
      <c r="H17" s="37">
        <v>44604</v>
      </c>
      <c r="I17" s="31">
        <v>22</v>
      </c>
      <c r="J17" s="38">
        <v>44604</v>
      </c>
      <c r="K17" s="52" t="s">
        <v>130</v>
      </c>
      <c r="L17" s="48">
        <v>10085.709999999999</v>
      </c>
      <c r="M17" s="32">
        <f>18624+32500</f>
        <v>51124</v>
      </c>
      <c r="N17" s="33">
        <v>3403</v>
      </c>
      <c r="P17" s="34">
        <f t="shared" si="0"/>
        <v>64634.71</v>
      </c>
      <c r="Q17" s="61">
        <f t="shared" si="1"/>
        <v>-0.29000000000087311</v>
      </c>
      <c r="R17" s="8"/>
    </row>
    <row r="18" spans="1:19" ht="18" thickBot="1" x14ac:dyDescent="0.35">
      <c r="A18" s="24"/>
      <c r="B18" s="25">
        <v>44605</v>
      </c>
      <c r="C18" s="26">
        <v>0</v>
      </c>
      <c r="D18" s="36"/>
      <c r="E18" s="28">
        <v>44605</v>
      </c>
      <c r="F18" s="29">
        <v>108725</v>
      </c>
      <c r="G18" s="2"/>
      <c r="H18" s="37">
        <v>44605</v>
      </c>
      <c r="I18" s="31">
        <v>43</v>
      </c>
      <c r="J18" s="38"/>
      <c r="K18" s="53"/>
      <c r="L18" s="40"/>
      <c r="M18" s="32">
        <f>18700+37100+47000+4577</f>
        <v>107377</v>
      </c>
      <c r="N18" s="33">
        <v>1305</v>
      </c>
      <c r="P18" s="34">
        <f t="shared" si="0"/>
        <v>108725</v>
      </c>
      <c r="Q18" s="9">
        <f t="shared" si="1"/>
        <v>0</v>
      </c>
      <c r="R18" s="8"/>
    </row>
    <row r="19" spans="1:19" ht="18" thickBot="1" x14ac:dyDescent="0.35">
      <c r="A19" s="24"/>
      <c r="B19" s="25">
        <v>44606</v>
      </c>
      <c r="C19" s="26">
        <v>0</v>
      </c>
      <c r="D19" s="36"/>
      <c r="E19" s="28">
        <v>44606</v>
      </c>
      <c r="F19" s="29">
        <v>47223</v>
      </c>
      <c r="G19" s="2"/>
      <c r="H19" s="37">
        <v>44606</v>
      </c>
      <c r="I19" s="31">
        <v>52</v>
      </c>
      <c r="J19" s="38"/>
      <c r="K19" s="54"/>
      <c r="L19" s="55"/>
      <c r="M19" s="32">
        <f>30000+16311</f>
        <v>46311</v>
      </c>
      <c r="N19" s="33">
        <v>860</v>
      </c>
      <c r="O19" s="2"/>
      <c r="P19" s="34">
        <f t="shared" si="0"/>
        <v>47223</v>
      </c>
      <c r="Q19" s="9">
        <f t="shared" si="1"/>
        <v>0</v>
      </c>
      <c r="R19" s="8"/>
    </row>
    <row r="20" spans="1:19" ht="18" thickBot="1" x14ac:dyDescent="0.35">
      <c r="A20" s="24"/>
      <c r="B20" s="25">
        <v>44607</v>
      </c>
      <c r="C20" s="26">
        <v>0</v>
      </c>
      <c r="D20" s="36"/>
      <c r="E20" s="28">
        <v>44607</v>
      </c>
      <c r="F20" s="29">
        <v>58969</v>
      </c>
      <c r="G20" s="2"/>
      <c r="H20" s="37">
        <v>44607</v>
      </c>
      <c r="I20" s="31">
        <v>8</v>
      </c>
      <c r="J20" s="38"/>
      <c r="K20" s="56"/>
      <c r="L20" s="48"/>
      <c r="M20" s="32">
        <f>38200+17945</f>
        <v>56145</v>
      </c>
      <c r="N20" s="33">
        <v>2816</v>
      </c>
      <c r="P20" s="34">
        <f t="shared" si="0"/>
        <v>58969</v>
      </c>
      <c r="Q20" s="9">
        <f t="shared" si="1"/>
        <v>0</v>
      </c>
      <c r="R20" s="8"/>
    </row>
    <row r="21" spans="1:19" ht="18" thickBot="1" x14ac:dyDescent="0.35">
      <c r="A21" s="24"/>
      <c r="B21" s="25">
        <v>44608</v>
      </c>
      <c r="C21" s="26">
        <v>3691</v>
      </c>
      <c r="D21" s="36" t="s">
        <v>47</v>
      </c>
      <c r="E21" s="28">
        <v>44608</v>
      </c>
      <c r="F21" s="29">
        <v>37620</v>
      </c>
      <c r="G21" s="2"/>
      <c r="H21" s="37">
        <v>44608</v>
      </c>
      <c r="I21" s="31">
        <v>46</v>
      </c>
      <c r="J21" s="38"/>
      <c r="K21" s="57" t="s">
        <v>131</v>
      </c>
      <c r="L21" s="48"/>
      <c r="M21" s="32">
        <f>18500+15000</f>
        <v>33500</v>
      </c>
      <c r="N21" s="33">
        <v>389</v>
      </c>
      <c r="P21" s="34">
        <f t="shared" si="0"/>
        <v>37626</v>
      </c>
      <c r="Q21" s="13">
        <f t="shared" si="1"/>
        <v>6</v>
      </c>
      <c r="R21" s="8"/>
    </row>
    <row r="22" spans="1:19" ht="18" thickBot="1" x14ac:dyDescent="0.35">
      <c r="A22" s="24"/>
      <c r="B22" s="25">
        <v>44609</v>
      </c>
      <c r="C22" s="26">
        <v>0</v>
      </c>
      <c r="D22" s="36"/>
      <c r="E22" s="28">
        <v>44609</v>
      </c>
      <c r="F22" s="29">
        <v>64651</v>
      </c>
      <c r="G22" s="2"/>
      <c r="H22" s="37">
        <v>44609</v>
      </c>
      <c r="I22" s="31">
        <v>15</v>
      </c>
      <c r="J22" s="38"/>
      <c r="K22" s="35"/>
      <c r="L22" s="58"/>
      <c r="M22" s="32">
        <f>25000+39640</f>
        <v>64640</v>
      </c>
      <c r="N22" s="33">
        <v>0</v>
      </c>
      <c r="P22" s="34">
        <f t="shared" si="0"/>
        <v>64655</v>
      </c>
      <c r="Q22" s="13">
        <f t="shared" si="1"/>
        <v>4</v>
      </c>
      <c r="R22" s="8"/>
    </row>
    <row r="23" spans="1:19" ht="18" thickBot="1" x14ac:dyDescent="0.35">
      <c r="A23" s="24"/>
      <c r="B23" s="25">
        <v>44610</v>
      </c>
      <c r="C23" s="26">
        <v>16295</v>
      </c>
      <c r="D23" s="36" t="s">
        <v>49</v>
      </c>
      <c r="E23" s="28">
        <v>44610</v>
      </c>
      <c r="F23" s="29">
        <v>75549</v>
      </c>
      <c r="G23" s="2"/>
      <c r="H23" s="37">
        <v>44610</v>
      </c>
      <c r="I23" s="31">
        <v>211</v>
      </c>
      <c r="J23" s="59"/>
      <c r="K23" s="60"/>
      <c r="L23" s="48"/>
      <c r="M23" s="32">
        <f>30000+29040</f>
        <v>59040</v>
      </c>
      <c r="N23" s="33">
        <v>0</v>
      </c>
      <c r="P23" s="34">
        <f t="shared" si="0"/>
        <v>75546</v>
      </c>
      <c r="Q23" s="61">
        <f t="shared" si="1"/>
        <v>-3</v>
      </c>
      <c r="R23" s="8"/>
    </row>
    <row r="24" spans="1:19" ht="18" thickBot="1" x14ac:dyDescent="0.35">
      <c r="A24" s="24"/>
      <c r="B24" s="25">
        <v>44611</v>
      </c>
      <c r="C24" s="26">
        <v>0</v>
      </c>
      <c r="D24" s="41"/>
      <c r="E24" s="28">
        <v>44611</v>
      </c>
      <c r="F24" s="29">
        <v>82958</v>
      </c>
      <c r="G24" s="2"/>
      <c r="H24" s="37">
        <v>44611</v>
      </c>
      <c r="I24" s="31">
        <v>360</v>
      </c>
      <c r="J24" s="181">
        <v>44611</v>
      </c>
      <c r="K24" s="62" t="s">
        <v>132</v>
      </c>
      <c r="L24" s="63">
        <v>8850</v>
      </c>
      <c r="M24" s="32">
        <f>45000+20948</f>
        <v>65948</v>
      </c>
      <c r="N24" s="33">
        <v>7800</v>
      </c>
      <c r="P24" s="34">
        <f t="shared" si="0"/>
        <v>82958</v>
      </c>
      <c r="Q24" s="13">
        <f t="shared" si="1"/>
        <v>0</v>
      </c>
      <c r="R24" s="8"/>
    </row>
    <row r="25" spans="1:19" ht="18" thickBot="1" x14ac:dyDescent="0.35">
      <c r="A25" s="24"/>
      <c r="B25" s="25">
        <v>44612</v>
      </c>
      <c r="C25" s="26">
        <v>0</v>
      </c>
      <c r="D25" s="36"/>
      <c r="E25" s="28">
        <v>44612</v>
      </c>
      <c r="F25" s="29">
        <v>106586</v>
      </c>
      <c r="G25" s="2"/>
      <c r="H25" s="37">
        <v>44612</v>
      </c>
      <c r="I25" s="31">
        <v>32</v>
      </c>
      <c r="J25" s="64"/>
      <c r="K25" s="65"/>
      <c r="L25" s="66"/>
      <c r="M25" s="32">
        <f>60000+30000+16000</f>
        <v>106000</v>
      </c>
      <c r="N25" s="33">
        <v>554</v>
      </c>
      <c r="O25" t="s">
        <v>8</v>
      </c>
      <c r="P25" s="34">
        <f t="shared" si="0"/>
        <v>106586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44613</v>
      </c>
      <c r="C26" s="26">
        <v>0</v>
      </c>
      <c r="D26" s="36"/>
      <c r="E26" s="28">
        <v>44613</v>
      </c>
      <c r="F26" s="29">
        <v>47495</v>
      </c>
      <c r="G26" s="2"/>
      <c r="H26" s="37">
        <v>44613</v>
      </c>
      <c r="I26" s="95">
        <v>73</v>
      </c>
      <c r="J26" s="69"/>
      <c r="K26" s="236"/>
      <c r="L26" s="48"/>
      <c r="M26" s="32">
        <f>25440+20000</f>
        <v>45440</v>
      </c>
      <c r="N26" s="33">
        <v>1981</v>
      </c>
      <c r="P26" s="34">
        <f t="shared" si="0"/>
        <v>47494</v>
      </c>
      <c r="Q26" s="61">
        <f t="shared" si="1"/>
        <v>-1</v>
      </c>
      <c r="R26" s="9"/>
    </row>
    <row r="27" spans="1:19" ht="18" thickBot="1" x14ac:dyDescent="0.35">
      <c r="A27" s="24"/>
      <c r="B27" s="25">
        <v>44614</v>
      </c>
      <c r="C27" s="26">
        <v>2720</v>
      </c>
      <c r="D27" s="41" t="s">
        <v>47</v>
      </c>
      <c r="E27" s="28">
        <v>44614</v>
      </c>
      <c r="F27" s="29">
        <v>41772</v>
      </c>
      <c r="G27" s="2"/>
      <c r="H27" s="37">
        <v>44614</v>
      </c>
      <c r="I27" s="31">
        <v>5</v>
      </c>
      <c r="J27" s="67"/>
      <c r="K27" s="68"/>
      <c r="L27" s="66"/>
      <c r="M27" s="32">
        <f>15000+20050</f>
        <v>35050</v>
      </c>
      <c r="N27" s="33">
        <v>4000</v>
      </c>
      <c r="P27" s="34">
        <f t="shared" si="0"/>
        <v>41775</v>
      </c>
      <c r="Q27" s="13">
        <f t="shared" si="1"/>
        <v>3</v>
      </c>
      <c r="R27" s="8"/>
    </row>
    <row r="28" spans="1:19" ht="18" thickBot="1" x14ac:dyDescent="0.35">
      <c r="A28" s="24"/>
      <c r="B28" s="25">
        <v>44615</v>
      </c>
      <c r="C28" s="26">
        <v>0</v>
      </c>
      <c r="D28" s="41"/>
      <c r="E28" s="28">
        <v>44615</v>
      </c>
      <c r="F28" s="29">
        <v>43438</v>
      </c>
      <c r="G28" s="2"/>
      <c r="H28" s="37">
        <v>44615</v>
      </c>
      <c r="I28" s="31">
        <v>969</v>
      </c>
      <c r="J28" s="69"/>
      <c r="K28" s="70"/>
      <c r="L28" s="66"/>
      <c r="M28" s="32">
        <f>31470+10000</f>
        <v>41470</v>
      </c>
      <c r="N28" s="33">
        <v>1000</v>
      </c>
      <c r="P28" s="34">
        <f t="shared" si="0"/>
        <v>43439</v>
      </c>
      <c r="Q28" s="13">
        <f t="shared" si="1"/>
        <v>1</v>
      </c>
      <c r="R28" s="8"/>
    </row>
    <row r="29" spans="1:19" ht="18" thickBot="1" x14ac:dyDescent="0.35">
      <c r="A29" s="24"/>
      <c r="B29" s="25">
        <v>44616</v>
      </c>
      <c r="C29" s="26">
        <v>800</v>
      </c>
      <c r="D29" s="71" t="s">
        <v>133</v>
      </c>
      <c r="E29" s="28">
        <v>44616</v>
      </c>
      <c r="F29" s="29">
        <v>56873</v>
      </c>
      <c r="G29" s="2"/>
      <c r="H29" s="37">
        <v>44616</v>
      </c>
      <c r="I29" s="31">
        <v>410</v>
      </c>
      <c r="J29" s="67"/>
      <c r="K29" s="72"/>
      <c r="L29" s="66"/>
      <c r="M29" s="32">
        <f>39620+15000</f>
        <v>54620</v>
      </c>
      <c r="N29" s="33">
        <v>1040</v>
      </c>
      <c r="P29" s="34">
        <f t="shared" si="0"/>
        <v>56870</v>
      </c>
      <c r="Q29" s="61">
        <f t="shared" si="1"/>
        <v>-3</v>
      </c>
      <c r="R29" s="8"/>
    </row>
    <row r="30" spans="1:19" ht="18" thickBot="1" x14ac:dyDescent="0.35">
      <c r="A30" s="24"/>
      <c r="B30" s="25">
        <v>44617</v>
      </c>
      <c r="C30" s="26">
        <v>0</v>
      </c>
      <c r="D30" s="71"/>
      <c r="E30" s="28">
        <v>44617</v>
      </c>
      <c r="F30" s="29">
        <v>86846</v>
      </c>
      <c r="G30" s="2"/>
      <c r="H30" s="37">
        <v>44617</v>
      </c>
      <c r="I30" s="31">
        <v>180</v>
      </c>
      <c r="J30" s="73"/>
      <c r="K30" s="74"/>
      <c r="L30" s="75"/>
      <c r="M30" s="32">
        <f>40000+46670</f>
        <v>86670</v>
      </c>
      <c r="N30" s="33">
        <v>0</v>
      </c>
      <c r="P30" s="34">
        <f t="shared" si="0"/>
        <v>86850</v>
      </c>
      <c r="Q30" s="9">
        <f t="shared" si="1"/>
        <v>4</v>
      </c>
      <c r="R30" s="8"/>
    </row>
    <row r="31" spans="1:19" ht="18" thickBot="1" x14ac:dyDescent="0.35">
      <c r="A31" s="24"/>
      <c r="B31" s="25">
        <v>44618</v>
      </c>
      <c r="C31" s="26">
        <v>0</v>
      </c>
      <c r="D31" s="83"/>
      <c r="E31" s="28">
        <v>44618</v>
      </c>
      <c r="F31" s="29">
        <v>70043</v>
      </c>
      <c r="G31" s="2"/>
      <c r="H31" s="37">
        <v>44618</v>
      </c>
      <c r="I31" s="31">
        <v>172.5</v>
      </c>
      <c r="J31" s="73">
        <v>44618</v>
      </c>
      <c r="K31" s="76" t="s">
        <v>134</v>
      </c>
      <c r="L31" s="77">
        <v>10371</v>
      </c>
      <c r="M31" s="32">
        <f>15220+35000</f>
        <v>50220</v>
      </c>
      <c r="N31" s="33">
        <v>9280</v>
      </c>
      <c r="P31" s="34">
        <f t="shared" si="0"/>
        <v>70043.5</v>
      </c>
      <c r="Q31" s="9">
        <f t="shared" si="1"/>
        <v>0.5</v>
      </c>
      <c r="R31" s="8"/>
    </row>
    <row r="32" spans="1:19" ht="18" thickBot="1" x14ac:dyDescent="0.35">
      <c r="A32" s="24"/>
      <c r="B32" s="25">
        <v>44619</v>
      </c>
      <c r="C32" s="26">
        <v>18265</v>
      </c>
      <c r="D32" s="78" t="s">
        <v>49</v>
      </c>
      <c r="E32" s="28">
        <v>44619</v>
      </c>
      <c r="F32" s="29">
        <v>112057</v>
      </c>
      <c r="G32" s="2"/>
      <c r="H32" s="37">
        <v>44619</v>
      </c>
      <c r="I32" s="31">
        <v>0</v>
      </c>
      <c r="J32" s="73"/>
      <c r="K32" s="74"/>
      <c r="L32" s="75"/>
      <c r="M32" s="32">
        <f>45000+35000+9120</f>
        <v>89120</v>
      </c>
      <c r="N32" s="33">
        <v>4667</v>
      </c>
      <c r="P32" s="34">
        <f t="shared" si="0"/>
        <v>112052</v>
      </c>
      <c r="Q32" s="43">
        <f t="shared" si="1"/>
        <v>-5</v>
      </c>
      <c r="R32" s="8"/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7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9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7"/>
      <c r="I34" s="31"/>
      <c r="J34" s="73"/>
      <c r="K34" s="221"/>
      <c r="L34" s="80"/>
      <c r="M34" s="220">
        <v>0</v>
      </c>
      <c r="N34" s="33">
        <v>0</v>
      </c>
      <c r="P34" s="34">
        <f t="shared" si="0"/>
        <v>0</v>
      </c>
      <c r="Q34" s="9">
        <f t="shared" si="1"/>
        <v>0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7"/>
      <c r="I35" s="31"/>
      <c r="J35" s="73"/>
      <c r="K35" s="76" t="s">
        <v>124</v>
      </c>
      <c r="L35" s="80">
        <v>549</v>
      </c>
      <c r="M35" s="220">
        <v>0</v>
      </c>
      <c r="N35" s="33">
        <v>0</v>
      </c>
      <c r="P35" s="34">
        <f t="shared" si="0"/>
        <v>549</v>
      </c>
      <c r="Q35" s="9">
        <f t="shared" si="1"/>
        <v>549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7"/>
      <c r="I36" s="31"/>
      <c r="J36" s="73"/>
      <c r="K36" s="237" t="s">
        <v>206</v>
      </c>
      <c r="L36" s="80">
        <v>1195.68</v>
      </c>
      <c r="M36" s="220">
        <v>0</v>
      </c>
      <c r="N36" s="33">
        <v>0</v>
      </c>
      <c r="P36" s="34">
        <f t="shared" si="0"/>
        <v>1195.68</v>
      </c>
      <c r="Q36" s="9">
        <f t="shared" si="1"/>
        <v>1195.68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7"/>
      <c r="I37" s="31"/>
      <c r="J37" s="73"/>
      <c r="K37" s="221" t="s">
        <v>204</v>
      </c>
      <c r="L37" s="80">
        <v>1055.9100000000001</v>
      </c>
      <c r="M37" s="220">
        <v>0</v>
      </c>
      <c r="N37" s="33">
        <v>0</v>
      </c>
      <c r="P37" s="34">
        <f t="shared" si="0"/>
        <v>1055.9100000000001</v>
      </c>
      <c r="Q37" s="9">
        <f t="shared" si="1"/>
        <v>1055.9100000000001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7"/>
      <c r="I38" s="31"/>
      <c r="J38" s="73"/>
      <c r="K38" s="76" t="s">
        <v>205</v>
      </c>
      <c r="L38" s="80">
        <v>1392</v>
      </c>
      <c r="M38" s="220">
        <v>0</v>
      </c>
      <c r="N38" s="33">
        <v>0</v>
      </c>
      <c r="P38" s="34">
        <f t="shared" si="0"/>
        <v>1392</v>
      </c>
      <c r="Q38" s="9">
        <f t="shared" si="1"/>
        <v>1392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7"/>
      <c r="I39" s="31"/>
      <c r="J39" s="73"/>
      <c r="K39" s="76" t="s">
        <v>207</v>
      </c>
      <c r="L39" s="80">
        <v>828.48</v>
      </c>
      <c r="M39" s="220">
        <v>0</v>
      </c>
      <c r="N39" s="33">
        <v>0</v>
      </c>
      <c r="P39" s="34">
        <f t="shared" si="0"/>
        <v>828.48</v>
      </c>
      <c r="Q39" s="9">
        <f t="shared" si="1"/>
        <v>828.48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80"/>
      <c r="M40" s="312">
        <f>SUM(M5:M39)</f>
        <v>1636108</v>
      </c>
      <c r="N40" s="296">
        <f>SUM(N5:N39)</f>
        <v>55675</v>
      </c>
      <c r="P40" s="34">
        <f>SUM(P5:P39)</f>
        <v>1826260.2799999998</v>
      </c>
      <c r="Q40" s="9">
        <f>SUM(Q5:Q38)</f>
        <v>4201.7999999999993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76"/>
      <c r="L41" s="75"/>
      <c r="M41" s="295"/>
      <c r="N41" s="297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88843</v>
      </c>
      <c r="D51" s="107"/>
      <c r="E51" s="108" t="s">
        <v>9</v>
      </c>
      <c r="F51" s="109">
        <f>SUM(F5:F50)</f>
        <v>1820920</v>
      </c>
      <c r="G51" s="107"/>
      <c r="H51" s="110" t="s">
        <v>10</v>
      </c>
      <c r="I51" s="111">
        <f>SUM(I5:I50)</f>
        <v>3356.5</v>
      </c>
      <c r="J51" s="112"/>
      <c r="K51" s="113" t="s">
        <v>11</v>
      </c>
      <c r="L51" s="114">
        <f>SUM(L5:L50)</f>
        <v>42277.780000000006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298" t="s">
        <v>12</v>
      </c>
      <c r="I53" s="299"/>
      <c r="J53" s="119"/>
      <c r="K53" s="300">
        <f>I51+L51</f>
        <v>45634.280000000006</v>
      </c>
      <c r="L53" s="301"/>
      <c r="M53" s="302">
        <f>N40+M40</f>
        <v>1691783</v>
      </c>
      <c r="N53" s="303"/>
      <c r="P53" s="34"/>
      <c r="Q53" s="9"/>
    </row>
    <row r="54" spans="1:17" ht="15.75" x14ac:dyDescent="0.25">
      <c r="D54" s="304" t="s">
        <v>13</v>
      </c>
      <c r="E54" s="304"/>
      <c r="F54" s="120">
        <f>F51-K53-C51</f>
        <v>1686442.72</v>
      </c>
      <c r="I54" s="121"/>
      <c r="J54" s="122"/>
      <c r="P54" s="34"/>
      <c r="Q54" s="9"/>
    </row>
    <row r="55" spans="1:17" ht="18.75" x14ac:dyDescent="0.3">
      <c r="D55" s="305" t="s">
        <v>14</v>
      </c>
      <c r="E55" s="305"/>
      <c r="F55" s="115">
        <v>-1631962.77</v>
      </c>
      <c r="I55" s="306" t="s">
        <v>15</v>
      </c>
      <c r="J55" s="307"/>
      <c r="K55" s="308">
        <f>F57+F58+F59</f>
        <v>238822.13999999996</v>
      </c>
      <c r="L55" s="309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54479.949999999953</v>
      </c>
      <c r="H57" s="24"/>
      <c r="I57" s="129" t="s">
        <v>17</v>
      </c>
      <c r="J57" s="130"/>
      <c r="K57" s="310">
        <f>-C4</f>
        <v>-154314.51999999999</v>
      </c>
      <c r="L57" s="311"/>
    </row>
    <row r="58" spans="1:17" ht="16.5" thickBot="1" x14ac:dyDescent="0.3">
      <c r="D58" s="131" t="s">
        <v>18</v>
      </c>
      <c r="E58" s="117" t="s">
        <v>19</v>
      </c>
      <c r="F58" s="132">
        <v>0</v>
      </c>
    </row>
    <row r="59" spans="1:17" ht="20.25" thickTop="1" thickBot="1" x14ac:dyDescent="0.35">
      <c r="C59" s="133">
        <v>44619</v>
      </c>
      <c r="D59" s="287" t="s">
        <v>20</v>
      </c>
      <c r="E59" s="288"/>
      <c r="F59" s="134">
        <v>184342.19</v>
      </c>
      <c r="I59" s="289" t="s">
        <v>168</v>
      </c>
      <c r="J59" s="290"/>
      <c r="K59" s="291">
        <f>K55+K57</f>
        <v>84507.619999999966</v>
      </c>
      <c r="L59" s="291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G113"/>
  <sheetViews>
    <sheetView workbookViewId="0">
      <pane ySplit="2" topLeftCell="A24" activePane="bottomLeft" state="frozen"/>
      <selection pane="bottomLeft" activeCell="D35" sqref="D35:E35"/>
    </sheetView>
  </sheetViews>
  <sheetFormatPr baseColWidth="10" defaultRowHeight="15" x14ac:dyDescent="0.25"/>
  <cols>
    <col min="1" max="1" width="13.42578125" style="201" bestFit="1" customWidth="1"/>
    <col min="2" max="2" width="12.85546875" style="117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09" t="s">
        <v>27</v>
      </c>
      <c r="B1" s="187"/>
      <c r="C1" s="188"/>
      <c r="D1" s="198"/>
      <c r="E1" s="188"/>
      <c r="F1" s="153" t="s">
        <v>21</v>
      </c>
    </row>
    <row r="2" spans="1:7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211">
        <v>44592</v>
      </c>
      <c r="B3" s="194" t="s">
        <v>121</v>
      </c>
      <c r="C3" s="195">
        <v>121165.94</v>
      </c>
      <c r="D3" s="207">
        <v>44596</v>
      </c>
      <c r="E3" s="208">
        <v>121165.94</v>
      </c>
      <c r="F3" s="158">
        <f>C3-E3</f>
        <v>0</v>
      </c>
    </row>
    <row r="4" spans="1:7" ht="15.75" x14ac:dyDescent="0.25">
      <c r="A4" s="211">
        <v>44593</v>
      </c>
      <c r="B4" s="194" t="s">
        <v>136</v>
      </c>
      <c r="C4" s="195">
        <v>5368.44</v>
      </c>
      <c r="D4" s="206">
        <v>44596</v>
      </c>
      <c r="E4" s="191">
        <v>5368.44</v>
      </c>
      <c r="F4" s="158">
        <f>C4-E4</f>
        <v>0</v>
      </c>
    </row>
    <row r="5" spans="1:7" ht="15.75" x14ac:dyDescent="0.25">
      <c r="A5" s="211">
        <v>44594</v>
      </c>
      <c r="B5" s="194" t="s">
        <v>137</v>
      </c>
      <c r="C5" s="195">
        <v>67800.3</v>
      </c>
      <c r="D5" s="206">
        <v>44596</v>
      </c>
      <c r="E5" s="191">
        <v>67800.3</v>
      </c>
      <c r="F5" s="196">
        <f>C5-E5+F4</f>
        <v>0</v>
      </c>
    </row>
    <row r="6" spans="1:7" s="35" customFormat="1" ht="15.75" x14ac:dyDescent="0.25">
      <c r="A6" s="211">
        <v>44596</v>
      </c>
      <c r="B6" s="194" t="s">
        <v>138</v>
      </c>
      <c r="C6" s="195">
        <v>82150.22</v>
      </c>
      <c r="D6" s="206">
        <v>44596</v>
      </c>
      <c r="E6" s="191">
        <v>82150.22</v>
      </c>
      <c r="F6" s="161">
        <f>C6-E6+F5</f>
        <v>0</v>
      </c>
    </row>
    <row r="7" spans="1:7" ht="18.75" x14ac:dyDescent="0.3">
      <c r="A7" s="211">
        <v>44597</v>
      </c>
      <c r="B7" s="194" t="s">
        <v>139</v>
      </c>
      <c r="C7" s="195">
        <v>1276.5</v>
      </c>
      <c r="D7" s="200"/>
      <c r="E7" s="195"/>
      <c r="F7" s="161">
        <f>F6+C7-E7</f>
        <v>1276.5</v>
      </c>
      <c r="G7" s="162"/>
    </row>
    <row r="8" spans="1:7" ht="15.75" x14ac:dyDescent="0.25">
      <c r="A8" s="211">
        <v>44597</v>
      </c>
      <c r="B8" s="194" t="s">
        <v>140</v>
      </c>
      <c r="C8" s="195">
        <v>34446.5</v>
      </c>
      <c r="D8" s="200"/>
      <c r="E8" s="195"/>
      <c r="F8" s="161">
        <f t="shared" ref="F8" si="0">F7+C8-E8</f>
        <v>35723</v>
      </c>
    </row>
    <row r="9" spans="1:7" ht="15.75" x14ac:dyDescent="0.25">
      <c r="A9" s="211">
        <v>44597</v>
      </c>
      <c r="B9" s="194" t="s">
        <v>141</v>
      </c>
      <c r="C9" s="195">
        <v>105739.83</v>
      </c>
      <c r="D9" s="200"/>
      <c r="E9" s="195"/>
      <c r="F9" s="161">
        <f>F8+C9-E9</f>
        <v>141462.83000000002</v>
      </c>
    </row>
    <row r="10" spans="1:7" ht="15.75" x14ac:dyDescent="0.25">
      <c r="A10" s="211">
        <v>44599</v>
      </c>
      <c r="B10" s="194" t="s">
        <v>142</v>
      </c>
      <c r="C10" s="195">
        <v>19806.88</v>
      </c>
      <c r="D10" s="200"/>
      <c r="E10" s="195"/>
      <c r="F10" s="161">
        <f>F9+C10-E10</f>
        <v>161269.71000000002</v>
      </c>
    </row>
    <row r="11" spans="1:7" ht="15.75" x14ac:dyDescent="0.25">
      <c r="A11" s="211">
        <v>44599</v>
      </c>
      <c r="B11" s="194" t="s">
        <v>143</v>
      </c>
      <c r="C11" s="195">
        <v>2830.84</v>
      </c>
      <c r="D11" s="200"/>
      <c r="E11" s="195"/>
      <c r="F11" s="161">
        <f>F10+C11-E11</f>
        <v>164100.55000000002</v>
      </c>
    </row>
    <row r="12" spans="1:7" ht="15.75" x14ac:dyDescent="0.25">
      <c r="A12" s="211">
        <v>44600</v>
      </c>
      <c r="B12" s="194" t="s">
        <v>144</v>
      </c>
      <c r="C12" s="195">
        <v>81188.800000000003</v>
      </c>
      <c r="D12" s="200"/>
      <c r="E12" s="195"/>
      <c r="F12" s="161">
        <f t="shared" ref="F12:F51" si="1">F11+C12-E12</f>
        <v>245289.35000000003</v>
      </c>
    </row>
    <row r="13" spans="1:7" ht="18.75" x14ac:dyDescent="0.3">
      <c r="A13" s="211">
        <v>44601</v>
      </c>
      <c r="B13" s="194" t="s">
        <v>145</v>
      </c>
      <c r="C13" s="195">
        <v>38204.76</v>
      </c>
      <c r="D13" s="200"/>
      <c r="E13" s="195"/>
      <c r="F13" s="161">
        <f t="shared" si="1"/>
        <v>283494.11000000004</v>
      </c>
      <c r="G13" s="162"/>
    </row>
    <row r="14" spans="1:7" ht="15.75" x14ac:dyDescent="0.25">
      <c r="A14" s="211">
        <v>44601</v>
      </c>
      <c r="B14" s="194" t="s">
        <v>146</v>
      </c>
      <c r="C14" s="195">
        <v>59088.9</v>
      </c>
      <c r="D14" s="200"/>
      <c r="E14" s="195"/>
      <c r="F14" s="161">
        <f t="shared" si="1"/>
        <v>342583.01000000007</v>
      </c>
    </row>
    <row r="15" spans="1:7" ht="15.75" x14ac:dyDescent="0.25">
      <c r="A15" s="211">
        <v>44603</v>
      </c>
      <c r="B15" s="194" t="s">
        <v>147</v>
      </c>
      <c r="C15" s="195">
        <v>55757.3</v>
      </c>
      <c r="D15" s="200"/>
      <c r="E15" s="195"/>
      <c r="F15" s="161">
        <f t="shared" si="1"/>
        <v>398340.31000000006</v>
      </c>
    </row>
    <row r="16" spans="1:7" ht="15.75" x14ac:dyDescent="0.25">
      <c r="A16" s="211">
        <v>44603</v>
      </c>
      <c r="B16" s="194" t="s">
        <v>148</v>
      </c>
      <c r="C16" s="195">
        <v>50617.440000000002</v>
      </c>
      <c r="D16" s="213">
        <v>44603</v>
      </c>
      <c r="E16" s="214">
        <v>448957.75</v>
      </c>
      <c r="F16" s="161">
        <f t="shared" si="1"/>
        <v>0</v>
      </c>
    </row>
    <row r="17" spans="1:7" ht="15.75" x14ac:dyDescent="0.25">
      <c r="A17" s="211">
        <v>44604</v>
      </c>
      <c r="B17" s="194" t="s">
        <v>149</v>
      </c>
      <c r="C17" s="195">
        <v>57701.599999999999</v>
      </c>
      <c r="D17" s="200"/>
      <c r="E17" s="195"/>
      <c r="F17" s="161">
        <f t="shared" si="1"/>
        <v>57701.599999999999</v>
      </c>
    </row>
    <row r="18" spans="1:7" ht="15.75" x14ac:dyDescent="0.25">
      <c r="A18" s="211">
        <v>44606</v>
      </c>
      <c r="B18" s="194" t="s">
        <v>150</v>
      </c>
      <c r="C18" s="195">
        <v>100500.86</v>
      </c>
      <c r="D18" s="200"/>
      <c r="E18" s="195"/>
      <c r="F18" s="161">
        <f t="shared" si="1"/>
        <v>158202.46</v>
      </c>
    </row>
    <row r="19" spans="1:7" ht="15.75" x14ac:dyDescent="0.25">
      <c r="A19" s="211">
        <v>44607</v>
      </c>
      <c r="B19" s="194" t="s">
        <v>151</v>
      </c>
      <c r="C19" s="195">
        <v>12524</v>
      </c>
      <c r="D19" s="200"/>
      <c r="E19" s="195"/>
      <c r="F19" s="161">
        <f t="shared" si="1"/>
        <v>170726.46</v>
      </c>
    </row>
    <row r="20" spans="1:7" ht="15.75" x14ac:dyDescent="0.25">
      <c r="A20" s="211">
        <v>44608</v>
      </c>
      <c r="B20" s="194" t="s">
        <v>152</v>
      </c>
      <c r="C20" s="195">
        <v>122099.28</v>
      </c>
      <c r="D20" s="200"/>
      <c r="E20" s="195"/>
      <c r="F20" s="161">
        <f t="shared" si="1"/>
        <v>292825.74</v>
      </c>
    </row>
    <row r="21" spans="1:7" ht="15.75" x14ac:dyDescent="0.25">
      <c r="A21" s="211">
        <v>44608</v>
      </c>
      <c r="B21" s="194" t="s">
        <v>153</v>
      </c>
      <c r="C21" s="195">
        <v>4846.3999999999996</v>
      </c>
      <c r="D21" s="200"/>
      <c r="E21" s="195"/>
      <c r="F21" s="161">
        <f t="shared" si="1"/>
        <v>297672.14</v>
      </c>
    </row>
    <row r="22" spans="1:7" ht="15.75" x14ac:dyDescent="0.25">
      <c r="A22" s="211">
        <v>44609</v>
      </c>
      <c r="B22" s="194" t="s">
        <v>154</v>
      </c>
      <c r="C22" s="195">
        <v>3707.2</v>
      </c>
      <c r="D22" s="200"/>
      <c r="E22" s="195"/>
      <c r="F22" s="161">
        <f t="shared" si="1"/>
        <v>301379.34000000003</v>
      </c>
    </row>
    <row r="23" spans="1:7" ht="15.75" x14ac:dyDescent="0.25">
      <c r="A23" s="211">
        <v>44610</v>
      </c>
      <c r="B23" s="194" t="s">
        <v>155</v>
      </c>
      <c r="C23" s="195">
        <v>130649.11</v>
      </c>
      <c r="D23" s="218">
        <v>44610</v>
      </c>
      <c r="E23" s="217">
        <v>432028.45</v>
      </c>
      <c r="F23" s="161">
        <f t="shared" si="1"/>
        <v>0</v>
      </c>
    </row>
    <row r="24" spans="1:7" ht="15.75" x14ac:dyDescent="0.25">
      <c r="A24" s="211">
        <v>44610</v>
      </c>
      <c r="B24" s="194" t="s">
        <v>156</v>
      </c>
      <c r="C24" s="195">
        <v>1371.2</v>
      </c>
      <c r="D24" s="200"/>
      <c r="E24" s="195"/>
      <c r="F24" s="161">
        <f t="shared" si="1"/>
        <v>1371.2</v>
      </c>
    </row>
    <row r="25" spans="1:7" ht="18.75" x14ac:dyDescent="0.3">
      <c r="A25" s="211">
        <v>44610</v>
      </c>
      <c r="B25" s="194" t="s">
        <v>157</v>
      </c>
      <c r="C25" s="195">
        <v>4899.55</v>
      </c>
      <c r="D25" s="200"/>
      <c r="E25" s="195"/>
      <c r="F25" s="161">
        <f t="shared" si="1"/>
        <v>6270.75</v>
      </c>
      <c r="G25" s="162"/>
    </row>
    <row r="26" spans="1:7" ht="15.75" x14ac:dyDescent="0.25">
      <c r="A26" s="211">
        <v>44611</v>
      </c>
      <c r="B26" s="194" t="s">
        <v>158</v>
      </c>
      <c r="C26" s="195">
        <v>56596.6</v>
      </c>
      <c r="D26" s="200"/>
      <c r="E26" s="195"/>
      <c r="F26" s="161">
        <f t="shared" si="1"/>
        <v>62867.35</v>
      </c>
    </row>
    <row r="27" spans="1:7" ht="15.75" x14ac:dyDescent="0.25">
      <c r="A27" s="211">
        <v>44611</v>
      </c>
      <c r="B27" s="194" t="s">
        <v>159</v>
      </c>
      <c r="C27" s="195">
        <v>2100</v>
      </c>
      <c r="D27" s="200"/>
      <c r="E27" s="195"/>
      <c r="F27" s="161">
        <f t="shared" si="1"/>
        <v>64967.35</v>
      </c>
    </row>
    <row r="28" spans="1:7" ht="15.75" x14ac:dyDescent="0.25">
      <c r="A28" s="211">
        <v>44613</v>
      </c>
      <c r="B28" s="194" t="s">
        <v>160</v>
      </c>
      <c r="C28" s="195">
        <v>56699.519999999997</v>
      </c>
      <c r="D28" s="200"/>
      <c r="E28" s="195"/>
      <c r="F28" s="161">
        <f t="shared" si="1"/>
        <v>121666.87</v>
      </c>
    </row>
    <row r="29" spans="1:7" ht="15.75" x14ac:dyDescent="0.25">
      <c r="A29" s="211">
        <v>44613</v>
      </c>
      <c r="B29" s="194" t="s">
        <v>161</v>
      </c>
      <c r="C29" s="195">
        <v>6470</v>
      </c>
      <c r="D29" s="200"/>
      <c r="E29" s="195"/>
      <c r="F29" s="161">
        <f t="shared" si="1"/>
        <v>128136.87</v>
      </c>
    </row>
    <row r="30" spans="1:7" ht="15.75" x14ac:dyDescent="0.25">
      <c r="A30" s="211">
        <v>44613</v>
      </c>
      <c r="B30" s="194" t="s">
        <v>162</v>
      </c>
      <c r="C30" s="195">
        <v>5335</v>
      </c>
      <c r="D30" s="200"/>
      <c r="E30" s="195"/>
      <c r="F30" s="161">
        <f t="shared" si="1"/>
        <v>133471.87</v>
      </c>
    </row>
    <row r="31" spans="1:7" ht="15.75" x14ac:dyDescent="0.25">
      <c r="A31" s="211">
        <v>44615</v>
      </c>
      <c r="B31" s="194" t="s">
        <v>163</v>
      </c>
      <c r="C31" s="195">
        <v>105683.1</v>
      </c>
      <c r="D31" s="200"/>
      <c r="E31" s="195"/>
      <c r="F31" s="161">
        <f t="shared" si="1"/>
        <v>239154.97</v>
      </c>
    </row>
    <row r="32" spans="1:7" ht="15.75" x14ac:dyDescent="0.25">
      <c r="A32" s="211">
        <v>44616</v>
      </c>
      <c r="B32" s="194" t="s">
        <v>164</v>
      </c>
      <c r="C32" s="195">
        <v>40039.56</v>
      </c>
      <c r="D32" s="200"/>
      <c r="E32" s="195"/>
      <c r="F32" s="161">
        <f t="shared" si="1"/>
        <v>279194.53000000003</v>
      </c>
    </row>
    <row r="33" spans="1:7" ht="18.75" x14ac:dyDescent="0.3">
      <c r="A33" s="211">
        <v>44616</v>
      </c>
      <c r="B33" s="194" t="s">
        <v>165</v>
      </c>
      <c r="C33" s="195">
        <v>1553.4</v>
      </c>
      <c r="D33" s="200"/>
      <c r="E33" s="195"/>
      <c r="F33" s="161">
        <f t="shared" si="1"/>
        <v>280747.93000000005</v>
      </c>
      <c r="G33" s="162"/>
    </row>
    <row r="34" spans="1:7" ht="15.75" x14ac:dyDescent="0.25">
      <c r="A34" s="211">
        <v>44617</v>
      </c>
      <c r="B34" s="194" t="s">
        <v>166</v>
      </c>
      <c r="C34" s="195">
        <v>97272.02</v>
      </c>
      <c r="D34" s="219">
        <v>44620</v>
      </c>
      <c r="E34" s="192">
        <v>378019.95</v>
      </c>
      <c r="F34" s="161">
        <f t="shared" si="1"/>
        <v>0</v>
      </c>
    </row>
    <row r="35" spans="1:7" ht="15.75" x14ac:dyDescent="0.25">
      <c r="A35" s="211">
        <v>44618</v>
      </c>
      <c r="B35" s="194" t="s">
        <v>167</v>
      </c>
      <c r="C35" s="195">
        <v>96471.72</v>
      </c>
      <c r="D35" s="238">
        <v>44624</v>
      </c>
      <c r="E35" s="197">
        <v>96471.72</v>
      </c>
      <c r="F35" s="161">
        <f t="shared" si="1"/>
        <v>0</v>
      </c>
    </row>
    <row r="36" spans="1:7" ht="15.75" x14ac:dyDescent="0.25">
      <c r="A36" s="211"/>
      <c r="B36" s="194"/>
      <c r="C36" s="195"/>
      <c r="D36" s="200"/>
      <c r="E36" s="195"/>
      <c r="F36" s="161">
        <f t="shared" si="1"/>
        <v>0</v>
      </c>
    </row>
    <row r="37" spans="1:7" ht="15.75" x14ac:dyDescent="0.25">
      <c r="A37" s="211"/>
      <c r="B37" s="194"/>
      <c r="C37" s="195"/>
      <c r="D37" s="200"/>
      <c r="E37" s="195"/>
      <c r="F37" s="161">
        <f t="shared" si="1"/>
        <v>0</v>
      </c>
    </row>
    <row r="38" spans="1:7" ht="15.75" x14ac:dyDescent="0.25">
      <c r="A38" s="211"/>
      <c r="B38" s="194"/>
      <c r="C38" s="195"/>
      <c r="D38" s="200"/>
      <c r="E38" s="195"/>
      <c r="F38" s="161">
        <f t="shared" si="1"/>
        <v>0</v>
      </c>
    </row>
    <row r="39" spans="1:7" ht="15.75" x14ac:dyDescent="0.25">
      <c r="A39" s="163"/>
      <c r="B39" s="160"/>
      <c r="C39" s="86"/>
      <c r="D39" s="159"/>
      <c r="E39" s="86"/>
      <c r="F39" s="161">
        <f t="shared" si="1"/>
        <v>0</v>
      </c>
    </row>
    <row r="40" spans="1:7" ht="15.75" x14ac:dyDescent="0.25">
      <c r="A40" s="163"/>
      <c r="B40" s="160"/>
      <c r="C40" s="86"/>
      <c r="D40" s="159"/>
      <c r="E40" s="86"/>
      <c r="F40" s="161">
        <f t="shared" si="1"/>
        <v>0</v>
      </c>
    </row>
    <row r="41" spans="1:7" ht="16.5" thickBot="1" x14ac:dyDescent="0.3">
      <c r="A41" s="163"/>
      <c r="B41" s="160"/>
      <c r="C41" s="86"/>
      <c r="D41" s="159"/>
      <c r="E41" s="86"/>
      <c r="F41" s="161">
        <f t="shared" si="1"/>
        <v>0</v>
      </c>
    </row>
    <row r="42" spans="1:7" ht="15" hidden="1" customHeight="1" x14ac:dyDescent="0.25">
      <c r="A42" s="164"/>
      <c r="B42" s="165"/>
      <c r="C42" s="166"/>
      <c r="D42" s="159"/>
      <c r="E42" s="86"/>
      <c r="F42" s="161">
        <f t="shared" si="1"/>
        <v>0</v>
      </c>
    </row>
    <row r="43" spans="1:7" ht="16.5" hidden="1" thickBot="1" x14ac:dyDescent="0.3">
      <c r="A43" s="164"/>
      <c r="B43" s="165"/>
      <c r="C43" s="166"/>
      <c r="D43" s="159"/>
      <c r="E43" s="86"/>
      <c r="F43" s="161">
        <f t="shared" si="1"/>
        <v>0</v>
      </c>
    </row>
    <row r="44" spans="1:7" ht="16.5" hidden="1" thickBot="1" x14ac:dyDescent="0.3">
      <c r="A44" s="164"/>
      <c r="B44" s="165"/>
      <c r="C44" s="166"/>
      <c r="D44" s="159"/>
      <c r="E44" s="86"/>
      <c r="F44" s="161">
        <f t="shared" si="1"/>
        <v>0</v>
      </c>
    </row>
    <row r="45" spans="1:7" ht="16.5" hidden="1" thickBot="1" x14ac:dyDescent="0.3">
      <c r="A45" s="164"/>
      <c r="B45" s="165"/>
      <c r="C45" s="166"/>
      <c r="D45" s="159"/>
      <c r="E45" s="86"/>
      <c r="F45" s="161">
        <f t="shared" si="1"/>
        <v>0</v>
      </c>
    </row>
    <row r="46" spans="1:7" ht="16.5" hidden="1" thickBot="1" x14ac:dyDescent="0.3">
      <c r="A46" s="164"/>
      <c r="B46" s="165"/>
      <c r="C46" s="166"/>
      <c r="D46" s="159"/>
      <c r="E46" s="86"/>
      <c r="F46" s="161">
        <f t="shared" si="1"/>
        <v>0</v>
      </c>
    </row>
    <row r="47" spans="1:7" ht="16.5" hidden="1" thickBot="1" x14ac:dyDescent="0.3">
      <c r="A47" s="164"/>
      <c r="B47" s="165"/>
      <c r="C47" s="166"/>
      <c r="D47" s="159"/>
      <c r="E47" s="86"/>
      <c r="F47" s="161">
        <f t="shared" si="1"/>
        <v>0</v>
      </c>
    </row>
    <row r="48" spans="1:7" ht="16.5" hidden="1" thickBot="1" x14ac:dyDescent="0.3">
      <c r="A48" s="164"/>
      <c r="B48" s="165"/>
      <c r="C48" s="166"/>
      <c r="D48" s="159"/>
      <c r="E48" s="86"/>
      <c r="F48" s="161">
        <f t="shared" si="1"/>
        <v>0</v>
      </c>
    </row>
    <row r="49" spans="1:6" ht="16.5" hidden="1" thickBot="1" x14ac:dyDescent="0.3">
      <c r="A49" s="164"/>
      <c r="B49" s="165"/>
      <c r="C49" s="166"/>
      <c r="D49" s="159"/>
      <c r="E49" s="86"/>
      <c r="F49" s="161">
        <f t="shared" si="1"/>
        <v>0</v>
      </c>
    </row>
    <row r="50" spans="1:6" ht="16.5" hidden="1" thickBot="1" x14ac:dyDescent="0.3">
      <c r="A50" s="164"/>
      <c r="B50" s="165"/>
      <c r="C50" s="166"/>
      <c r="D50" s="159"/>
      <c r="E50" s="86"/>
      <c r="F50" s="161">
        <f t="shared" si="1"/>
        <v>0</v>
      </c>
    </row>
    <row r="51" spans="1:6" ht="16.5" hidden="1" thickBot="1" x14ac:dyDescent="0.3">
      <c r="A51" s="164"/>
      <c r="B51" s="165"/>
      <c r="C51" s="166"/>
      <c r="D51" s="159"/>
      <c r="E51" s="86"/>
      <c r="F51" s="161">
        <f t="shared" si="1"/>
        <v>0</v>
      </c>
    </row>
    <row r="52" spans="1:6" ht="16.5" hidden="1" thickBot="1" x14ac:dyDescent="0.3">
      <c r="A52" s="164"/>
      <c r="B52" s="165"/>
      <c r="C52" s="166"/>
      <c r="D52" s="159"/>
      <c r="E52" s="86"/>
      <c r="F52" s="161">
        <f t="shared" ref="F52:F76" si="2">F51+C52-E52</f>
        <v>0</v>
      </c>
    </row>
    <row r="53" spans="1:6" ht="16.5" hidden="1" thickBot="1" x14ac:dyDescent="0.3">
      <c r="A53" s="164"/>
      <c r="B53" s="165"/>
      <c r="C53" s="166"/>
      <c r="D53" s="159"/>
      <c r="E53" s="86"/>
      <c r="F53" s="161">
        <f t="shared" si="2"/>
        <v>0</v>
      </c>
    </row>
    <row r="54" spans="1:6" ht="16.5" hidden="1" thickBot="1" x14ac:dyDescent="0.3">
      <c r="A54" s="164"/>
      <c r="B54" s="165"/>
      <c r="C54" s="166"/>
      <c r="D54" s="159"/>
      <c r="E54" s="86"/>
      <c r="F54" s="161">
        <f t="shared" si="2"/>
        <v>0</v>
      </c>
    </row>
    <row r="55" spans="1:6" ht="16.5" hidden="1" thickBot="1" x14ac:dyDescent="0.3">
      <c r="A55" s="164"/>
      <c r="B55" s="165"/>
      <c r="C55" s="166"/>
      <c r="D55" s="159"/>
      <c r="E55" s="86"/>
      <c r="F55" s="161">
        <f t="shared" si="2"/>
        <v>0</v>
      </c>
    </row>
    <row r="56" spans="1:6" ht="16.5" hidden="1" thickBot="1" x14ac:dyDescent="0.3">
      <c r="A56" s="164"/>
      <c r="B56" s="165"/>
      <c r="C56" s="166"/>
      <c r="D56" s="159"/>
      <c r="E56" s="86"/>
      <c r="F56" s="161">
        <f t="shared" si="2"/>
        <v>0</v>
      </c>
    </row>
    <row r="57" spans="1:6" ht="16.5" hidden="1" thickBot="1" x14ac:dyDescent="0.3">
      <c r="A57" s="164"/>
      <c r="B57" s="165"/>
      <c r="C57" s="166"/>
      <c r="D57" s="159"/>
      <c r="E57" s="86"/>
      <c r="F57" s="161">
        <f t="shared" si="2"/>
        <v>0</v>
      </c>
    </row>
    <row r="58" spans="1:6" ht="16.5" hidden="1" thickBot="1" x14ac:dyDescent="0.3">
      <c r="A58" s="164"/>
      <c r="B58" s="165"/>
      <c r="C58" s="166"/>
      <c r="D58" s="159"/>
      <c r="E58" s="86"/>
      <c r="F58" s="161">
        <f t="shared" si="2"/>
        <v>0</v>
      </c>
    </row>
    <row r="59" spans="1:6" ht="16.5" hidden="1" thickBot="1" x14ac:dyDescent="0.3">
      <c r="A59" s="164"/>
      <c r="B59" s="165"/>
      <c r="C59" s="166"/>
      <c r="D59" s="159"/>
      <c r="E59" s="86"/>
      <c r="F59" s="161">
        <f t="shared" si="2"/>
        <v>0</v>
      </c>
    </row>
    <row r="60" spans="1:6" ht="16.5" hidden="1" thickBot="1" x14ac:dyDescent="0.3">
      <c r="A60" s="167"/>
      <c r="B60" s="168"/>
      <c r="C60" s="169"/>
      <c r="D60" s="170"/>
      <c r="E60" s="34"/>
      <c r="F60" s="161">
        <f t="shared" si="2"/>
        <v>0</v>
      </c>
    </row>
    <row r="61" spans="1:6" ht="16.5" hidden="1" thickBot="1" x14ac:dyDescent="0.3">
      <c r="A61" s="167"/>
      <c r="B61" s="168"/>
      <c r="C61" s="169"/>
      <c r="D61" s="170"/>
      <c r="E61" s="34"/>
      <c r="F61" s="161">
        <f t="shared" si="2"/>
        <v>0</v>
      </c>
    </row>
    <row r="62" spans="1:6" ht="16.5" hidden="1" thickBot="1" x14ac:dyDescent="0.3">
      <c r="A62" s="167"/>
      <c r="B62" s="168"/>
      <c r="C62" s="169"/>
      <c r="D62" s="170"/>
      <c r="E62" s="34"/>
      <c r="F62" s="161">
        <f t="shared" si="2"/>
        <v>0</v>
      </c>
    </row>
    <row r="63" spans="1:6" ht="16.5" hidden="1" thickBot="1" x14ac:dyDescent="0.3">
      <c r="A63" s="167"/>
      <c r="B63" s="168"/>
      <c r="C63" s="169"/>
      <c r="D63" s="170"/>
      <c r="E63" s="34"/>
      <c r="F63" s="161">
        <f t="shared" si="2"/>
        <v>0</v>
      </c>
    </row>
    <row r="64" spans="1:6" ht="16.5" hidden="1" thickBot="1" x14ac:dyDescent="0.3">
      <c r="A64" s="167"/>
      <c r="B64" s="168"/>
      <c r="C64" s="169"/>
      <c r="D64" s="170"/>
      <c r="E64" s="34"/>
      <c r="F64" s="161">
        <f t="shared" si="2"/>
        <v>0</v>
      </c>
    </row>
    <row r="65" spans="1:6" ht="16.5" hidden="1" thickBot="1" x14ac:dyDescent="0.3">
      <c r="A65" s="167"/>
      <c r="B65" s="168"/>
      <c r="C65" s="169"/>
      <c r="D65" s="170"/>
      <c r="E65" s="34"/>
      <c r="F65" s="161">
        <f t="shared" si="2"/>
        <v>0</v>
      </c>
    </row>
    <row r="66" spans="1:6" ht="16.5" hidden="1" thickBot="1" x14ac:dyDescent="0.3">
      <c r="A66" s="164"/>
      <c r="B66" s="165"/>
      <c r="C66" s="166"/>
      <c r="D66" s="171"/>
      <c r="E66" s="86"/>
      <c r="F66" s="161">
        <f t="shared" si="2"/>
        <v>0</v>
      </c>
    </row>
    <row r="67" spans="1:6" ht="16.5" hidden="1" thickBot="1" x14ac:dyDescent="0.3">
      <c r="A67" s="164"/>
      <c r="B67" s="165"/>
      <c r="C67" s="166"/>
      <c r="D67" s="171"/>
      <c r="E67" s="86"/>
      <c r="F67" s="161">
        <f t="shared" si="2"/>
        <v>0</v>
      </c>
    </row>
    <row r="68" spans="1:6" ht="16.5" hidden="1" thickBot="1" x14ac:dyDescent="0.3">
      <c r="A68" s="164"/>
      <c r="B68" s="165"/>
      <c r="C68" s="166"/>
      <c r="D68" s="171"/>
      <c r="E68" s="86"/>
      <c r="F68" s="161">
        <f t="shared" si="2"/>
        <v>0</v>
      </c>
    </row>
    <row r="69" spans="1:6" ht="16.5" hidden="1" thickBot="1" x14ac:dyDescent="0.3">
      <c r="A69" s="164"/>
      <c r="B69" s="165"/>
      <c r="C69" s="166"/>
      <c r="D69" s="171"/>
      <c r="E69" s="86"/>
      <c r="F69" s="161">
        <f t="shared" si="2"/>
        <v>0</v>
      </c>
    </row>
    <row r="70" spans="1:6" ht="16.5" hidden="1" thickBot="1" x14ac:dyDescent="0.3">
      <c r="A70" s="164"/>
      <c r="B70" s="165"/>
      <c r="C70" s="166"/>
      <c r="D70" s="171"/>
      <c r="E70" s="86"/>
      <c r="F70" s="161">
        <f t="shared" si="2"/>
        <v>0</v>
      </c>
    </row>
    <row r="71" spans="1:6" ht="16.5" hidden="1" thickBot="1" x14ac:dyDescent="0.3">
      <c r="A71" s="164"/>
      <c r="B71" s="165"/>
      <c r="C71" s="166"/>
      <c r="D71" s="171"/>
      <c r="E71" s="86"/>
      <c r="F71" s="161">
        <f t="shared" si="2"/>
        <v>0</v>
      </c>
    </row>
    <row r="72" spans="1:6" ht="16.5" hidden="1" thickBot="1" x14ac:dyDescent="0.3">
      <c r="A72" s="164"/>
      <c r="B72" s="165"/>
      <c r="C72" s="166"/>
      <c r="D72" s="171"/>
      <c r="E72" s="86"/>
      <c r="F72" s="161">
        <f t="shared" si="2"/>
        <v>0</v>
      </c>
    </row>
    <row r="73" spans="1:6" ht="16.5" hidden="1" thickBot="1" x14ac:dyDescent="0.3">
      <c r="A73" s="164"/>
      <c r="B73" s="165"/>
      <c r="C73" s="166"/>
      <c r="D73" s="171"/>
      <c r="E73" s="86"/>
      <c r="F73" s="161">
        <f t="shared" si="2"/>
        <v>0</v>
      </c>
    </row>
    <row r="74" spans="1:6" ht="16.5" hidden="1" thickBot="1" x14ac:dyDescent="0.3">
      <c r="A74" s="164"/>
      <c r="B74" s="165"/>
      <c r="C74" s="166"/>
      <c r="D74" s="171"/>
      <c r="E74" s="86"/>
      <c r="F74" s="161">
        <f t="shared" si="2"/>
        <v>0</v>
      </c>
    </row>
    <row r="75" spans="1:6" ht="16.5" hidden="1" thickBot="1" x14ac:dyDescent="0.3">
      <c r="A75" s="164"/>
      <c r="B75" s="165"/>
      <c r="C75" s="166"/>
      <c r="D75" s="171"/>
      <c r="E75" s="86"/>
      <c r="F75" s="161">
        <f t="shared" si="2"/>
        <v>0</v>
      </c>
    </row>
    <row r="76" spans="1:6" ht="16.5" hidden="1" thickBot="1" x14ac:dyDescent="0.3">
      <c r="A76" s="172"/>
      <c r="B76" s="173"/>
      <c r="C76" s="34">
        <v>0</v>
      </c>
      <c r="D76" s="174"/>
      <c r="E76" s="34"/>
      <c r="F76" s="161">
        <f t="shared" si="2"/>
        <v>0</v>
      </c>
    </row>
    <row r="77" spans="1:6" ht="19.5" thickBot="1" x14ac:dyDescent="0.35">
      <c r="A77" s="212"/>
      <c r="B77" s="176"/>
      <c r="C77" s="177">
        <f>SUM(C3:C76)</f>
        <v>1631962.7700000003</v>
      </c>
      <c r="D77" s="189"/>
      <c r="E77" s="178">
        <f>SUM(E6:E76)</f>
        <v>1437628.0899999999</v>
      </c>
      <c r="F77" s="179">
        <f>F76</f>
        <v>0</v>
      </c>
    </row>
    <row r="78" spans="1:6" x14ac:dyDescent="0.25">
      <c r="D78" s="170"/>
    </row>
    <row r="79" spans="1:6" x14ac:dyDescent="0.25">
      <c r="D79" s="170"/>
    </row>
    <row r="80" spans="1:6" x14ac:dyDescent="0.25">
      <c r="B80" s="190"/>
    </row>
    <row r="81" spans="2:6" x14ac:dyDescent="0.25">
      <c r="B81" s="190"/>
    </row>
    <row r="82" spans="2:6" x14ac:dyDescent="0.25">
      <c r="B82" s="190"/>
    </row>
    <row r="83" spans="2:6" x14ac:dyDescent="0.25">
      <c r="B83" s="190"/>
      <c r="F83" s="117"/>
    </row>
    <row r="84" spans="2:6" x14ac:dyDescent="0.25">
      <c r="B84" s="190"/>
      <c r="F84" s="117"/>
    </row>
    <row r="85" spans="2:6" x14ac:dyDescent="0.25">
      <c r="B85" s="190"/>
      <c r="F85" s="117"/>
    </row>
    <row r="86" spans="2:6" x14ac:dyDescent="0.25">
      <c r="B86" s="190"/>
      <c r="F86" s="117"/>
    </row>
    <row r="87" spans="2:6" x14ac:dyDescent="0.25">
      <c r="B87" s="190"/>
      <c r="F87" s="117"/>
    </row>
    <row r="88" spans="2:6" x14ac:dyDescent="0.25">
      <c r="B88" s="190"/>
      <c r="F88" s="117"/>
    </row>
    <row r="89" spans="2:6" x14ac:dyDescent="0.25">
      <c r="B89" s="190"/>
      <c r="F89" s="117"/>
    </row>
    <row r="90" spans="2:6" x14ac:dyDescent="0.25">
      <c r="B90" s="190"/>
      <c r="F90" s="117"/>
    </row>
    <row r="91" spans="2:6" x14ac:dyDescent="0.25">
      <c r="B91" s="190"/>
      <c r="F91" s="117"/>
    </row>
    <row r="92" spans="2:6" x14ac:dyDescent="0.25">
      <c r="B92" s="190"/>
      <c r="E92" s="117"/>
      <c r="F92" s="117"/>
    </row>
    <row r="93" spans="2:6" x14ac:dyDescent="0.25">
      <c r="B93" s="190"/>
      <c r="E93" s="117"/>
      <c r="F93" s="117"/>
    </row>
    <row r="94" spans="2:6" x14ac:dyDescent="0.25">
      <c r="B94" s="190"/>
      <c r="E94" s="117"/>
      <c r="F94" s="117"/>
    </row>
    <row r="95" spans="2:6" x14ac:dyDescent="0.25">
      <c r="B95" s="190"/>
      <c r="E95" s="117"/>
      <c r="F95" s="117"/>
    </row>
    <row r="96" spans="2:6" x14ac:dyDescent="0.25">
      <c r="B96" s="190"/>
      <c r="E96" s="117"/>
      <c r="F96" s="117"/>
    </row>
    <row r="97" spans="2:6" x14ac:dyDescent="0.25">
      <c r="B97" s="190"/>
      <c r="E97" s="117"/>
      <c r="F97" s="117"/>
    </row>
    <row r="98" spans="2:6" x14ac:dyDescent="0.25">
      <c r="B98" s="190"/>
      <c r="E98" s="117"/>
    </row>
    <row r="99" spans="2:6" x14ac:dyDescent="0.25">
      <c r="B99" s="190"/>
      <c r="E99" s="117"/>
    </row>
    <row r="100" spans="2:6" x14ac:dyDescent="0.25">
      <c r="B100" s="190"/>
      <c r="E100" s="117"/>
    </row>
    <row r="101" spans="2:6" x14ac:dyDescent="0.25">
      <c r="B101" s="190"/>
      <c r="E101" s="117"/>
    </row>
    <row r="102" spans="2:6" x14ac:dyDescent="0.25">
      <c r="B102" s="190"/>
      <c r="E102" s="117"/>
    </row>
    <row r="103" spans="2:6" x14ac:dyDescent="0.25">
      <c r="B103" s="190"/>
      <c r="E103" s="117"/>
    </row>
    <row r="104" spans="2:6" x14ac:dyDescent="0.25">
      <c r="B104" s="190"/>
      <c r="E104" s="117"/>
    </row>
    <row r="105" spans="2:6" x14ac:dyDescent="0.25">
      <c r="B105" s="190"/>
      <c r="E105" s="117"/>
    </row>
    <row r="106" spans="2:6" x14ac:dyDescent="0.25">
      <c r="B106" s="190"/>
      <c r="E106" s="117"/>
    </row>
    <row r="107" spans="2:6" x14ac:dyDescent="0.25">
      <c r="B107" s="190"/>
    </row>
    <row r="108" spans="2:6" x14ac:dyDescent="0.25">
      <c r="B108" s="190"/>
    </row>
    <row r="109" spans="2:6" x14ac:dyDescent="0.25">
      <c r="B109" s="190"/>
    </row>
    <row r="110" spans="2:6" x14ac:dyDescent="0.25">
      <c r="B110" s="190"/>
    </row>
    <row r="111" spans="2:6" x14ac:dyDescent="0.25">
      <c r="B111" s="190"/>
    </row>
    <row r="112" spans="2:6" x14ac:dyDescent="0.25">
      <c r="B112" s="190"/>
    </row>
    <row r="113" spans="3:3" ht="18.75" x14ac:dyDescent="0.3">
      <c r="C113" s="18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U81"/>
  <sheetViews>
    <sheetView topLeftCell="A13" workbookViewId="0">
      <selection activeCell="O43" sqref="O43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21" ht="23.25" x14ac:dyDescent="0.35">
      <c r="B1" s="274"/>
      <c r="C1" s="276" t="s">
        <v>135</v>
      </c>
      <c r="D1" s="277"/>
      <c r="E1" s="277"/>
      <c r="F1" s="277"/>
      <c r="G1" s="277"/>
      <c r="H1" s="277"/>
      <c r="I1" s="277"/>
      <c r="J1" s="277"/>
      <c r="K1" s="277"/>
      <c r="L1" s="277"/>
      <c r="M1" s="277"/>
    </row>
    <row r="2" spans="1:21" ht="16.5" thickBot="1" x14ac:dyDescent="0.3">
      <c r="B2" s="275"/>
      <c r="C2" s="3"/>
      <c r="H2" s="5"/>
      <c r="I2" s="6"/>
      <c r="J2" s="7"/>
      <c r="L2" s="8"/>
      <c r="M2" s="6"/>
      <c r="N2" s="9"/>
    </row>
    <row r="3" spans="1:21" ht="21.75" thickBot="1" x14ac:dyDescent="0.35">
      <c r="B3" s="278" t="s">
        <v>0</v>
      </c>
      <c r="C3" s="279"/>
      <c r="D3" s="10"/>
      <c r="E3" s="11"/>
      <c r="F3" s="11"/>
      <c r="H3" s="280" t="s">
        <v>1</v>
      </c>
      <c r="I3" s="280"/>
      <c r="K3" s="13"/>
      <c r="L3" s="13"/>
      <c r="M3" s="14"/>
      <c r="R3" s="285" t="s">
        <v>38</v>
      </c>
    </row>
    <row r="4" spans="1:21" ht="20.25" thickTop="1" thickBot="1" x14ac:dyDescent="0.35">
      <c r="A4" s="15" t="s">
        <v>2</v>
      </c>
      <c r="B4" s="16"/>
      <c r="C4" s="17">
        <v>184342.19</v>
      </c>
      <c r="D4" s="18">
        <v>44619</v>
      </c>
      <c r="E4" s="281" t="s">
        <v>3</v>
      </c>
      <c r="F4" s="282"/>
      <c r="H4" s="283" t="s">
        <v>4</v>
      </c>
      <c r="I4" s="284"/>
      <c r="J4" s="19"/>
      <c r="K4" s="20"/>
      <c r="L4" s="21"/>
      <c r="M4" s="22" t="s">
        <v>5</v>
      </c>
      <c r="N4" s="23" t="s">
        <v>6</v>
      </c>
      <c r="P4" s="292" t="s">
        <v>7</v>
      </c>
      <c r="Q4" s="293"/>
      <c r="R4" s="286"/>
    </row>
    <row r="5" spans="1:21" ht="18" thickBot="1" x14ac:dyDescent="0.35">
      <c r="A5" s="24" t="s">
        <v>8</v>
      </c>
      <c r="B5" s="25">
        <v>44620</v>
      </c>
      <c r="C5" s="26">
        <v>0</v>
      </c>
      <c r="D5" s="27"/>
      <c r="E5" s="28">
        <v>44620</v>
      </c>
      <c r="F5" s="29">
        <v>56916</v>
      </c>
      <c r="G5" s="2"/>
      <c r="H5" s="30">
        <v>44620</v>
      </c>
      <c r="I5" s="31">
        <v>698</v>
      </c>
      <c r="J5" s="7">
        <v>44620</v>
      </c>
      <c r="K5" s="182" t="s">
        <v>191</v>
      </c>
      <c r="L5" s="9">
        <v>11500</v>
      </c>
      <c r="M5" s="32">
        <f>20000+23470</f>
        <v>43470</v>
      </c>
      <c r="N5" s="33">
        <v>1246</v>
      </c>
      <c r="O5" s="2"/>
      <c r="P5" s="34">
        <f>N5+M5+L5+I5+C5</f>
        <v>56914</v>
      </c>
      <c r="Q5" s="61">
        <f>P5-F5</f>
        <v>-2</v>
      </c>
      <c r="R5" s="9"/>
    </row>
    <row r="6" spans="1:21" ht="18" thickBot="1" x14ac:dyDescent="0.35">
      <c r="A6" s="24"/>
      <c r="B6" s="25">
        <v>44621</v>
      </c>
      <c r="C6" s="26">
        <v>5100</v>
      </c>
      <c r="D6" s="36" t="s">
        <v>192</v>
      </c>
      <c r="E6" s="28">
        <v>44621</v>
      </c>
      <c r="F6" s="29">
        <v>58709</v>
      </c>
      <c r="G6" s="2"/>
      <c r="H6" s="30">
        <v>44621</v>
      </c>
      <c r="I6" s="31">
        <v>60</v>
      </c>
      <c r="J6" s="38"/>
      <c r="K6" s="39"/>
      <c r="L6" s="40"/>
      <c r="M6" s="32">
        <f>15000+38320</f>
        <v>53320</v>
      </c>
      <c r="N6" s="33">
        <v>234</v>
      </c>
      <c r="O6" s="2"/>
      <c r="P6" s="34">
        <f t="shared" ref="P6:P39" si="0">N6+M6+L6+I6+C6</f>
        <v>58714</v>
      </c>
      <c r="Q6" s="13">
        <f t="shared" ref="Q6:Q40" si="1">P6-F6</f>
        <v>5</v>
      </c>
      <c r="R6" s="8"/>
    </row>
    <row r="7" spans="1:21" ht="18" thickBot="1" x14ac:dyDescent="0.35">
      <c r="A7" s="24"/>
      <c r="B7" s="25">
        <v>44622</v>
      </c>
      <c r="C7" s="26">
        <v>0</v>
      </c>
      <c r="D7" s="41"/>
      <c r="E7" s="28">
        <v>44622</v>
      </c>
      <c r="F7" s="29">
        <v>33319</v>
      </c>
      <c r="G7" s="2"/>
      <c r="H7" s="30">
        <v>44622</v>
      </c>
      <c r="I7" s="31">
        <v>113</v>
      </c>
      <c r="J7" s="38"/>
      <c r="K7" s="42"/>
      <c r="L7" s="40"/>
      <c r="M7" s="32">
        <v>33206</v>
      </c>
      <c r="N7" s="33">
        <v>0</v>
      </c>
      <c r="O7" s="2"/>
      <c r="P7" s="34">
        <f t="shared" si="0"/>
        <v>33319</v>
      </c>
      <c r="Q7" s="13">
        <f t="shared" si="1"/>
        <v>0</v>
      </c>
      <c r="R7" s="9"/>
    </row>
    <row r="8" spans="1:21" ht="18" thickBot="1" x14ac:dyDescent="0.35">
      <c r="A8" s="24"/>
      <c r="B8" s="25">
        <v>44623</v>
      </c>
      <c r="C8" s="26">
        <v>0</v>
      </c>
      <c r="D8" s="41"/>
      <c r="E8" s="28">
        <v>44623</v>
      </c>
      <c r="F8" s="29">
        <v>74800</v>
      </c>
      <c r="G8" s="2"/>
      <c r="H8" s="30">
        <v>44623</v>
      </c>
      <c r="I8" s="31">
        <v>15</v>
      </c>
      <c r="J8" s="44"/>
      <c r="K8" s="45"/>
      <c r="L8" s="40"/>
      <c r="M8" s="32">
        <f>24900+47651</f>
        <v>72551</v>
      </c>
      <c r="N8" s="33">
        <v>2234</v>
      </c>
      <c r="O8" s="2"/>
      <c r="P8" s="34">
        <f t="shared" si="0"/>
        <v>74800</v>
      </c>
      <c r="Q8" s="13">
        <f t="shared" si="1"/>
        <v>0</v>
      </c>
      <c r="R8" s="9"/>
    </row>
    <row r="9" spans="1:21" ht="18" thickBot="1" x14ac:dyDescent="0.35">
      <c r="A9" s="24"/>
      <c r="B9" s="25">
        <v>44624</v>
      </c>
      <c r="C9" s="26">
        <v>0</v>
      </c>
      <c r="D9" s="41"/>
      <c r="E9" s="28">
        <v>44624</v>
      </c>
      <c r="F9" s="29">
        <v>74961</v>
      </c>
      <c r="G9" s="2"/>
      <c r="H9" s="30">
        <v>44624</v>
      </c>
      <c r="I9" s="31">
        <v>107</v>
      </c>
      <c r="J9" s="38"/>
      <c r="K9" s="46"/>
      <c r="L9" s="40"/>
      <c r="M9" s="32">
        <f>40000+34810</f>
        <v>74810</v>
      </c>
      <c r="N9" s="33">
        <v>44</v>
      </c>
      <c r="O9" s="2"/>
      <c r="P9" s="34">
        <f>N9+M9+L9+I9+C9</f>
        <v>74961</v>
      </c>
      <c r="Q9" s="13">
        <f t="shared" si="1"/>
        <v>0</v>
      </c>
      <c r="R9" s="8"/>
    </row>
    <row r="10" spans="1:21" ht="18" thickBot="1" x14ac:dyDescent="0.35">
      <c r="A10" s="24"/>
      <c r="B10" s="25">
        <v>44625</v>
      </c>
      <c r="C10" s="26">
        <v>0</v>
      </c>
      <c r="D10" s="36"/>
      <c r="E10" s="28">
        <v>44625</v>
      </c>
      <c r="F10" s="29">
        <v>84896</v>
      </c>
      <c r="G10" s="2"/>
      <c r="H10" s="30">
        <v>44625</v>
      </c>
      <c r="I10" s="31">
        <v>39</v>
      </c>
      <c r="J10" s="38">
        <v>44625</v>
      </c>
      <c r="K10" s="47" t="s">
        <v>193</v>
      </c>
      <c r="L10" s="48">
        <v>9800</v>
      </c>
      <c r="M10" s="32">
        <f>45000+21140</f>
        <v>66140</v>
      </c>
      <c r="N10" s="33">
        <v>8922</v>
      </c>
      <c r="O10" s="2"/>
      <c r="P10" s="34">
        <f t="shared" si="0"/>
        <v>84901</v>
      </c>
      <c r="Q10" s="13">
        <f t="shared" si="1"/>
        <v>5</v>
      </c>
      <c r="R10" s="9"/>
      <c r="U10" t="s">
        <v>8</v>
      </c>
    </row>
    <row r="11" spans="1:21" ht="18" thickBot="1" x14ac:dyDescent="0.35">
      <c r="A11" s="24"/>
      <c r="B11" s="25">
        <v>44626</v>
      </c>
      <c r="C11" s="26">
        <v>7790</v>
      </c>
      <c r="D11" s="36" t="s">
        <v>194</v>
      </c>
      <c r="E11" s="28">
        <v>44626</v>
      </c>
      <c r="F11" s="29">
        <v>110400</v>
      </c>
      <c r="G11" s="2"/>
      <c r="H11" s="30">
        <v>44626</v>
      </c>
      <c r="I11" s="31">
        <v>52</v>
      </c>
      <c r="J11" s="44"/>
      <c r="K11" s="49"/>
      <c r="L11" s="40"/>
      <c r="M11" s="32">
        <f>60000+30000+11311</f>
        <v>101311</v>
      </c>
      <c r="N11" s="33">
        <v>1247</v>
      </c>
      <c r="O11" s="2"/>
      <c r="P11" s="34">
        <f>N11+M11+L11+I11+C11</f>
        <v>110400</v>
      </c>
      <c r="Q11" s="13">
        <f t="shared" si="1"/>
        <v>0</v>
      </c>
      <c r="R11" s="8" t="s">
        <v>8</v>
      </c>
    </row>
    <row r="12" spans="1:21" ht="18" thickBot="1" x14ac:dyDescent="0.35">
      <c r="A12" s="24"/>
      <c r="B12" s="25">
        <v>44627</v>
      </c>
      <c r="C12" s="26">
        <v>0</v>
      </c>
      <c r="D12" s="36"/>
      <c r="E12" s="28">
        <v>44627</v>
      </c>
      <c r="F12" s="29">
        <v>52725</v>
      </c>
      <c r="G12" s="2"/>
      <c r="H12" s="30">
        <v>44627</v>
      </c>
      <c r="I12" s="31">
        <v>45</v>
      </c>
      <c r="J12" s="38"/>
      <c r="K12" s="50"/>
      <c r="L12" s="40"/>
      <c r="M12" s="32">
        <f>26020+25560</f>
        <v>51580</v>
      </c>
      <c r="N12" s="33">
        <v>1100</v>
      </c>
      <c r="O12" s="2"/>
      <c r="P12" s="34">
        <f t="shared" si="0"/>
        <v>52725</v>
      </c>
      <c r="Q12" s="13">
        <f t="shared" si="1"/>
        <v>0</v>
      </c>
      <c r="R12" s="8"/>
    </row>
    <row r="13" spans="1:21" ht="18" thickBot="1" x14ac:dyDescent="0.35">
      <c r="A13" s="24"/>
      <c r="B13" s="25">
        <v>44628</v>
      </c>
      <c r="C13" s="26">
        <v>2840</v>
      </c>
      <c r="D13" s="41" t="s">
        <v>195</v>
      </c>
      <c r="E13" s="28">
        <v>44628</v>
      </c>
      <c r="F13" s="29">
        <v>53875</v>
      </c>
      <c r="G13" s="2"/>
      <c r="H13" s="30">
        <v>44628</v>
      </c>
      <c r="I13" s="31">
        <v>67</v>
      </c>
      <c r="J13" s="38"/>
      <c r="K13" s="39"/>
      <c r="L13" s="40"/>
      <c r="M13" s="32">
        <f>25000+25970</f>
        <v>50970</v>
      </c>
      <c r="N13" s="33">
        <v>0</v>
      </c>
      <c r="O13" s="2"/>
      <c r="P13" s="34">
        <f t="shared" si="0"/>
        <v>53877</v>
      </c>
      <c r="Q13" s="13">
        <f t="shared" si="1"/>
        <v>2</v>
      </c>
      <c r="R13" s="185"/>
    </row>
    <row r="14" spans="1:21" ht="18" thickBot="1" x14ac:dyDescent="0.35">
      <c r="A14" s="24"/>
      <c r="B14" s="25">
        <v>44629</v>
      </c>
      <c r="C14" s="26">
        <v>0</v>
      </c>
      <c r="D14" s="51"/>
      <c r="E14" s="28">
        <v>44629</v>
      </c>
      <c r="F14" s="29">
        <v>40883</v>
      </c>
      <c r="G14" s="2"/>
      <c r="H14" s="30">
        <v>44629</v>
      </c>
      <c r="I14" s="31">
        <v>412</v>
      </c>
      <c r="J14" s="38"/>
      <c r="K14" s="45"/>
      <c r="L14" s="40"/>
      <c r="M14" s="32">
        <f>25430+15000</f>
        <v>40430</v>
      </c>
      <c r="N14" s="33">
        <v>40</v>
      </c>
      <c r="O14" s="2"/>
      <c r="P14" s="34">
        <f t="shared" si="0"/>
        <v>40882</v>
      </c>
      <c r="Q14" s="61">
        <f t="shared" si="1"/>
        <v>-1</v>
      </c>
      <c r="R14" s="185"/>
    </row>
    <row r="15" spans="1:21" ht="18" thickBot="1" x14ac:dyDescent="0.35">
      <c r="A15" s="24"/>
      <c r="B15" s="25">
        <v>44630</v>
      </c>
      <c r="C15" s="26">
        <v>0</v>
      </c>
      <c r="D15" s="51"/>
      <c r="E15" s="28">
        <v>44630</v>
      </c>
      <c r="F15" s="29">
        <v>67399</v>
      </c>
      <c r="G15" s="2"/>
      <c r="H15" s="30">
        <v>44630</v>
      </c>
      <c r="I15" s="31">
        <v>88</v>
      </c>
      <c r="J15" s="38"/>
      <c r="K15" s="45"/>
      <c r="L15" s="40"/>
      <c r="M15" s="32">
        <f>10000+400+30000+26420</f>
        <v>66820</v>
      </c>
      <c r="N15" s="33">
        <v>497</v>
      </c>
      <c r="P15" s="34">
        <f t="shared" si="0"/>
        <v>67405</v>
      </c>
      <c r="Q15" s="13">
        <f t="shared" si="1"/>
        <v>6</v>
      </c>
      <c r="R15" s="8"/>
    </row>
    <row r="16" spans="1:21" ht="18" thickBot="1" x14ac:dyDescent="0.35">
      <c r="A16" s="24"/>
      <c r="B16" s="25">
        <v>44631</v>
      </c>
      <c r="C16" s="26">
        <v>0</v>
      </c>
      <c r="D16" s="36"/>
      <c r="E16" s="28">
        <v>44631</v>
      </c>
      <c r="F16" s="29">
        <v>90868</v>
      </c>
      <c r="G16" s="2"/>
      <c r="H16" s="30">
        <v>44631</v>
      </c>
      <c r="I16" s="31">
        <v>30</v>
      </c>
      <c r="J16" s="38"/>
      <c r="K16" s="45"/>
      <c r="L16" s="9"/>
      <c r="M16" s="32">
        <f>45000+45700</f>
        <v>90700</v>
      </c>
      <c r="N16" s="33">
        <v>137</v>
      </c>
      <c r="P16" s="34">
        <f t="shared" si="0"/>
        <v>90867</v>
      </c>
      <c r="Q16" s="61">
        <f t="shared" si="1"/>
        <v>-1</v>
      </c>
      <c r="R16" s="8" t="s">
        <v>8</v>
      </c>
    </row>
    <row r="17" spans="1:19" ht="18" thickBot="1" x14ac:dyDescent="0.35">
      <c r="A17" s="24"/>
      <c r="B17" s="25">
        <v>44632</v>
      </c>
      <c r="C17" s="26">
        <v>2040</v>
      </c>
      <c r="D17" s="41" t="s">
        <v>47</v>
      </c>
      <c r="E17" s="28">
        <v>44632</v>
      </c>
      <c r="F17" s="29">
        <v>87020</v>
      </c>
      <c r="G17" s="2"/>
      <c r="H17" s="30">
        <v>44632</v>
      </c>
      <c r="I17" s="31">
        <v>28</v>
      </c>
      <c r="J17" s="38">
        <v>44632</v>
      </c>
      <c r="K17" s="52" t="s">
        <v>196</v>
      </c>
      <c r="L17" s="48">
        <v>9800</v>
      </c>
      <c r="M17" s="32">
        <f>40000+23370</f>
        <v>63370</v>
      </c>
      <c r="N17" s="33">
        <v>11780</v>
      </c>
      <c r="P17" s="34">
        <f t="shared" si="0"/>
        <v>87018</v>
      </c>
      <c r="Q17" s="61">
        <f t="shared" si="1"/>
        <v>-2</v>
      </c>
      <c r="R17" s="8"/>
    </row>
    <row r="18" spans="1:19" ht="18" thickBot="1" x14ac:dyDescent="0.35">
      <c r="A18" s="24"/>
      <c r="B18" s="25">
        <v>44633</v>
      </c>
      <c r="C18" s="26">
        <v>24281</v>
      </c>
      <c r="D18" s="36" t="s">
        <v>194</v>
      </c>
      <c r="E18" s="28">
        <v>44633</v>
      </c>
      <c r="F18" s="29">
        <v>109237</v>
      </c>
      <c r="G18" s="2"/>
      <c r="H18" s="30">
        <v>44633</v>
      </c>
      <c r="I18" s="31">
        <v>48</v>
      </c>
      <c r="J18" s="38"/>
      <c r="K18" s="53"/>
      <c r="L18" s="40"/>
      <c r="M18" s="32">
        <f>65000+11662+7772</f>
        <v>84434</v>
      </c>
      <c r="N18" s="33">
        <v>474</v>
      </c>
      <c r="P18" s="34">
        <f t="shared" si="0"/>
        <v>109237</v>
      </c>
      <c r="Q18" s="13">
        <f t="shared" si="1"/>
        <v>0</v>
      </c>
      <c r="R18" s="8"/>
    </row>
    <row r="19" spans="1:19" ht="18" thickBot="1" x14ac:dyDescent="0.35">
      <c r="A19" s="24"/>
      <c r="B19" s="25">
        <v>44634</v>
      </c>
      <c r="C19" s="26">
        <v>0</v>
      </c>
      <c r="D19" s="36"/>
      <c r="E19" s="28">
        <v>44634</v>
      </c>
      <c r="F19" s="29">
        <v>44651</v>
      </c>
      <c r="G19" s="2"/>
      <c r="H19" s="30">
        <v>44634</v>
      </c>
      <c r="I19" s="31">
        <v>85</v>
      </c>
      <c r="J19" s="38"/>
      <c r="K19" s="54"/>
      <c r="L19" s="55"/>
      <c r="M19" s="32">
        <f>21166+23400</f>
        <v>44566</v>
      </c>
      <c r="N19" s="33">
        <v>0</v>
      </c>
      <c r="O19" s="2"/>
      <c r="P19" s="34">
        <f t="shared" si="0"/>
        <v>44651</v>
      </c>
      <c r="Q19" s="13">
        <f t="shared" si="1"/>
        <v>0</v>
      </c>
      <c r="R19" s="8"/>
    </row>
    <row r="20" spans="1:19" ht="18" thickBot="1" x14ac:dyDescent="0.35">
      <c r="A20" s="24"/>
      <c r="B20" s="25">
        <v>44635</v>
      </c>
      <c r="C20" s="26">
        <v>0</v>
      </c>
      <c r="D20" s="36"/>
      <c r="E20" s="28">
        <v>44635</v>
      </c>
      <c r="F20" s="29">
        <v>65142</v>
      </c>
      <c r="G20" s="2"/>
      <c r="H20" s="30">
        <v>44635</v>
      </c>
      <c r="I20" s="31">
        <v>10</v>
      </c>
      <c r="J20" s="38"/>
      <c r="K20" s="56"/>
      <c r="L20" s="48"/>
      <c r="M20" s="32">
        <f>40000+24630</f>
        <v>64630</v>
      </c>
      <c r="N20" s="33">
        <v>500</v>
      </c>
      <c r="P20" s="34">
        <f t="shared" si="0"/>
        <v>65140</v>
      </c>
      <c r="Q20" s="61">
        <f t="shared" si="1"/>
        <v>-2</v>
      </c>
      <c r="R20" s="8"/>
    </row>
    <row r="21" spans="1:19" ht="18" thickBot="1" x14ac:dyDescent="0.35">
      <c r="A21" s="24"/>
      <c r="B21" s="25">
        <v>44636</v>
      </c>
      <c r="C21" s="26">
        <v>2862</v>
      </c>
      <c r="D21" s="36" t="s">
        <v>47</v>
      </c>
      <c r="E21" s="28">
        <v>44636</v>
      </c>
      <c r="F21" s="29">
        <v>37330</v>
      </c>
      <c r="G21" s="2"/>
      <c r="H21" s="30">
        <v>44636</v>
      </c>
      <c r="I21" s="31">
        <v>66</v>
      </c>
      <c r="J21" s="38"/>
      <c r="K21" s="57"/>
      <c r="L21" s="48"/>
      <c r="M21" s="32">
        <f>15000+19350</f>
        <v>34350</v>
      </c>
      <c r="N21" s="33">
        <v>50</v>
      </c>
      <c r="P21" s="34">
        <f t="shared" si="0"/>
        <v>37328</v>
      </c>
      <c r="Q21" s="61">
        <f t="shared" si="1"/>
        <v>-2</v>
      </c>
      <c r="R21" s="8"/>
    </row>
    <row r="22" spans="1:19" ht="18" thickBot="1" x14ac:dyDescent="0.35">
      <c r="A22" s="24"/>
      <c r="B22" s="25">
        <v>44637</v>
      </c>
      <c r="C22" s="26">
        <v>0</v>
      </c>
      <c r="D22" s="36"/>
      <c r="E22" s="28">
        <v>44637</v>
      </c>
      <c r="F22" s="29">
        <v>61658</v>
      </c>
      <c r="G22" s="2"/>
      <c r="H22" s="30">
        <v>44637</v>
      </c>
      <c r="I22" s="31">
        <v>172</v>
      </c>
      <c r="J22" s="38"/>
      <c r="K22" s="45"/>
      <c r="L22" s="58"/>
      <c r="M22" s="32">
        <f>30000+29190</f>
        <v>59190</v>
      </c>
      <c r="N22" s="33">
        <v>2300</v>
      </c>
      <c r="P22" s="34">
        <f t="shared" si="0"/>
        <v>61662</v>
      </c>
      <c r="Q22" s="13">
        <f t="shared" si="1"/>
        <v>4</v>
      </c>
      <c r="R22" s="8"/>
    </row>
    <row r="23" spans="1:19" ht="18" thickBot="1" x14ac:dyDescent="0.35">
      <c r="A23" s="24"/>
      <c r="B23" s="25">
        <v>44638</v>
      </c>
      <c r="C23" s="26">
        <v>2160</v>
      </c>
      <c r="D23" s="36" t="s">
        <v>47</v>
      </c>
      <c r="E23" s="28">
        <v>44638</v>
      </c>
      <c r="F23" s="29">
        <v>88642</v>
      </c>
      <c r="G23" s="2"/>
      <c r="H23" s="30">
        <v>44638</v>
      </c>
      <c r="I23" s="31">
        <v>551</v>
      </c>
      <c r="J23" s="59"/>
      <c r="K23" s="60"/>
      <c r="L23" s="48"/>
      <c r="M23" s="32">
        <f>50920+35000</f>
        <v>85920</v>
      </c>
      <c r="N23" s="33">
        <v>0</v>
      </c>
      <c r="P23" s="34">
        <f t="shared" si="0"/>
        <v>88631</v>
      </c>
      <c r="Q23" s="61">
        <f t="shared" si="1"/>
        <v>-11</v>
      </c>
      <c r="R23" s="8"/>
    </row>
    <row r="24" spans="1:19" ht="18" thickBot="1" x14ac:dyDescent="0.35">
      <c r="A24" s="24"/>
      <c r="B24" s="25">
        <v>44639</v>
      </c>
      <c r="C24" s="26">
        <v>0</v>
      </c>
      <c r="D24" s="41"/>
      <c r="E24" s="28">
        <v>44639</v>
      </c>
      <c r="F24" s="29">
        <v>100597</v>
      </c>
      <c r="G24" s="2"/>
      <c r="H24" s="30">
        <v>44639</v>
      </c>
      <c r="I24" s="31">
        <v>43</v>
      </c>
      <c r="J24" s="181">
        <v>44639</v>
      </c>
      <c r="K24" s="62" t="s">
        <v>221</v>
      </c>
      <c r="L24" s="63">
        <v>12300</v>
      </c>
      <c r="M24" s="32">
        <f>26940+45000</f>
        <v>71940</v>
      </c>
      <c r="N24" s="33">
        <v>16319</v>
      </c>
      <c r="P24" s="34">
        <f t="shared" si="0"/>
        <v>100602</v>
      </c>
      <c r="Q24" s="13">
        <f t="shared" si="1"/>
        <v>5</v>
      </c>
      <c r="R24" s="8"/>
    </row>
    <row r="25" spans="1:19" ht="18" thickBot="1" x14ac:dyDescent="0.35">
      <c r="A25" s="24"/>
      <c r="B25" s="25">
        <v>44640</v>
      </c>
      <c r="C25" s="26">
        <v>15145</v>
      </c>
      <c r="D25" s="36" t="s">
        <v>222</v>
      </c>
      <c r="E25" s="28">
        <v>44640</v>
      </c>
      <c r="F25" s="29">
        <v>85876</v>
      </c>
      <c r="G25" s="2"/>
      <c r="H25" s="30">
        <v>44640</v>
      </c>
      <c r="I25" s="31">
        <v>23</v>
      </c>
      <c r="J25" s="64"/>
      <c r="K25" s="65"/>
      <c r="L25" s="66"/>
      <c r="M25" s="32">
        <f>50000+13533</f>
        <v>63533</v>
      </c>
      <c r="N25" s="33">
        <v>7175</v>
      </c>
      <c r="O25" t="s">
        <v>8</v>
      </c>
      <c r="P25" s="34">
        <f t="shared" si="0"/>
        <v>85876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44641</v>
      </c>
      <c r="C26" s="26">
        <v>0</v>
      </c>
      <c r="D26" s="36"/>
      <c r="E26" s="28">
        <v>44641</v>
      </c>
      <c r="F26" s="29">
        <v>75915</v>
      </c>
      <c r="G26" s="2"/>
      <c r="H26" s="30">
        <v>44641</v>
      </c>
      <c r="I26" s="31">
        <v>59</v>
      </c>
      <c r="J26" s="38"/>
      <c r="K26" s="62"/>
      <c r="L26" s="48"/>
      <c r="M26" s="32">
        <f>50600+25043</f>
        <v>75643</v>
      </c>
      <c r="N26" s="33">
        <v>213</v>
      </c>
      <c r="P26" s="34">
        <f t="shared" si="0"/>
        <v>75915</v>
      </c>
      <c r="Q26" s="13">
        <f t="shared" si="1"/>
        <v>0</v>
      </c>
      <c r="R26" s="9"/>
    </row>
    <row r="27" spans="1:19" ht="18" thickBot="1" x14ac:dyDescent="0.35">
      <c r="A27" s="24"/>
      <c r="B27" s="25">
        <v>44642</v>
      </c>
      <c r="C27" s="26">
        <v>4490</v>
      </c>
      <c r="D27" s="41" t="s">
        <v>223</v>
      </c>
      <c r="E27" s="28">
        <v>44642</v>
      </c>
      <c r="F27" s="29">
        <v>51455</v>
      </c>
      <c r="G27" s="2"/>
      <c r="H27" s="30">
        <v>44642</v>
      </c>
      <c r="I27" s="31">
        <v>0</v>
      </c>
      <c r="J27" s="67"/>
      <c r="K27" s="68"/>
      <c r="L27" s="66"/>
      <c r="M27" s="32">
        <f>20000+26270</f>
        <v>46270</v>
      </c>
      <c r="N27" s="33">
        <v>696</v>
      </c>
      <c r="P27" s="34">
        <f t="shared" si="0"/>
        <v>51456</v>
      </c>
      <c r="Q27" s="13">
        <f t="shared" si="1"/>
        <v>1</v>
      </c>
      <c r="R27" s="8"/>
    </row>
    <row r="28" spans="1:19" ht="18" thickBot="1" x14ac:dyDescent="0.35">
      <c r="A28" s="24"/>
      <c r="B28" s="25">
        <v>44643</v>
      </c>
      <c r="C28" s="26">
        <v>0</v>
      </c>
      <c r="D28" s="41"/>
      <c r="E28" s="28">
        <v>44643</v>
      </c>
      <c r="F28" s="29">
        <v>45642</v>
      </c>
      <c r="G28" s="2"/>
      <c r="H28" s="30">
        <v>44643</v>
      </c>
      <c r="I28" s="31">
        <v>81</v>
      </c>
      <c r="J28" s="69"/>
      <c r="K28" s="70"/>
      <c r="L28" s="66"/>
      <c r="M28" s="32">
        <f>25570+20000</f>
        <v>45570</v>
      </c>
      <c r="N28" s="33">
        <v>0</v>
      </c>
      <c r="P28" s="34">
        <f t="shared" si="0"/>
        <v>45651</v>
      </c>
      <c r="Q28" s="13">
        <f t="shared" si="1"/>
        <v>9</v>
      </c>
      <c r="R28" s="8"/>
    </row>
    <row r="29" spans="1:19" ht="18" thickBot="1" x14ac:dyDescent="0.35">
      <c r="A29" s="24"/>
      <c r="B29" s="25">
        <v>44644</v>
      </c>
      <c r="C29" s="26">
        <v>0</v>
      </c>
      <c r="D29" s="71"/>
      <c r="E29" s="28">
        <v>44644</v>
      </c>
      <c r="F29" s="29">
        <v>64298</v>
      </c>
      <c r="G29" s="2"/>
      <c r="H29" s="30">
        <v>44644</v>
      </c>
      <c r="I29" s="31">
        <v>157</v>
      </c>
      <c r="J29" s="67"/>
      <c r="K29" s="72"/>
      <c r="L29" s="66"/>
      <c r="M29" s="32">
        <f>44140+20000</f>
        <v>64140</v>
      </c>
      <c r="N29" s="33">
        <v>0</v>
      </c>
      <c r="P29" s="34">
        <f t="shared" si="0"/>
        <v>64297</v>
      </c>
      <c r="Q29" s="13">
        <f t="shared" si="1"/>
        <v>-1</v>
      </c>
      <c r="R29" s="8"/>
    </row>
    <row r="30" spans="1:19" ht="18" thickBot="1" x14ac:dyDescent="0.35">
      <c r="A30" s="24"/>
      <c r="B30" s="25">
        <v>44645</v>
      </c>
      <c r="C30" s="26">
        <v>0</v>
      </c>
      <c r="D30" s="71"/>
      <c r="E30" s="28">
        <v>44645</v>
      </c>
      <c r="F30" s="29">
        <v>81544</v>
      </c>
      <c r="G30" s="2"/>
      <c r="H30" s="30">
        <v>44645</v>
      </c>
      <c r="I30" s="31">
        <v>39</v>
      </c>
      <c r="J30" s="73"/>
      <c r="K30" s="74"/>
      <c r="L30" s="75"/>
      <c r="M30" s="32">
        <f>71505+10000</f>
        <v>81505</v>
      </c>
      <c r="N30" s="33">
        <v>0</v>
      </c>
      <c r="P30" s="34">
        <f t="shared" si="0"/>
        <v>81544</v>
      </c>
      <c r="Q30" s="13">
        <f t="shared" si="1"/>
        <v>0</v>
      </c>
      <c r="R30" s="8"/>
    </row>
    <row r="31" spans="1:19" ht="18" thickBot="1" x14ac:dyDescent="0.35">
      <c r="A31" s="24"/>
      <c r="B31" s="25">
        <v>44646</v>
      </c>
      <c r="C31" s="26">
        <v>33</v>
      </c>
      <c r="D31" s="83" t="s">
        <v>34</v>
      </c>
      <c r="E31" s="28">
        <v>44646</v>
      </c>
      <c r="F31" s="29">
        <v>92844</v>
      </c>
      <c r="G31" s="2"/>
      <c r="H31" s="30">
        <v>44646</v>
      </c>
      <c r="I31" s="31">
        <v>554</v>
      </c>
      <c r="J31" s="73">
        <v>44646</v>
      </c>
      <c r="K31" s="76" t="s">
        <v>224</v>
      </c>
      <c r="L31" s="77">
        <v>10185.709999999999</v>
      </c>
      <c r="M31" s="32">
        <f>25000+48620</f>
        <v>73620</v>
      </c>
      <c r="N31" s="33">
        <v>8457</v>
      </c>
      <c r="P31" s="34">
        <f t="shared" si="0"/>
        <v>92849.709999999992</v>
      </c>
      <c r="Q31" s="13">
        <f t="shared" si="1"/>
        <v>5.7099999999918509</v>
      </c>
      <c r="R31" s="8"/>
    </row>
    <row r="32" spans="1:19" ht="18" thickBot="1" x14ac:dyDescent="0.35">
      <c r="A32" s="24"/>
      <c r="B32" s="25">
        <v>44647</v>
      </c>
      <c r="C32" s="26">
        <v>0</v>
      </c>
      <c r="D32" s="78"/>
      <c r="E32" s="28">
        <v>44647</v>
      </c>
      <c r="F32" s="29">
        <v>89834</v>
      </c>
      <c r="G32" s="2"/>
      <c r="H32" s="30">
        <v>44647</v>
      </c>
      <c r="I32" s="31">
        <v>58</v>
      </c>
      <c r="J32" s="73"/>
      <c r="K32" s="74"/>
      <c r="L32" s="75"/>
      <c r="M32" s="32">
        <f>80000+9446</f>
        <v>89446</v>
      </c>
      <c r="N32" s="33">
        <v>330</v>
      </c>
      <c r="P32" s="34">
        <f t="shared" si="0"/>
        <v>89834</v>
      </c>
      <c r="Q32" s="13">
        <f t="shared" si="1"/>
        <v>0</v>
      </c>
      <c r="R32" s="8" t="s">
        <v>131</v>
      </c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0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13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0"/>
      <c r="I34" s="31"/>
      <c r="J34" s="73"/>
      <c r="K34" s="81"/>
      <c r="L34" s="82"/>
      <c r="M34" s="32">
        <v>0</v>
      </c>
      <c r="N34" s="33">
        <v>0</v>
      </c>
      <c r="P34" s="34">
        <f t="shared" si="0"/>
        <v>0</v>
      </c>
      <c r="Q34" s="13">
        <f t="shared" si="1"/>
        <v>0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0"/>
      <c r="I35" s="31"/>
      <c r="J35" s="73"/>
      <c r="K35" s="76"/>
      <c r="L35" s="80"/>
      <c r="M35" s="220">
        <v>0</v>
      </c>
      <c r="N35" s="33">
        <v>0</v>
      </c>
      <c r="P35" s="34">
        <f t="shared" si="0"/>
        <v>0</v>
      </c>
      <c r="Q35" s="13">
        <f t="shared" si="1"/>
        <v>0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0"/>
      <c r="I36" s="31"/>
      <c r="J36" s="73"/>
      <c r="K36" s="42"/>
      <c r="L36" s="80"/>
      <c r="M36" s="220">
        <v>0</v>
      </c>
      <c r="N36" s="33">
        <v>0</v>
      </c>
      <c r="P36" s="34">
        <f t="shared" si="0"/>
        <v>0</v>
      </c>
      <c r="Q36" s="13">
        <f t="shared" si="1"/>
        <v>0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0"/>
      <c r="I37" s="31"/>
      <c r="J37" s="73"/>
      <c r="K37" s="221"/>
      <c r="L37" s="80"/>
      <c r="M37" s="220">
        <v>0</v>
      </c>
      <c r="N37" s="33">
        <v>0</v>
      </c>
      <c r="P37" s="34">
        <f t="shared" si="0"/>
        <v>0</v>
      </c>
      <c r="Q37" s="13">
        <f t="shared" si="1"/>
        <v>0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0"/>
      <c r="I38" s="31"/>
      <c r="J38" s="73"/>
      <c r="K38" s="76"/>
      <c r="L38" s="80"/>
      <c r="M38" s="32">
        <v>0</v>
      </c>
      <c r="N38" s="33">
        <v>0</v>
      </c>
      <c r="P38" s="34">
        <f t="shared" si="0"/>
        <v>0</v>
      </c>
      <c r="Q38" s="13">
        <f t="shared" si="1"/>
        <v>0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0"/>
      <c r="I39" s="31"/>
      <c r="J39" s="73"/>
      <c r="K39" s="76"/>
      <c r="L39" s="75"/>
      <c r="M39" s="32">
        <v>0</v>
      </c>
      <c r="N39" s="33">
        <v>0</v>
      </c>
      <c r="P39" s="34">
        <f t="shared" si="0"/>
        <v>0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75"/>
      <c r="M40" s="294">
        <f>SUM(M5:M39)</f>
        <v>1793435</v>
      </c>
      <c r="N40" s="296">
        <f>SUM(N5:N39)</f>
        <v>63995</v>
      </c>
      <c r="P40" s="34">
        <f>SUM(P5:P39)</f>
        <v>1981456.71</v>
      </c>
      <c r="Q40" s="13">
        <f t="shared" si="1"/>
        <v>1981456.71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235" t="s">
        <v>190</v>
      </c>
      <c r="L41" s="75">
        <v>25678</v>
      </c>
      <c r="M41" s="295"/>
      <c r="N41" s="297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66741</v>
      </c>
      <c r="D51" s="107"/>
      <c r="E51" s="108" t="s">
        <v>9</v>
      </c>
      <c r="F51" s="109">
        <f>SUM(F5:F50)</f>
        <v>1981436</v>
      </c>
      <c r="G51" s="107"/>
      <c r="H51" s="110" t="s">
        <v>10</v>
      </c>
      <c r="I51" s="111">
        <f>SUM(I5:I50)</f>
        <v>3700</v>
      </c>
      <c r="J51" s="112"/>
      <c r="K51" s="113" t="s">
        <v>11</v>
      </c>
      <c r="L51" s="114">
        <f>SUM(L5:L50)</f>
        <v>79263.709999999992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298" t="s">
        <v>12</v>
      </c>
      <c r="I53" s="299"/>
      <c r="J53" s="119"/>
      <c r="K53" s="300">
        <f>I51+L51</f>
        <v>82963.709999999992</v>
      </c>
      <c r="L53" s="301"/>
      <c r="M53" s="302">
        <f>N40+M40</f>
        <v>1857430</v>
      </c>
      <c r="N53" s="303"/>
      <c r="P53" s="34"/>
      <c r="Q53" s="9"/>
    </row>
    <row r="54" spans="1:17" ht="15.75" x14ac:dyDescent="0.25">
      <c r="D54" s="304" t="s">
        <v>13</v>
      </c>
      <c r="E54" s="304"/>
      <c r="F54" s="120">
        <f>F51-K53-C51</f>
        <v>1831731.29</v>
      </c>
      <c r="I54" s="121"/>
      <c r="J54" s="122"/>
      <c r="P54" s="34"/>
      <c r="Q54" s="9"/>
    </row>
    <row r="55" spans="1:17" ht="18.75" x14ac:dyDescent="0.3">
      <c r="D55" s="305" t="s">
        <v>14</v>
      </c>
      <c r="E55" s="305"/>
      <c r="F55" s="115">
        <v>-1848136.64</v>
      </c>
      <c r="I55" s="306" t="s">
        <v>15</v>
      </c>
      <c r="J55" s="307"/>
      <c r="K55" s="308">
        <f>F57+F58+F59</f>
        <v>203012.02000000014</v>
      </c>
      <c r="L55" s="309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-16405.34999999986</v>
      </c>
      <c r="H57" s="24"/>
      <c r="I57" s="129" t="s">
        <v>17</v>
      </c>
      <c r="J57" s="130"/>
      <c r="K57" s="310">
        <f>-C4</f>
        <v>-184342.19</v>
      </c>
      <c r="L57" s="311"/>
    </row>
    <row r="58" spans="1:17" ht="16.5" thickBot="1" x14ac:dyDescent="0.3">
      <c r="D58" s="131" t="s">
        <v>18</v>
      </c>
      <c r="E58" s="117" t="s">
        <v>19</v>
      </c>
      <c r="F58" s="132">
        <v>0</v>
      </c>
    </row>
    <row r="59" spans="1:17" ht="20.25" thickTop="1" thickBot="1" x14ac:dyDescent="0.35">
      <c r="C59" s="133">
        <v>44647</v>
      </c>
      <c r="D59" s="287" t="s">
        <v>20</v>
      </c>
      <c r="E59" s="288"/>
      <c r="F59" s="134">
        <v>219417.37</v>
      </c>
      <c r="I59" s="289" t="s">
        <v>226</v>
      </c>
      <c r="J59" s="290"/>
      <c r="K59" s="291">
        <f>K55+K57</f>
        <v>18669.830000000133</v>
      </c>
      <c r="L59" s="291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15"/>
  <sheetViews>
    <sheetView topLeftCell="A18" workbookViewId="0">
      <selection activeCell="F85" sqref="F85"/>
    </sheetView>
  </sheetViews>
  <sheetFormatPr baseColWidth="10" defaultRowHeight="15" x14ac:dyDescent="0.25"/>
  <cols>
    <col min="1" max="1" width="13.42578125" style="230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22" t="s">
        <v>27</v>
      </c>
      <c r="B1" s="231"/>
      <c r="C1" s="188"/>
      <c r="D1" s="198"/>
      <c r="E1" s="188"/>
      <c r="F1" s="153" t="s">
        <v>21</v>
      </c>
    </row>
    <row r="2" spans="1:7" ht="16.5" thickBot="1" x14ac:dyDescent="0.3">
      <c r="A2" s="223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224">
        <v>44620</v>
      </c>
      <c r="B3" s="194" t="s">
        <v>169</v>
      </c>
      <c r="C3" s="195">
        <v>63981.4</v>
      </c>
      <c r="D3" s="200">
        <v>44624</v>
      </c>
      <c r="E3" s="195">
        <v>63981.4</v>
      </c>
      <c r="F3" s="158">
        <f>C3-E3</f>
        <v>0</v>
      </c>
    </row>
    <row r="4" spans="1:7" ht="15.75" x14ac:dyDescent="0.25">
      <c r="A4" s="224">
        <v>44620</v>
      </c>
      <c r="B4" s="194" t="s">
        <v>170</v>
      </c>
      <c r="C4" s="195">
        <v>28417.4</v>
      </c>
      <c r="D4" s="200">
        <v>44624</v>
      </c>
      <c r="E4" s="195">
        <v>28417.4</v>
      </c>
      <c r="F4" s="196">
        <f>C4-E4+F3</f>
        <v>0</v>
      </c>
    </row>
    <row r="5" spans="1:7" s="35" customFormat="1" ht="15.75" x14ac:dyDescent="0.25">
      <c r="A5" s="224">
        <v>44620</v>
      </c>
      <c r="B5" s="194" t="s">
        <v>171</v>
      </c>
      <c r="C5" s="195">
        <v>3848.8</v>
      </c>
      <c r="D5" s="200">
        <v>44624</v>
      </c>
      <c r="E5" s="195">
        <v>3848.8</v>
      </c>
      <c r="F5" s="196">
        <f t="shared" ref="F5:F47" si="0">C5-E5+F4</f>
        <v>0</v>
      </c>
    </row>
    <row r="6" spans="1:7" ht="18.75" x14ac:dyDescent="0.3">
      <c r="A6" s="224">
        <v>44622</v>
      </c>
      <c r="B6" s="194" t="s">
        <v>172</v>
      </c>
      <c r="C6" s="195">
        <v>20212.599999999999</v>
      </c>
      <c r="D6" s="200">
        <v>44624</v>
      </c>
      <c r="E6" s="195">
        <v>20212.599999999999</v>
      </c>
      <c r="F6" s="196">
        <f t="shared" si="0"/>
        <v>0</v>
      </c>
      <c r="G6" s="162"/>
    </row>
    <row r="7" spans="1:7" ht="15.75" x14ac:dyDescent="0.25">
      <c r="A7" s="224">
        <v>44622</v>
      </c>
      <c r="B7" s="194" t="s">
        <v>173</v>
      </c>
      <c r="C7" s="195">
        <v>2787.2</v>
      </c>
      <c r="D7" s="200">
        <v>44624</v>
      </c>
      <c r="E7" s="195">
        <v>2787.2</v>
      </c>
      <c r="F7" s="196">
        <f t="shared" si="0"/>
        <v>0</v>
      </c>
    </row>
    <row r="8" spans="1:7" ht="15.75" x14ac:dyDescent="0.25">
      <c r="A8" s="224">
        <v>44622</v>
      </c>
      <c r="B8" s="194" t="s">
        <v>174</v>
      </c>
      <c r="C8" s="195">
        <v>76427.399999999994</v>
      </c>
      <c r="D8" s="200">
        <v>44624</v>
      </c>
      <c r="E8" s="195">
        <v>76427.399999999994</v>
      </c>
      <c r="F8" s="196">
        <f t="shared" si="0"/>
        <v>0</v>
      </c>
    </row>
    <row r="9" spans="1:7" ht="15.75" x14ac:dyDescent="0.25">
      <c r="A9" s="224">
        <v>44622</v>
      </c>
      <c r="B9" s="194" t="s">
        <v>175</v>
      </c>
      <c r="C9" s="195">
        <v>21897</v>
      </c>
      <c r="D9" s="200">
        <v>44624</v>
      </c>
      <c r="E9" s="195">
        <v>21897</v>
      </c>
      <c r="F9" s="196">
        <f t="shared" si="0"/>
        <v>0</v>
      </c>
    </row>
    <row r="10" spans="1:7" ht="15.75" x14ac:dyDescent="0.25">
      <c r="A10" s="224">
        <v>44624</v>
      </c>
      <c r="B10" s="194" t="s">
        <v>176</v>
      </c>
      <c r="C10" s="195">
        <v>117583.32</v>
      </c>
      <c r="D10" s="200">
        <v>44624</v>
      </c>
      <c r="E10" s="195">
        <v>117583.32</v>
      </c>
      <c r="F10" s="196">
        <f t="shared" si="0"/>
        <v>0</v>
      </c>
    </row>
    <row r="11" spans="1:7" ht="15.75" x14ac:dyDescent="0.25">
      <c r="A11" s="224">
        <v>44624</v>
      </c>
      <c r="B11" s="194" t="s">
        <v>177</v>
      </c>
      <c r="C11" s="195">
        <v>23317.8</v>
      </c>
      <c r="D11" s="241">
        <v>44631</v>
      </c>
      <c r="E11" s="242">
        <v>23317.8</v>
      </c>
      <c r="F11" s="196">
        <f t="shared" si="0"/>
        <v>0</v>
      </c>
    </row>
    <row r="12" spans="1:7" ht="18.75" x14ac:dyDescent="0.3">
      <c r="A12" s="224">
        <v>44625</v>
      </c>
      <c r="B12" s="194" t="s">
        <v>178</v>
      </c>
      <c r="C12" s="195">
        <v>92582.65</v>
      </c>
      <c r="D12" s="241">
        <v>44631</v>
      </c>
      <c r="E12" s="242">
        <v>92582.65</v>
      </c>
      <c r="F12" s="196">
        <f t="shared" si="0"/>
        <v>0</v>
      </c>
      <c r="G12" s="162"/>
    </row>
    <row r="13" spans="1:7" ht="15.75" x14ac:dyDescent="0.25">
      <c r="A13" s="224">
        <v>44625</v>
      </c>
      <c r="B13" s="194" t="s">
        <v>179</v>
      </c>
      <c r="C13" s="195">
        <v>37678.199999999997</v>
      </c>
      <c r="D13" s="241">
        <v>44631</v>
      </c>
      <c r="E13" s="242">
        <v>37678.199999999997</v>
      </c>
      <c r="F13" s="196">
        <f t="shared" si="0"/>
        <v>0</v>
      </c>
    </row>
    <row r="14" spans="1:7" ht="15.75" x14ac:dyDescent="0.25">
      <c r="A14" s="224">
        <v>44627</v>
      </c>
      <c r="B14" s="194" t="s">
        <v>180</v>
      </c>
      <c r="C14" s="195">
        <v>71302.149999999994</v>
      </c>
      <c r="D14" s="241">
        <v>44631</v>
      </c>
      <c r="E14" s="242">
        <v>71302.149999999994</v>
      </c>
      <c r="F14" s="196">
        <f t="shared" si="0"/>
        <v>0</v>
      </c>
    </row>
    <row r="15" spans="1:7" ht="15.75" x14ac:dyDescent="0.25">
      <c r="A15" s="224">
        <v>44629</v>
      </c>
      <c r="B15" s="194" t="s">
        <v>181</v>
      </c>
      <c r="C15" s="195">
        <v>122152.6</v>
      </c>
      <c r="D15" s="241">
        <v>44631</v>
      </c>
      <c r="E15" s="242">
        <v>122152.6</v>
      </c>
      <c r="F15" s="196">
        <f t="shared" si="0"/>
        <v>0</v>
      </c>
    </row>
    <row r="16" spans="1:7" ht="15.75" x14ac:dyDescent="0.25">
      <c r="A16" s="224">
        <v>44630</v>
      </c>
      <c r="B16" s="194" t="s">
        <v>182</v>
      </c>
      <c r="C16" s="195">
        <v>19883.2</v>
      </c>
      <c r="D16" s="241">
        <v>44631</v>
      </c>
      <c r="E16" s="242">
        <v>19883.2</v>
      </c>
      <c r="F16" s="196">
        <f t="shared" si="0"/>
        <v>0</v>
      </c>
    </row>
    <row r="17" spans="1:7" ht="15.75" x14ac:dyDescent="0.25">
      <c r="A17" s="224">
        <v>44630</v>
      </c>
      <c r="B17" s="194" t="s">
        <v>183</v>
      </c>
      <c r="C17" s="195">
        <v>76107.320000000007</v>
      </c>
      <c r="D17" s="241">
        <v>44631</v>
      </c>
      <c r="E17" s="242">
        <v>76107.320000000007</v>
      </c>
      <c r="F17" s="196">
        <f t="shared" si="0"/>
        <v>0</v>
      </c>
    </row>
    <row r="18" spans="1:7" ht="15.75" x14ac:dyDescent="0.25">
      <c r="A18" s="224">
        <v>44631</v>
      </c>
      <c r="B18" s="194" t="s">
        <v>184</v>
      </c>
      <c r="C18" s="195">
        <v>84276.9</v>
      </c>
      <c r="D18" s="215">
        <v>44638</v>
      </c>
      <c r="E18" s="216">
        <v>84276.9</v>
      </c>
      <c r="F18" s="196">
        <f t="shared" si="0"/>
        <v>0</v>
      </c>
    </row>
    <row r="19" spans="1:7" ht="15.75" x14ac:dyDescent="0.25">
      <c r="A19" s="224">
        <v>44632</v>
      </c>
      <c r="B19" s="194" t="s">
        <v>185</v>
      </c>
      <c r="C19" s="195">
        <v>47979.55</v>
      </c>
      <c r="D19" s="215">
        <v>44638</v>
      </c>
      <c r="E19" s="216">
        <v>47979.55</v>
      </c>
      <c r="F19" s="196">
        <f t="shared" si="0"/>
        <v>0</v>
      </c>
    </row>
    <row r="20" spans="1:7" ht="15.75" x14ac:dyDescent="0.25">
      <c r="A20" s="224">
        <v>44632</v>
      </c>
      <c r="B20" s="194" t="s">
        <v>186</v>
      </c>
      <c r="C20" s="195">
        <v>1377.6</v>
      </c>
      <c r="D20" s="215">
        <v>44638</v>
      </c>
      <c r="E20" s="216">
        <v>1377.6</v>
      </c>
      <c r="F20" s="196">
        <f t="shared" si="0"/>
        <v>0</v>
      </c>
    </row>
    <row r="21" spans="1:7" ht="15.75" x14ac:dyDescent="0.25">
      <c r="A21" s="224">
        <v>44632</v>
      </c>
      <c r="B21" s="194" t="s">
        <v>187</v>
      </c>
      <c r="C21" s="195">
        <v>12015.5</v>
      </c>
      <c r="D21" s="215">
        <v>44638</v>
      </c>
      <c r="E21" s="216">
        <v>12015.5</v>
      </c>
      <c r="F21" s="196">
        <f t="shared" si="0"/>
        <v>0</v>
      </c>
    </row>
    <row r="22" spans="1:7" ht="15.75" x14ac:dyDescent="0.25">
      <c r="A22" s="224">
        <v>44634</v>
      </c>
      <c r="B22" s="194" t="s">
        <v>188</v>
      </c>
      <c r="C22" s="195">
        <v>95938.68</v>
      </c>
      <c r="D22" s="215">
        <v>44638</v>
      </c>
      <c r="E22" s="216">
        <v>95938.68</v>
      </c>
      <c r="F22" s="196">
        <f t="shared" si="0"/>
        <v>0</v>
      </c>
    </row>
    <row r="23" spans="1:7" ht="15.75" x14ac:dyDescent="0.25">
      <c r="A23" s="224">
        <v>44634</v>
      </c>
      <c r="B23" s="194" t="s">
        <v>189</v>
      </c>
      <c r="C23" s="195">
        <v>9400.2000000000007</v>
      </c>
      <c r="D23" s="215">
        <v>44638</v>
      </c>
      <c r="E23" s="216">
        <v>9400.2000000000007</v>
      </c>
      <c r="F23" s="196">
        <f t="shared" si="0"/>
        <v>0</v>
      </c>
    </row>
    <row r="24" spans="1:7" ht="18.75" x14ac:dyDescent="0.3">
      <c r="A24" s="224">
        <v>44636</v>
      </c>
      <c r="B24" s="194" t="s">
        <v>197</v>
      </c>
      <c r="C24" s="195">
        <v>121105.5</v>
      </c>
      <c r="D24" s="215">
        <v>44638</v>
      </c>
      <c r="E24" s="216">
        <v>121105.5</v>
      </c>
      <c r="F24" s="196">
        <f t="shared" si="0"/>
        <v>0</v>
      </c>
      <c r="G24" s="162"/>
    </row>
    <row r="25" spans="1:7" ht="15.75" x14ac:dyDescent="0.25">
      <c r="A25" s="224">
        <v>44636</v>
      </c>
      <c r="B25" s="194" t="s">
        <v>198</v>
      </c>
      <c r="C25" s="195">
        <v>17248.8</v>
      </c>
      <c r="D25" s="215">
        <v>44638</v>
      </c>
      <c r="E25" s="216">
        <v>17248.8</v>
      </c>
      <c r="F25" s="196">
        <f t="shared" si="0"/>
        <v>0</v>
      </c>
    </row>
    <row r="26" spans="1:7" ht="15.75" x14ac:dyDescent="0.25">
      <c r="A26" s="224">
        <v>44637</v>
      </c>
      <c r="B26" s="194" t="s">
        <v>199</v>
      </c>
      <c r="C26" s="195">
        <v>21554.400000000001</v>
      </c>
      <c r="D26" s="215">
        <v>44638</v>
      </c>
      <c r="E26" s="216">
        <v>21554.400000000001</v>
      </c>
      <c r="F26" s="196">
        <f t="shared" si="0"/>
        <v>0</v>
      </c>
    </row>
    <row r="27" spans="1:7" ht="15.75" x14ac:dyDescent="0.25">
      <c r="A27" s="224">
        <v>44638</v>
      </c>
      <c r="B27" s="194" t="s">
        <v>200</v>
      </c>
      <c r="C27" s="195">
        <v>79239.5</v>
      </c>
      <c r="D27" s="215">
        <v>44638</v>
      </c>
      <c r="E27" s="216">
        <v>79239.5</v>
      </c>
      <c r="F27" s="196">
        <f t="shared" si="0"/>
        <v>0</v>
      </c>
    </row>
    <row r="28" spans="1:7" ht="15.75" x14ac:dyDescent="0.25">
      <c r="A28" s="224">
        <v>44638</v>
      </c>
      <c r="B28" s="194" t="s">
        <v>208</v>
      </c>
      <c r="C28" s="195">
        <v>12469.8</v>
      </c>
      <c r="D28" s="243">
        <v>44645</v>
      </c>
      <c r="E28" s="244">
        <v>12469.8</v>
      </c>
      <c r="F28" s="196">
        <f t="shared" si="0"/>
        <v>0</v>
      </c>
    </row>
    <row r="29" spans="1:7" ht="15.75" x14ac:dyDescent="0.25">
      <c r="A29" s="224">
        <v>44639</v>
      </c>
      <c r="B29" s="194" t="s">
        <v>209</v>
      </c>
      <c r="C29" s="195">
        <v>99143.25</v>
      </c>
      <c r="D29" s="243">
        <v>44645</v>
      </c>
      <c r="E29" s="244">
        <v>99143.25</v>
      </c>
      <c r="F29" s="196">
        <f t="shared" si="0"/>
        <v>0</v>
      </c>
    </row>
    <row r="30" spans="1:7" ht="15.75" x14ac:dyDescent="0.25">
      <c r="A30" s="224">
        <v>44639</v>
      </c>
      <c r="B30" s="194" t="s">
        <v>210</v>
      </c>
      <c r="C30" s="195">
        <v>6625</v>
      </c>
      <c r="D30" s="243">
        <v>44645</v>
      </c>
      <c r="E30" s="244">
        <v>6625</v>
      </c>
      <c r="F30" s="196">
        <f t="shared" si="0"/>
        <v>0</v>
      </c>
    </row>
    <row r="31" spans="1:7" ht="15.75" x14ac:dyDescent="0.25">
      <c r="A31" s="224">
        <v>44639</v>
      </c>
      <c r="B31" s="194" t="s">
        <v>211</v>
      </c>
      <c r="C31" s="195">
        <v>2445.6</v>
      </c>
      <c r="D31" s="243">
        <v>44645</v>
      </c>
      <c r="E31" s="244">
        <v>2445.6</v>
      </c>
      <c r="F31" s="196">
        <f t="shared" si="0"/>
        <v>0</v>
      </c>
    </row>
    <row r="32" spans="1:7" ht="18.75" x14ac:dyDescent="0.3">
      <c r="A32" s="224">
        <v>44641</v>
      </c>
      <c r="B32" s="194" t="s">
        <v>212</v>
      </c>
      <c r="C32" s="195">
        <v>99443</v>
      </c>
      <c r="D32" s="243">
        <v>44645</v>
      </c>
      <c r="E32" s="244">
        <v>99443</v>
      </c>
      <c r="F32" s="196">
        <f t="shared" si="0"/>
        <v>0</v>
      </c>
      <c r="G32" s="162"/>
    </row>
    <row r="33" spans="1:6" ht="15.75" x14ac:dyDescent="0.25">
      <c r="A33" s="224">
        <v>44643</v>
      </c>
      <c r="B33" s="194" t="s">
        <v>213</v>
      </c>
      <c r="C33" s="195">
        <v>117287.22</v>
      </c>
      <c r="D33" s="243">
        <v>44645</v>
      </c>
      <c r="E33" s="244">
        <v>117287.22</v>
      </c>
      <c r="F33" s="196">
        <f t="shared" si="0"/>
        <v>0</v>
      </c>
    </row>
    <row r="34" spans="1:6" ht="15.75" x14ac:dyDescent="0.25">
      <c r="A34" s="224">
        <v>44644</v>
      </c>
      <c r="B34" s="194" t="s">
        <v>214</v>
      </c>
      <c r="C34" s="195">
        <v>27776.2</v>
      </c>
      <c r="D34" s="243">
        <v>44645</v>
      </c>
      <c r="E34" s="244">
        <v>27776.2</v>
      </c>
      <c r="F34" s="196">
        <f t="shared" si="0"/>
        <v>0</v>
      </c>
    </row>
    <row r="35" spans="1:6" ht="15.75" x14ac:dyDescent="0.25">
      <c r="A35" s="224">
        <v>44645</v>
      </c>
      <c r="B35" s="194" t="s">
        <v>215</v>
      </c>
      <c r="C35" s="195">
        <v>100979.1</v>
      </c>
      <c r="D35" s="243">
        <v>44645</v>
      </c>
      <c r="E35" s="244">
        <v>100979.1</v>
      </c>
      <c r="F35" s="196">
        <f t="shared" si="0"/>
        <v>0</v>
      </c>
    </row>
    <row r="36" spans="1:6" ht="15.75" x14ac:dyDescent="0.25">
      <c r="A36" s="224">
        <v>44645</v>
      </c>
      <c r="B36" s="194" t="s">
        <v>216</v>
      </c>
      <c r="C36" s="195">
        <v>2400</v>
      </c>
      <c r="D36" s="239">
        <v>44652</v>
      </c>
      <c r="E36" s="240">
        <v>2400</v>
      </c>
      <c r="F36" s="196">
        <f t="shared" si="0"/>
        <v>0</v>
      </c>
    </row>
    <row r="37" spans="1:6" ht="15.75" x14ac:dyDescent="0.25">
      <c r="A37" s="224">
        <v>44646</v>
      </c>
      <c r="B37" s="194" t="s">
        <v>217</v>
      </c>
      <c r="C37" s="195">
        <v>100244.2</v>
      </c>
      <c r="D37" s="239">
        <v>44652</v>
      </c>
      <c r="E37" s="240">
        <v>100244.2</v>
      </c>
      <c r="F37" s="196">
        <f t="shared" si="0"/>
        <v>0</v>
      </c>
    </row>
    <row r="38" spans="1:6" ht="15.75" x14ac:dyDescent="0.25">
      <c r="A38" s="224">
        <v>44646</v>
      </c>
      <c r="B38" s="194" t="s">
        <v>218</v>
      </c>
      <c r="C38" s="195">
        <v>400</v>
      </c>
      <c r="D38" s="239">
        <v>44652</v>
      </c>
      <c r="E38" s="240">
        <v>400</v>
      </c>
      <c r="F38" s="196">
        <f t="shared" si="0"/>
        <v>0</v>
      </c>
    </row>
    <row r="39" spans="1:6" ht="15.75" x14ac:dyDescent="0.25">
      <c r="A39" s="224">
        <v>44647</v>
      </c>
      <c r="B39" s="194" t="s">
        <v>219</v>
      </c>
      <c r="C39" s="195">
        <v>2696.4</v>
      </c>
      <c r="D39" s="239">
        <v>44652</v>
      </c>
      <c r="E39" s="240">
        <v>2696.4</v>
      </c>
      <c r="F39" s="196">
        <f t="shared" si="0"/>
        <v>0</v>
      </c>
    </row>
    <row r="40" spans="1:6" ht="15.75" x14ac:dyDescent="0.25">
      <c r="A40" s="224">
        <v>44647</v>
      </c>
      <c r="B40" s="194" t="s">
        <v>220</v>
      </c>
      <c r="C40" s="195">
        <v>7911.2</v>
      </c>
      <c r="D40" s="239">
        <v>44652</v>
      </c>
      <c r="E40" s="240">
        <v>7911.2</v>
      </c>
      <c r="F40" s="196">
        <f t="shared" si="0"/>
        <v>0</v>
      </c>
    </row>
    <row r="41" spans="1:6" ht="15.75" x14ac:dyDescent="0.25">
      <c r="A41" s="224"/>
      <c r="B41" s="194"/>
      <c r="C41" s="195"/>
      <c r="D41" s="200"/>
      <c r="E41" s="195"/>
      <c r="F41" s="196">
        <f t="shared" si="0"/>
        <v>0</v>
      </c>
    </row>
    <row r="42" spans="1:6" ht="15.75" x14ac:dyDescent="0.25">
      <c r="A42" s="224"/>
      <c r="B42" s="194"/>
      <c r="C42" s="195"/>
      <c r="D42" s="200"/>
      <c r="E42" s="195"/>
      <c r="F42" s="196">
        <v>0</v>
      </c>
    </row>
    <row r="43" spans="1:6" ht="16.5" thickBot="1" x14ac:dyDescent="0.3">
      <c r="A43" s="225"/>
      <c r="B43" s="160"/>
      <c r="C43" s="86"/>
      <c r="D43" s="159"/>
      <c r="E43" s="86"/>
      <c r="F43" s="196">
        <v>0</v>
      </c>
    </row>
    <row r="44" spans="1:6" ht="15" hidden="1" customHeight="1" x14ac:dyDescent="0.25">
      <c r="A44" s="226"/>
      <c r="B44" s="165"/>
      <c r="C44" s="166"/>
      <c r="D44" s="159"/>
      <c r="E44" s="86"/>
      <c r="F44" s="196">
        <f t="shared" si="0"/>
        <v>0</v>
      </c>
    </row>
    <row r="45" spans="1:6" ht="16.5" hidden="1" thickBot="1" x14ac:dyDescent="0.3">
      <c r="A45" s="226"/>
      <c r="B45" s="165"/>
      <c r="C45" s="166"/>
      <c r="D45" s="159"/>
      <c r="E45" s="86"/>
      <c r="F45" s="196">
        <f t="shared" si="0"/>
        <v>0</v>
      </c>
    </row>
    <row r="46" spans="1:6" ht="16.5" hidden="1" thickBot="1" x14ac:dyDescent="0.3">
      <c r="A46" s="226"/>
      <c r="B46" s="165"/>
      <c r="C46" s="166"/>
      <c r="D46" s="159"/>
      <c r="E46" s="86"/>
      <c r="F46" s="196">
        <f t="shared" si="0"/>
        <v>0</v>
      </c>
    </row>
    <row r="47" spans="1:6" ht="16.5" hidden="1" thickBot="1" x14ac:dyDescent="0.3">
      <c r="A47" s="226"/>
      <c r="B47" s="165"/>
      <c r="C47" s="166"/>
      <c r="D47" s="159"/>
      <c r="E47" s="86"/>
      <c r="F47" s="196">
        <f t="shared" si="0"/>
        <v>0</v>
      </c>
    </row>
    <row r="48" spans="1:6" ht="16.5" hidden="1" thickBot="1" x14ac:dyDescent="0.3">
      <c r="A48" s="226"/>
      <c r="B48" s="165"/>
      <c r="C48" s="166"/>
      <c r="D48" s="159"/>
      <c r="E48" s="86"/>
      <c r="F48" s="196">
        <f t="shared" ref="F48:F78" si="1">C48-E48+F47</f>
        <v>0</v>
      </c>
    </row>
    <row r="49" spans="1:6" ht="16.5" hidden="1" thickBot="1" x14ac:dyDescent="0.3">
      <c r="A49" s="226"/>
      <c r="B49" s="165"/>
      <c r="C49" s="166"/>
      <c r="D49" s="159"/>
      <c r="E49" s="86"/>
      <c r="F49" s="196">
        <f t="shared" si="1"/>
        <v>0</v>
      </c>
    </row>
    <row r="50" spans="1:6" ht="16.5" hidden="1" thickBot="1" x14ac:dyDescent="0.3">
      <c r="A50" s="226"/>
      <c r="B50" s="165"/>
      <c r="C50" s="166"/>
      <c r="D50" s="159"/>
      <c r="E50" s="86"/>
      <c r="F50" s="196">
        <f t="shared" si="1"/>
        <v>0</v>
      </c>
    </row>
    <row r="51" spans="1:6" ht="16.5" hidden="1" thickBot="1" x14ac:dyDescent="0.3">
      <c r="A51" s="226"/>
      <c r="B51" s="165"/>
      <c r="C51" s="166"/>
      <c r="D51" s="159"/>
      <c r="E51" s="86"/>
      <c r="F51" s="196">
        <f t="shared" si="1"/>
        <v>0</v>
      </c>
    </row>
    <row r="52" spans="1:6" ht="16.5" hidden="1" thickBot="1" x14ac:dyDescent="0.3">
      <c r="A52" s="226"/>
      <c r="B52" s="165"/>
      <c r="C52" s="166"/>
      <c r="D52" s="159"/>
      <c r="E52" s="86"/>
      <c r="F52" s="196">
        <f t="shared" si="1"/>
        <v>0</v>
      </c>
    </row>
    <row r="53" spans="1:6" ht="16.5" hidden="1" thickBot="1" x14ac:dyDescent="0.3">
      <c r="A53" s="226"/>
      <c r="B53" s="165"/>
      <c r="C53" s="166"/>
      <c r="D53" s="159"/>
      <c r="E53" s="86"/>
      <c r="F53" s="196">
        <f t="shared" si="1"/>
        <v>0</v>
      </c>
    </row>
    <row r="54" spans="1:6" ht="16.5" hidden="1" thickBot="1" x14ac:dyDescent="0.3">
      <c r="A54" s="226"/>
      <c r="B54" s="165"/>
      <c r="C54" s="166"/>
      <c r="D54" s="159"/>
      <c r="E54" s="86"/>
      <c r="F54" s="196">
        <f t="shared" si="1"/>
        <v>0</v>
      </c>
    </row>
    <row r="55" spans="1:6" ht="16.5" hidden="1" thickBot="1" x14ac:dyDescent="0.3">
      <c r="A55" s="226"/>
      <c r="B55" s="165"/>
      <c r="C55" s="166"/>
      <c r="D55" s="159"/>
      <c r="E55" s="86"/>
      <c r="F55" s="196">
        <f t="shared" si="1"/>
        <v>0</v>
      </c>
    </row>
    <row r="56" spans="1:6" ht="16.5" hidden="1" thickBot="1" x14ac:dyDescent="0.3">
      <c r="A56" s="226"/>
      <c r="B56" s="165"/>
      <c r="C56" s="166"/>
      <c r="D56" s="159"/>
      <c r="E56" s="86"/>
      <c r="F56" s="196">
        <f t="shared" si="1"/>
        <v>0</v>
      </c>
    </row>
    <row r="57" spans="1:6" ht="16.5" hidden="1" thickBot="1" x14ac:dyDescent="0.3">
      <c r="A57" s="226"/>
      <c r="B57" s="165"/>
      <c r="C57" s="166"/>
      <c r="D57" s="159"/>
      <c r="E57" s="86"/>
      <c r="F57" s="196">
        <f t="shared" si="1"/>
        <v>0</v>
      </c>
    </row>
    <row r="58" spans="1:6" ht="16.5" hidden="1" thickBot="1" x14ac:dyDescent="0.3">
      <c r="A58" s="226"/>
      <c r="B58" s="165"/>
      <c r="C58" s="166"/>
      <c r="D58" s="159"/>
      <c r="E58" s="86"/>
      <c r="F58" s="196">
        <f t="shared" si="1"/>
        <v>0</v>
      </c>
    </row>
    <row r="59" spans="1:6" ht="16.5" hidden="1" thickBot="1" x14ac:dyDescent="0.3">
      <c r="A59" s="226"/>
      <c r="B59" s="165"/>
      <c r="C59" s="166"/>
      <c r="D59" s="159"/>
      <c r="E59" s="86"/>
      <c r="F59" s="196">
        <f t="shared" si="1"/>
        <v>0</v>
      </c>
    </row>
    <row r="60" spans="1:6" ht="16.5" hidden="1" thickBot="1" x14ac:dyDescent="0.3">
      <c r="A60" s="226"/>
      <c r="B60" s="165"/>
      <c r="C60" s="166"/>
      <c r="D60" s="159"/>
      <c r="E60" s="86"/>
      <c r="F60" s="196">
        <f t="shared" si="1"/>
        <v>0</v>
      </c>
    </row>
    <row r="61" spans="1:6" ht="16.5" hidden="1" thickBot="1" x14ac:dyDescent="0.3">
      <c r="A61" s="226"/>
      <c r="B61" s="165"/>
      <c r="C61" s="166"/>
      <c r="D61" s="159"/>
      <c r="E61" s="86"/>
      <c r="F61" s="196">
        <f t="shared" si="1"/>
        <v>0</v>
      </c>
    </row>
    <row r="62" spans="1:6" ht="16.5" hidden="1" thickBot="1" x14ac:dyDescent="0.3">
      <c r="A62" s="227"/>
      <c r="B62" s="168"/>
      <c r="C62" s="169"/>
      <c r="D62" s="170"/>
      <c r="E62" s="34"/>
      <c r="F62" s="196">
        <f t="shared" si="1"/>
        <v>0</v>
      </c>
    </row>
    <row r="63" spans="1:6" ht="16.5" hidden="1" thickBot="1" x14ac:dyDescent="0.3">
      <c r="A63" s="227"/>
      <c r="B63" s="168"/>
      <c r="C63" s="169"/>
      <c r="D63" s="170"/>
      <c r="E63" s="34"/>
      <c r="F63" s="196">
        <f t="shared" si="1"/>
        <v>0</v>
      </c>
    </row>
    <row r="64" spans="1:6" ht="16.5" hidden="1" thickBot="1" x14ac:dyDescent="0.3">
      <c r="A64" s="227"/>
      <c r="B64" s="168"/>
      <c r="C64" s="169"/>
      <c r="D64" s="170"/>
      <c r="E64" s="34"/>
      <c r="F64" s="196">
        <f t="shared" si="1"/>
        <v>0</v>
      </c>
    </row>
    <row r="65" spans="1:6" ht="16.5" hidden="1" thickBot="1" x14ac:dyDescent="0.3">
      <c r="A65" s="227"/>
      <c r="B65" s="168"/>
      <c r="C65" s="169"/>
      <c r="D65" s="170"/>
      <c r="E65" s="34"/>
      <c r="F65" s="196">
        <f t="shared" si="1"/>
        <v>0</v>
      </c>
    </row>
    <row r="66" spans="1:6" ht="16.5" hidden="1" thickBot="1" x14ac:dyDescent="0.3">
      <c r="A66" s="227"/>
      <c r="B66" s="168"/>
      <c r="C66" s="169"/>
      <c r="D66" s="170"/>
      <c r="E66" s="34"/>
      <c r="F66" s="196">
        <f t="shared" si="1"/>
        <v>0</v>
      </c>
    </row>
    <row r="67" spans="1:6" ht="16.5" hidden="1" thickBot="1" x14ac:dyDescent="0.3">
      <c r="A67" s="227"/>
      <c r="B67" s="168"/>
      <c r="C67" s="169"/>
      <c r="D67" s="170"/>
      <c r="E67" s="34"/>
      <c r="F67" s="196">
        <f t="shared" si="1"/>
        <v>0</v>
      </c>
    </row>
    <row r="68" spans="1:6" ht="16.5" hidden="1" thickBot="1" x14ac:dyDescent="0.3">
      <c r="A68" s="226"/>
      <c r="B68" s="165"/>
      <c r="C68" s="166"/>
      <c r="D68" s="171"/>
      <c r="E68" s="86"/>
      <c r="F68" s="196">
        <f t="shared" si="1"/>
        <v>0</v>
      </c>
    </row>
    <row r="69" spans="1:6" ht="16.5" hidden="1" thickBot="1" x14ac:dyDescent="0.3">
      <c r="A69" s="226"/>
      <c r="B69" s="165"/>
      <c r="C69" s="166"/>
      <c r="D69" s="171"/>
      <c r="E69" s="86"/>
      <c r="F69" s="196">
        <f t="shared" si="1"/>
        <v>0</v>
      </c>
    </row>
    <row r="70" spans="1:6" ht="16.5" hidden="1" thickBot="1" x14ac:dyDescent="0.3">
      <c r="A70" s="226"/>
      <c r="B70" s="165"/>
      <c r="C70" s="166"/>
      <c r="D70" s="171"/>
      <c r="E70" s="86"/>
      <c r="F70" s="196">
        <f t="shared" si="1"/>
        <v>0</v>
      </c>
    </row>
    <row r="71" spans="1:6" ht="16.5" hidden="1" thickBot="1" x14ac:dyDescent="0.3">
      <c r="A71" s="226"/>
      <c r="B71" s="165"/>
      <c r="C71" s="166"/>
      <c r="D71" s="171"/>
      <c r="E71" s="86"/>
      <c r="F71" s="196">
        <f t="shared" si="1"/>
        <v>0</v>
      </c>
    </row>
    <row r="72" spans="1:6" ht="16.5" hidden="1" thickBot="1" x14ac:dyDescent="0.3">
      <c r="A72" s="226"/>
      <c r="B72" s="165"/>
      <c r="C72" s="166"/>
      <c r="D72" s="171"/>
      <c r="E72" s="86"/>
      <c r="F72" s="196">
        <f t="shared" si="1"/>
        <v>0</v>
      </c>
    </row>
    <row r="73" spans="1:6" ht="16.5" hidden="1" thickBot="1" x14ac:dyDescent="0.3">
      <c r="A73" s="226"/>
      <c r="B73" s="165"/>
      <c r="C73" s="166"/>
      <c r="D73" s="171"/>
      <c r="E73" s="86"/>
      <c r="F73" s="196">
        <f t="shared" si="1"/>
        <v>0</v>
      </c>
    </row>
    <row r="74" spans="1:6" ht="16.5" hidden="1" thickBot="1" x14ac:dyDescent="0.3">
      <c r="A74" s="226"/>
      <c r="B74" s="165"/>
      <c r="C74" s="166"/>
      <c r="D74" s="171"/>
      <c r="E74" s="86"/>
      <c r="F74" s="196">
        <f t="shared" si="1"/>
        <v>0</v>
      </c>
    </row>
    <row r="75" spans="1:6" ht="16.5" hidden="1" thickBot="1" x14ac:dyDescent="0.3">
      <c r="A75" s="226"/>
      <c r="B75" s="165"/>
      <c r="C75" s="166"/>
      <c r="D75" s="171"/>
      <c r="E75" s="86"/>
      <c r="F75" s="196">
        <f t="shared" si="1"/>
        <v>0</v>
      </c>
    </row>
    <row r="76" spans="1:6" ht="16.5" hidden="1" thickBot="1" x14ac:dyDescent="0.3">
      <c r="A76" s="226"/>
      <c r="B76" s="165"/>
      <c r="C76" s="166"/>
      <c r="D76" s="171"/>
      <c r="E76" s="86"/>
      <c r="F76" s="196">
        <f t="shared" si="1"/>
        <v>0</v>
      </c>
    </row>
    <row r="77" spans="1:6" ht="16.5" hidden="1" thickBot="1" x14ac:dyDescent="0.3">
      <c r="A77" s="226"/>
      <c r="B77" s="165"/>
      <c r="C77" s="166"/>
      <c r="D77" s="171"/>
      <c r="E77" s="86"/>
      <c r="F77" s="196">
        <f t="shared" si="1"/>
        <v>0</v>
      </c>
    </row>
    <row r="78" spans="1:6" ht="16.5" hidden="1" thickBot="1" x14ac:dyDescent="0.3">
      <c r="A78" s="228"/>
      <c r="B78" s="173"/>
      <c r="C78" s="34">
        <v>0</v>
      </c>
      <c r="D78" s="174"/>
      <c r="E78" s="34"/>
      <c r="F78" s="196">
        <f t="shared" si="1"/>
        <v>0</v>
      </c>
    </row>
    <row r="79" spans="1:6" ht="19.5" thickBot="1" x14ac:dyDescent="0.35">
      <c r="A79" s="229"/>
      <c r="B79" s="232"/>
      <c r="C79" s="177">
        <f>SUM(C3:C78)</f>
        <v>1848136.6399999997</v>
      </c>
      <c r="D79" s="189"/>
      <c r="E79" s="178">
        <f>SUM(E3:E78)</f>
        <v>1848136.6399999997</v>
      </c>
      <c r="F79" s="179">
        <f>SUM(F3:F78)</f>
        <v>0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81"/>
  <sheetViews>
    <sheetView topLeftCell="G19" workbookViewId="0">
      <selection activeCell="Q26" sqref="Q26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45" customWidth="1"/>
    <col min="18" max="18" width="14.85546875" style="3" customWidth="1"/>
  </cols>
  <sheetData>
    <row r="1" spans="1:21" ht="23.25" x14ac:dyDescent="0.35">
      <c r="B1" s="274"/>
      <c r="C1" s="276" t="s">
        <v>225</v>
      </c>
      <c r="D1" s="277"/>
      <c r="E1" s="277"/>
      <c r="F1" s="277"/>
      <c r="G1" s="277"/>
      <c r="H1" s="277"/>
      <c r="I1" s="277"/>
      <c r="J1" s="277"/>
      <c r="K1" s="277"/>
      <c r="L1" s="277"/>
      <c r="M1" s="277"/>
    </row>
    <row r="2" spans="1:21" ht="16.5" thickBot="1" x14ac:dyDescent="0.3">
      <c r="B2" s="275"/>
      <c r="C2" s="3"/>
      <c r="H2" s="5"/>
      <c r="I2" s="6"/>
      <c r="J2" s="7"/>
      <c r="L2" s="8"/>
      <c r="M2" s="6"/>
      <c r="N2" s="9"/>
    </row>
    <row r="3" spans="1:21" ht="21.75" thickBot="1" x14ac:dyDescent="0.35">
      <c r="B3" s="278" t="s">
        <v>0</v>
      </c>
      <c r="C3" s="279"/>
      <c r="D3" s="10"/>
      <c r="E3" s="11"/>
      <c r="F3" s="11"/>
      <c r="H3" s="280" t="s">
        <v>1</v>
      </c>
      <c r="I3" s="280"/>
      <c r="K3" s="13"/>
      <c r="L3" s="13"/>
      <c r="M3" s="14"/>
      <c r="R3" s="285" t="s">
        <v>38</v>
      </c>
    </row>
    <row r="4" spans="1:21" ht="20.25" thickTop="1" thickBot="1" x14ac:dyDescent="0.35">
      <c r="A4" s="15" t="s">
        <v>2</v>
      </c>
      <c r="B4" s="16"/>
      <c r="C4" s="17">
        <v>219417.37</v>
      </c>
      <c r="D4" s="18">
        <v>44647</v>
      </c>
      <c r="E4" s="281" t="s">
        <v>3</v>
      </c>
      <c r="F4" s="282"/>
      <c r="H4" s="283" t="s">
        <v>4</v>
      </c>
      <c r="I4" s="284"/>
      <c r="J4" s="19"/>
      <c r="K4" s="20"/>
      <c r="L4" s="21"/>
      <c r="M4" s="22" t="s">
        <v>5</v>
      </c>
      <c r="N4" s="23" t="s">
        <v>6</v>
      </c>
      <c r="P4" s="292" t="s">
        <v>7</v>
      </c>
      <c r="Q4" s="293"/>
      <c r="R4" s="286"/>
    </row>
    <row r="5" spans="1:21" ht="18" thickBot="1" x14ac:dyDescent="0.35">
      <c r="A5" s="24" t="s">
        <v>8</v>
      </c>
      <c r="B5" s="25">
        <v>44648</v>
      </c>
      <c r="C5" s="26">
        <v>0</v>
      </c>
      <c r="D5" s="27"/>
      <c r="E5" s="28">
        <v>44648</v>
      </c>
      <c r="F5" s="29">
        <v>52962</v>
      </c>
      <c r="G5" s="2"/>
      <c r="H5" s="30">
        <v>44648</v>
      </c>
      <c r="I5" s="31">
        <v>216</v>
      </c>
      <c r="J5" s="7"/>
      <c r="K5" s="182"/>
      <c r="L5" s="9"/>
      <c r="M5" s="32">
        <f>1000+17458+33550</f>
        <v>52008</v>
      </c>
      <c r="N5" s="33">
        <v>738</v>
      </c>
      <c r="O5" s="2"/>
      <c r="P5" s="34">
        <f>N5+M5+L5+I5+C5</f>
        <v>52962</v>
      </c>
      <c r="Q5" s="13">
        <f>P5-F5</f>
        <v>0</v>
      </c>
      <c r="R5" s="9"/>
    </row>
    <row r="6" spans="1:21" ht="18" thickBot="1" x14ac:dyDescent="0.35">
      <c r="A6" s="24"/>
      <c r="B6" s="25">
        <v>44649</v>
      </c>
      <c r="C6" s="26">
        <v>0</v>
      </c>
      <c r="D6" s="36"/>
      <c r="E6" s="28">
        <v>44649</v>
      </c>
      <c r="F6" s="29">
        <v>45267</v>
      </c>
      <c r="G6" s="2"/>
      <c r="H6" s="30">
        <v>44649</v>
      </c>
      <c r="I6" s="31">
        <v>80</v>
      </c>
      <c r="J6" s="38"/>
      <c r="K6" s="39"/>
      <c r="L6" s="40"/>
      <c r="M6" s="32">
        <f>20000+24940</f>
        <v>44940</v>
      </c>
      <c r="N6" s="33">
        <v>250</v>
      </c>
      <c r="O6" s="2"/>
      <c r="P6" s="34">
        <f t="shared" ref="P6:P39" si="0">N6+M6+L6+I6+C6</f>
        <v>45270</v>
      </c>
      <c r="Q6" s="13">
        <f t="shared" ref="Q6:Q40" si="1">P6-F6</f>
        <v>3</v>
      </c>
      <c r="R6" s="8"/>
      <c r="S6">
        <v>3</v>
      </c>
    </row>
    <row r="7" spans="1:21" ht="18" thickBot="1" x14ac:dyDescent="0.35">
      <c r="A7" s="24"/>
      <c r="B7" s="25">
        <v>44650</v>
      </c>
      <c r="C7" s="26">
        <v>0</v>
      </c>
      <c r="D7" s="41"/>
      <c r="E7" s="28">
        <v>44650</v>
      </c>
      <c r="F7" s="29">
        <v>32418</v>
      </c>
      <c r="G7" s="2"/>
      <c r="H7" s="30">
        <v>44650</v>
      </c>
      <c r="I7" s="31">
        <v>138</v>
      </c>
      <c r="J7" s="38"/>
      <c r="K7" s="42"/>
      <c r="L7" s="40"/>
      <c r="M7" s="32">
        <f>10000+21558</f>
        <v>31558</v>
      </c>
      <c r="N7" s="33">
        <v>725</v>
      </c>
      <c r="O7" s="2"/>
      <c r="P7" s="34">
        <f t="shared" si="0"/>
        <v>32421</v>
      </c>
      <c r="Q7" s="13">
        <f t="shared" si="1"/>
        <v>3</v>
      </c>
      <c r="R7" s="9"/>
      <c r="S7">
        <v>3</v>
      </c>
    </row>
    <row r="8" spans="1:21" ht="18" thickBot="1" x14ac:dyDescent="0.35">
      <c r="A8" s="24"/>
      <c r="B8" s="25">
        <v>44651</v>
      </c>
      <c r="C8" s="26">
        <v>3520</v>
      </c>
      <c r="D8" s="41" t="s">
        <v>47</v>
      </c>
      <c r="E8" s="28">
        <v>44651</v>
      </c>
      <c r="F8" s="29">
        <v>44996</v>
      </c>
      <c r="G8" s="2"/>
      <c r="H8" s="30">
        <v>44651</v>
      </c>
      <c r="I8" s="31">
        <v>15</v>
      </c>
      <c r="J8" s="44"/>
      <c r="K8" s="45"/>
      <c r="L8" s="40"/>
      <c r="M8" s="32">
        <f>10000+31470</f>
        <v>41470</v>
      </c>
      <c r="N8" s="33">
        <v>0</v>
      </c>
      <c r="O8" s="2"/>
      <c r="P8" s="34">
        <f t="shared" si="0"/>
        <v>45005</v>
      </c>
      <c r="Q8" s="13">
        <f t="shared" si="1"/>
        <v>9</v>
      </c>
      <c r="R8" s="9"/>
      <c r="S8">
        <v>9</v>
      </c>
    </row>
    <row r="9" spans="1:21" ht="18" thickBot="1" x14ac:dyDescent="0.35">
      <c r="A9" s="24"/>
      <c r="B9" s="25">
        <v>44652</v>
      </c>
      <c r="C9" s="26">
        <v>0</v>
      </c>
      <c r="D9" s="41"/>
      <c r="E9" s="28">
        <v>44652</v>
      </c>
      <c r="F9" s="29">
        <v>83524</v>
      </c>
      <c r="G9" s="2"/>
      <c r="H9" s="30">
        <v>44652</v>
      </c>
      <c r="I9" s="31">
        <v>82</v>
      </c>
      <c r="J9" s="38"/>
      <c r="K9" s="46"/>
      <c r="L9" s="40"/>
      <c r="M9" s="32">
        <f>25000+57990</f>
        <v>82990</v>
      </c>
      <c r="N9" s="33">
        <v>456</v>
      </c>
      <c r="O9" s="2"/>
      <c r="P9" s="34">
        <f>N9+M9+L9+I9+C9</f>
        <v>83528</v>
      </c>
      <c r="Q9" s="13">
        <f t="shared" si="1"/>
        <v>4</v>
      </c>
      <c r="R9" s="8"/>
      <c r="S9">
        <v>4</v>
      </c>
    </row>
    <row r="10" spans="1:21" ht="18" thickBot="1" x14ac:dyDescent="0.35">
      <c r="A10" s="24"/>
      <c r="B10" s="25">
        <v>44653</v>
      </c>
      <c r="C10" s="26">
        <v>9627</v>
      </c>
      <c r="D10" s="36" t="s">
        <v>227</v>
      </c>
      <c r="E10" s="28">
        <v>44653</v>
      </c>
      <c r="F10" s="29">
        <v>92174</v>
      </c>
      <c r="G10" s="2"/>
      <c r="H10" s="30">
        <v>44653</v>
      </c>
      <c r="I10" s="31">
        <v>85</v>
      </c>
      <c r="J10" s="38">
        <v>44653</v>
      </c>
      <c r="K10" s="47" t="s">
        <v>228</v>
      </c>
      <c r="L10" s="48">
        <v>8717</v>
      </c>
      <c r="M10" s="32">
        <f>30000+35500</f>
        <v>65500</v>
      </c>
      <c r="N10" s="33">
        <v>8231</v>
      </c>
      <c r="O10" s="2"/>
      <c r="P10" s="34">
        <f t="shared" si="0"/>
        <v>92160</v>
      </c>
      <c r="Q10" s="61">
        <f t="shared" si="1"/>
        <v>-14</v>
      </c>
      <c r="R10" s="9"/>
      <c r="S10">
        <v>-14</v>
      </c>
      <c r="U10" t="s">
        <v>8</v>
      </c>
    </row>
    <row r="11" spans="1:21" ht="18" thickBot="1" x14ac:dyDescent="0.35">
      <c r="A11" s="24"/>
      <c r="B11" s="25">
        <v>44654</v>
      </c>
      <c r="C11" s="26">
        <v>10934</v>
      </c>
      <c r="D11" s="36" t="s">
        <v>229</v>
      </c>
      <c r="E11" s="28">
        <v>44654</v>
      </c>
      <c r="F11" s="29">
        <f>87761+285</f>
        <v>88046</v>
      </c>
      <c r="G11" s="2"/>
      <c r="H11" s="30">
        <v>44654</v>
      </c>
      <c r="I11" s="31">
        <v>44</v>
      </c>
      <c r="J11" s="44"/>
      <c r="K11" s="49"/>
      <c r="L11" s="40"/>
      <c r="M11" s="32">
        <f>50000+15000+10874</f>
        <v>75874</v>
      </c>
      <c r="N11" s="33">
        <v>1194</v>
      </c>
      <c r="O11" s="2"/>
      <c r="P11" s="34">
        <f>N11+M11+L11+I11+C11</f>
        <v>88046</v>
      </c>
      <c r="Q11" s="13">
        <f>P11-F11</f>
        <v>0</v>
      </c>
      <c r="R11" s="8" t="s">
        <v>8</v>
      </c>
      <c r="S11">
        <v>0</v>
      </c>
    </row>
    <row r="12" spans="1:21" ht="18" thickBot="1" x14ac:dyDescent="0.35">
      <c r="A12" s="24"/>
      <c r="B12" s="25">
        <v>44655</v>
      </c>
      <c r="C12" s="26">
        <v>0</v>
      </c>
      <c r="D12" s="36"/>
      <c r="E12" s="28">
        <v>44655</v>
      </c>
      <c r="F12" s="29">
        <v>58072</v>
      </c>
      <c r="G12" s="2"/>
      <c r="H12" s="30">
        <v>44655</v>
      </c>
      <c r="I12" s="31">
        <v>92</v>
      </c>
      <c r="J12" s="38"/>
      <c r="K12" s="50"/>
      <c r="L12" s="40"/>
      <c r="M12" s="32">
        <f>38080+19900</f>
        <v>57980</v>
      </c>
      <c r="N12" s="33">
        <v>0</v>
      </c>
      <c r="O12" s="2"/>
      <c r="P12" s="34">
        <f t="shared" si="0"/>
        <v>58072</v>
      </c>
      <c r="Q12" s="13">
        <f t="shared" si="1"/>
        <v>0</v>
      </c>
      <c r="R12" s="8"/>
      <c r="S12">
        <v>0</v>
      </c>
    </row>
    <row r="13" spans="1:21" ht="18" thickBot="1" x14ac:dyDescent="0.35">
      <c r="A13" s="24"/>
      <c r="B13" s="25">
        <v>44656</v>
      </c>
      <c r="C13" s="26">
        <v>0</v>
      </c>
      <c r="D13" s="41"/>
      <c r="E13" s="28">
        <v>44656</v>
      </c>
      <c r="F13" s="29">
        <v>56671</v>
      </c>
      <c r="G13" s="2"/>
      <c r="H13" s="30">
        <v>44656</v>
      </c>
      <c r="I13" s="31">
        <v>76</v>
      </c>
      <c r="J13" s="38"/>
      <c r="K13" s="39"/>
      <c r="L13" s="40"/>
      <c r="M13" s="32">
        <f>25000+31600</f>
        <v>56600</v>
      </c>
      <c r="N13" s="33">
        <v>0</v>
      </c>
      <c r="O13" s="2"/>
      <c r="P13" s="34">
        <f t="shared" si="0"/>
        <v>56676</v>
      </c>
      <c r="Q13" s="13">
        <f t="shared" si="1"/>
        <v>5</v>
      </c>
      <c r="R13" s="185"/>
      <c r="S13">
        <v>5</v>
      </c>
    </row>
    <row r="14" spans="1:21" ht="18" thickBot="1" x14ac:dyDescent="0.35">
      <c r="A14" s="24"/>
      <c r="B14" s="25">
        <v>44657</v>
      </c>
      <c r="C14" s="26">
        <v>18742</v>
      </c>
      <c r="D14" s="51" t="s">
        <v>230</v>
      </c>
      <c r="E14" s="28">
        <v>44657</v>
      </c>
      <c r="F14" s="29">
        <v>42352</v>
      </c>
      <c r="G14" s="2"/>
      <c r="H14" s="30">
        <v>44657</v>
      </c>
      <c r="I14" s="31">
        <v>71</v>
      </c>
      <c r="J14" s="38"/>
      <c r="K14" s="45"/>
      <c r="L14" s="40"/>
      <c r="M14" s="32">
        <f>10000+10820</f>
        <v>20820</v>
      </c>
      <c r="N14" s="33">
        <v>2722</v>
      </c>
      <c r="O14" s="2"/>
      <c r="P14" s="34">
        <f t="shared" si="0"/>
        <v>42355</v>
      </c>
      <c r="Q14" s="13">
        <f t="shared" si="1"/>
        <v>3</v>
      </c>
      <c r="R14" s="185"/>
      <c r="S14">
        <v>3</v>
      </c>
    </row>
    <row r="15" spans="1:21" ht="18" thickBot="1" x14ac:dyDescent="0.35">
      <c r="A15" s="24"/>
      <c r="B15" s="25">
        <v>44658</v>
      </c>
      <c r="C15" s="26">
        <v>0</v>
      </c>
      <c r="D15" s="51"/>
      <c r="E15" s="28">
        <v>44658</v>
      </c>
      <c r="F15" s="29">
        <v>61760</v>
      </c>
      <c r="G15" s="2"/>
      <c r="H15" s="30">
        <v>44658</v>
      </c>
      <c r="I15" s="31">
        <v>62</v>
      </c>
      <c r="J15" s="38"/>
      <c r="K15" s="45"/>
      <c r="L15" s="40"/>
      <c r="M15" s="32">
        <f>30000+31200</f>
        <v>61200</v>
      </c>
      <c r="N15" s="33">
        <v>490</v>
      </c>
      <c r="P15" s="34">
        <f t="shared" si="0"/>
        <v>61752</v>
      </c>
      <c r="Q15" s="61">
        <f t="shared" si="1"/>
        <v>-8</v>
      </c>
      <c r="R15" s="8"/>
      <c r="S15">
        <v>-8</v>
      </c>
    </row>
    <row r="16" spans="1:21" ht="18" thickBot="1" x14ac:dyDescent="0.35">
      <c r="A16" s="24"/>
      <c r="B16" s="25">
        <v>44659</v>
      </c>
      <c r="C16" s="26">
        <v>0</v>
      </c>
      <c r="D16" s="36"/>
      <c r="E16" s="28">
        <v>44659</v>
      </c>
      <c r="F16" s="29">
        <v>89894</v>
      </c>
      <c r="G16" s="2"/>
      <c r="H16" s="30">
        <v>44659</v>
      </c>
      <c r="I16" s="31">
        <v>106</v>
      </c>
      <c r="J16" s="38"/>
      <c r="K16" s="45"/>
      <c r="L16" s="9"/>
      <c r="M16" s="32">
        <f>55000+34490</f>
        <v>89490</v>
      </c>
      <c r="N16" s="33">
        <v>300</v>
      </c>
      <c r="P16" s="34">
        <f t="shared" si="0"/>
        <v>89896</v>
      </c>
      <c r="Q16" s="13">
        <f t="shared" si="1"/>
        <v>2</v>
      </c>
      <c r="R16" s="8" t="s">
        <v>8</v>
      </c>
      <c r="S16">
        <v>2</v>
      </c>
    </row>
    <row r="17" spans="1:19" ht="18" thickBot="1" x14ac:dyDescent="0.35">
      <c r="A17" s="24"/>
      <c r="B17" s="25">
        <v>44660</v>
      </c>
      <c r="C17" s="26">
        <v>0</v>
      </c>
      <c r="D17" s="41"/>
      <c r="E17" s="28">
        <v>44660</v>
      </c>
      <c r="F17" s="29">
        <v>67991</v>
      </c>
      <c r="G17" s="2"/>
      <c r="H17" s="30">
        <v>44660</v>
      </c>
      <c r="I17" s="31">
        <v>158</v>
      </c>
      <c r="J17" s="38">
        <v>44660</v>
      </c>
      <c r="K17" s="52" t="s">
        <v>231</v>
      </c>
      <c r="L17" s="48">
        <v>9800</v>
      </c>
      <c r="M17" s="32">
        <f>30000+18440</f>
        <v>48440</v>
      </c>
      <c r="N17" s="33">
        <v>9597</v>
      </c>
      <c r="P17" s="34">
        <f t="shared" si="0"/>
        <v>67995</v>
      </c>
      <c r="Q17" s="13">
        <f t="shared" si="1"/>
        <v>4</v>
      </c>
      <c r="R17" s="8"/>
      <c r="S17">
        <v>4</v>
      </c>
    </row>
    <row r="18" spans="1:19" ht="18" thickBot="1" x14ac:dyDescent="0.35">
      <c r="A18" s="24"/>
      <c r="B18" s="25">
        <v>44661</v>
      </c>
      <c r="C18" s="26">
        <v>17885</v>
      </c>
      <c r="D18" s="36" t="s">
        <v>232</v>
      </c>
      <c r="E18" s="28">
        <v>44661</v>
      </c>
      <c r="F18" s="29">
        <v>91204</v>
      </c>
      <c r="G18" s="2"/>
      <c r="H18" s="30">
        <v>44661</v>
      </c>
      <c r="I18" s="31">
        <v>35</v>
      </c>
      <c r="J18" s="38"/>
      <c r="K18" s="53"/>
      <c r="L18" s="40"/>
      <c r="M18" s="32">
        <f>50000+11112+10616</f>
        <v>71728</v>
      </c>
      <c r="N18" s="33">
        <v>1556</v>
      </c>
      <c r="P18" s="34">
        <f t="shared" si="0"/>
        <v>91204</v>
      </c>
      <c r="Q18" s="13">
        <f t="shared" si="1"/>
        <v>0</v>
      </c>
      <c r="R18" s="8"/>
      <c r="S18">
        <v>0</v>
      </c>
    </row>
    <row r="19" spans="1:19" ht="18" thickBot="1" x14ac:dyDescent="0.35">
      <c r="A19" s="24"/>
      <c r="B19" s="25">
        <v>44662</v>
      </c>
      <c r="C19" s="26">
        <v>0</v>
      </c>
      <c r="D19" s="36"/>
      <c r="E19" s="28">
        <v>44662</v>
      </c>
      <c r="F19" s="29">
        <v>60684</v>
      </c>
      <c r="G19" s="2"/>
      <c r="H19" s="30">
        <v>44662</v>
      </c>
      <c r="I19" s="31">
        <v>202</v>
      </c>
      <c r="J19" s="38"/>
      <c r="K19" s="54"/>
      <c r="L19" s="55"/>
      <c r="M19" s="32">
        <f>30100+29613</f>
        <v>59713</v>
      </c>
      <c r="N19" s="33">
        <v>769</v>
      </c>
      <c r="O19" s="2"/>
      <c r="P19" s="34">
        <f t="shared" si="0"/>
        <v>60684</v>
      </c>
      <c r="Q19" s="13">
        <f t="shared" si="1"/>
        <v>0</v>
      </c>
      <c r="R19" s="8"/>
      <c r="S19">
        <v>0</v>
      </c>
    </row>
    <row r="20" spans="1:19" ht="18" thickBot="1" x14ac:dyDescent="0.35">
      <c r="A20" s="24"/>
      <c r="B20" s="25">
        <v>44663</v>
      </c>
      <c r="C20" s="26">
        <v>0</v>
      </c>
      <c r="D20" s="36"/>
      <c r="E20" s="28">
        <v>44663</v>
      </c>
      <c r="F20" s="29">
        <v>56907</v>
      </c>
      <c r="G20" s="2"/>
      <c r="H20" s="30">
        <v>44663</v>
      </c>
      <c r="I20" s="31">
        <v>28</v>
      </c>
      <c r="J20" s="38"/>
      <c r="K20" s="56"/>
      <c r="L20" s="48"/>
      <c r="M20" s="32">
        <f>30000+26700</f>
        <v>56700</v>
      </c>
      <c r="N20" s="33">
        <v>172</v>
      </c>
      <c r="P20" s="34">
        <f t="shared" si="0"/>
        <v>56900</v>
      </c>
      <c r="Q20" s="61">
        <f t="shared" si="1"/>
        <v>-7</v>
      </c>
      <c r="R20" s="8"/>
      <c r="S20">
        <v>-7</v>
      </c>
    </row>
    <row r="21" spans="1:19" ht="18" thickBot="1" x14ac:dyDescent="0.35">
      <c r="A21" s="24"/>
      <c r="B21" s="25">
        <v>44664</v>
      </c>
      <c r="C21" s="26">
        <v>0</v>
      </c>
      <c r="D21" s="36"/>
      <c r="E21" s="28">
        <v>44664</v>
      </c>
      <c r="F21" s="29">
        <v>48470</v>
      </c>
      <c r="G21" s="2"/>
      <c r="H21" s="30">
        <v>44664</v>
      </c>
      <c r="I21" s="31">
        <v>32</v>
      </c>
      <c r="J21" s="38"/>
      <c r="K21" s="57"/>
      <c r="L21" s="48"/>
      <c r="M21" s="32">
        <f>15000+32870</f>
        <v>47870</v>
      </c>
      <c r="N21" s="33">
        <v>569</v>
      </c>
      <c r="P21" s="34">
        <f t="shared" si="0"/>
        <v>48471</v>
      </c>
      <c r="Q21" s="13">
        <f t="shared" si="1"/>
        <v>1</v>
      </c>
      <c r="R21" s="8"/>
      <c r="S21">
        <v>1</v>
      </c>
    </row>
    <row r="22" spans="1:19" ht="18" thickBot="1" x14ac:dyDescent="0.35">
      <c r="A22" s="24"/>
      <c r="B22" s="25">
        <v>44665</v>
      </c>
      <c r="C22" s="26">
        <v>0</v>
      </c>
      <c r="D22" s="36"/>
      <c r="E22" s="28">
        <v>44665</v>
      </c>
      <c r="F22" s="29">
        <v>55521</v>
      </c>
      <c r="G22" s="2"/>
      <c r="H22" s="30">
        <v>44665</v>
      </c>
      <c r="I22" s="31">
        <v>108</v>
      </c>
      <c r="J22" s="38"/>
      <c r="K22" s="45"/>
      <c r="L22" s="58"/>
      <c r="M22" s="32">
        <f>15000+39860</f>
        <v>54860</v>
      </c>
      <c r="N22" s="33">
        <v>554</v>
      </c>
      <c r="P22" s="34">
        <f t="shared" si="0"/>
        <v>55522</v>
      </c>
      <c r="Q22" s="13">
        <f t="shared" si="1"/>
        <v>1</v>
      </c>
      <c r="R22" s="8"/>
      <c r="S22">
        <v>1</v>
      </c>
    </row>
    <row r="23" spans="1:19" ht="18" thickBot="1" x14ac:dyDescent="0.35">
      <c r="A23" s="24"/>
      <c r="B23" s="25">
        <v>44666</v>
      </c>
      <c r="C23" s="26">
        <v>0</v>
      </c>
      <c r="D23" s="36"/>
      <c r="E23" s="28">
        <v>44666</v>
      </c>
      <c r="F23" s="29">
        <v>23712</v>
      </c>
      <c r="G23" s="2"/>
      <c r="H23" s="30">
        <v>44666</v>
      </c>
      <c r="I23" s="31">
        <v>18</v>
      </c>
      <c r="J23" s="59"/>
      <c r="K23" s="60"/>
      <c r="L23" s="48"/>
      <c r="M23" s="32">
        <v>22970</v>
      </c>
      <c r="N23" s="33">
        <v>724</v>
      </c>
      <c r="P23" s="34">
        <f t="shared" si="0"/>
        <v>23712</v>
      </c>
      <c r="Q23" s="13">
        <f t="shared" si="1"/>
        <v>0</v>
      </c>
      <c r="R23" s="8"/>
      <c r="S23">
        <v>0</v>
      </c>
    </row>
    <row r="24" spans="1:19" ht="18" thickBot="1" x14ac:dyDescent="0.35">
      <c r="A24" s="24"/>
      <c r="B24" s="25">
        <v>44667</v>
      </c>
      <c r="C24" s="26">
        <v>4733</v>
      </c>
      <c r="D24" s="41" t="s">
        <v>233</v>
      </c>
      <c r="E24" s="28">
        <v>44667</v>
      </c>
      <c r="F24" s="29">
        <v>94543</v>
      </c>
      <c r="G24" s="2"/>
      <c r="H24" s="30">
        <v>44667</v>
      </c>
      <c r="I24" s="31">
        <v>44</v>
      </c>
      <c r="J24" s="181">
        <v>44667</v>
      </c>
      <c r="K24" s="62" t="s">
        <v>234</v>
      </c>
      <c r="L24" s="63">
        <v>9800</v>
      </c>
      <c r="M24" s="32">
        <f>25000+42150</f>
        <v>67150</v>
      </c>
      <c r="N24" s="33">
        <v>12817</v>
      </c>
      <c r="P24" s="34">
        <f t="shared" si="0"/>
        <v>94544</v>
      </c>
      <c r="Q24" s="13">
        <f t="shared" si="1"/>
        <v>1</v>
      </c>
      <c r="R24" s="8"/>
      <c r="S24">
        <v>1</v>
      </c>
    </row>
    <row r="25" spans="1:19" ht="18" thickBot="1" x14ac:dyDescent="0.35">
      <c r="A25" s="24"/>
      <c r="B25" s="25">
        <v>44668</v>
      </c>
      <c r="C25" s="26">
        <v>15934</v>
      </c>
      <c r="D25" s="36" t="s">
        <v>232</v>
      </c>
      <c r="E25" s="28">
        <v>44668</v>
      </c>
      <c r="F25" s="29">
        <v>83216</v>
      </c>
      <c r="G25" s="2"/>
      <c r="H25" s="30">
        <v>44668</v>
      </c>
      <c r="I25" s="31">
        <v>0</v>
      </c>
      <c r="J25" s="64"/>
      <c r="K25" s="65"/>
      <c r="L25" s="66"/>
      <c r="M25" s="32">
        <f>17210+50000</f>
        <v>67210</v>
      </c>
      <c r="N25" s="33">
        <v>72</v>
      </c>
      <c r="O25" t="s">
        <v>8</v>
      </c>
      <c r="P25" s="34">
        <f t="shared" si="0"/>
        <v>83216</v>
      </c>
      <c r="Q25" s="13">
        <f t="shared" si="1"/>
        <v>0</v>
      </c>
      <c r="R25" s="8"/>
      <c r="S25">
        <v>0</v>
      </c>
    </row>
    <row r="26" spans="1:19" ht="18" thickBot="1" x14ac:dyDescent="0.35">
      <c r="A26" s="24"/>
      <c r="B26" s="25">
        <v>44669</v>
      </c>
      <c r="C26" s="26">
        <v>0</v>
      </c>
      <c r="D26" s="36"/>
      <c r="E26" s="28">
        <v>44669</v>
      </c>
      <c r="F26" s="29">
        <v>65304</v>
      </c>
      <c r="G26" s="2"/>
      <c r="H26" s="30">
        <v>44669</v>
      </c>
      <c r="I26" s="31">
        <v>136</v>
      </c>
      <c r="J26" s="38"/>
      <c r="K26" s="62"/>
      <c r="L26" s="48"/>
      <c r="M26" s="32">
        <f>33900+30877</f>
        <v>64777</v>
      </c>
      <c r="N26" s="33">
        <v>391</v>
      </c>
      <c r="P26" s="34">
        <f t="shared" si="0"/>
        <v>65304</v>
      </c>
      <c r="Q26" s="13">
        <f t="shared" si="1"/>
        <v>0</v>
      </c>
      <c r="R26" s="9"/>
      <c r="S26">
        <v>0</v>
      </c>
    </row>
    <row r="27" spans="1:19" ht="18" thickBot="1" x14ac:dyDescent="0.35">
      <c r="A27" s="24"/>
      <c r="B27" s="25">
        <v>44670</v>
      </c>
      <c r="C27" s="26">
        <v>0</v>
      </c>
      <c r="D27" s="41"/>
      <c r="E27" s="28">
        <v>44670</v>
      </c>
      <c r="F27" s="29">
        <v>63083</v>
      </c>
      <c r="G27" s="2"/>
      <c r="H27" s="30">
        <v>44670</v>
      </c>
      <c r="I27" s="31">
        <v>70</v>
      </c>
      <c r="J27" s="67"/>
      <c r="K27" s="68"/>
      <c r="L27" s="66"/>
      <c r="M27" s="32">
        <f>47800+15000</f>
        <v>62800</v>
      </c>
      <c r="N27" s="33">
        <v>216</v>
      </c>
      <c r="P27" s="34">
        <f t="shared" si="0"/>
        <v>63086</v>
      </c>
      <c r="Q27" s="13">
        <f t="shared" si="1"/>
        <v>3</v>
      </c>
      <c r="R27" s="8"/>
      <c r="S27">
        <v>3</v>
      </c>
    </row>
    <row r="28" spans="1:19" ht="18" thickBot="1" x14ac:dyDescent="0.35">
      <c r="A28" s="24"/>
      <c r="B28" s="25">
        <v>44671</v>
      </c>
      <c r="C28" s="26">
        <v>0</v>
      </c>
      <c r="D28" s="41"/>
      <c r="E28" s="28">
        <v>44671</v>
      </c>
      <c r="F28" s="29">
        <v>50512</v>
      </c>
      <c r="G28" s="2"/>
      <c r="H28" s="30">
        <v>44671</v>
      </c>
      <c r="I28" s="31">
        <v>104</v>
      </c>
      <c r="J28" s="69"/>
      <c r="K28" s="70"/>
      <c r="L28" s="66"/>
      <c r="M28" s="32">
        <f>25000+25370</f>
        <v>50370</v>
      </c>
      <c r="N28" s="33">
        <v>40</v>
      </c>
      <c r="P28" s="34">
        <f t="shared" si="0"/>
        <v>50514</v>
      </c>
      <c r="Q28" s="13">
        <f t="shared" si="1"/>
        <v>2</v>
      </c>
      <c r="R28" s="8"/>
      <c r="S28">
        <v>2</v>
      </c>
    </row>
    <row r="29" spans="1:19" ht="18" thickBot="1" x14ac:dyDescent="0.35">
      <c r="A29" s="24"/>
      <c r="B29" s="25">
        <v>44672</v>
      </c>
      <c r="C29" s="26">
        <v>2720</v>
      </c>
      <c r="D29" s="71" t="s">
        <v>47</v>
      </c>
      <c r="E29" s="28">
        <v>44672</v>
      </c>
      <c r="F29" s="29">
        <v>77234</v>
      </c>
      <c r="G29" s="2"/>
      <c r="H29" s="30">
        <v>44672</v>
      </c>
      <c r="I29" s="31">
        <v>83</v>
      </c>
      <c r="J29" s="67"/>
      <c r="K29" s="72"/>
      <c r="L29" s="66"/>
      <c r="M29" s="32">
        <f>53460+20000</f>
        <v>73460</v>
      </c>
      <c r="N29" s="33">
        <v>970</v>
      </c>
      <c r="P29" s="34">
        <f t="shared" si="0"/>
        <v>77233</v>
      </c>
      <c r="Q29" s="61">
        <f t="shared" si="1"/>
        <v>-1</v>
      </c>
      <c r="R29" s="8"/>
      <c r="S29">
        <v>-1</v>
      </c>
    </row>
    <row r="30" spans="1:19" ht="18" thickBot="1" x14ac:dyDescent="0.35">
      <c r="A30" s="24"/>
      <c r="B30" s="25">
        <v>44673</v>
      </c>
      <c r="C30" s="26">
        <v>0</v>
      </c>
      <c r="D30" s="71"/>
      <c r="E30" s="28">
        <v>44673</v>
      </c>
      <c r="F30" s="29">
        <v>77198</v>
      </c>
      <c r="G30" s="2"/>
      <c r="H30" s="30">
        <v>44673</v>
      </c>
      <c r="I30" s="31">
        <v>39</v>
      </c>
      <c r="J30" s="73"/>
      <c r="K30" s="74"/>
      <c r="L30" s="75"/>
      <c r="M30" s="32">
        <f>30000+46760</f>
        <v>76760</v>
      </c>
      <c r="N30" s="33">
        <v>400</v>
      </c>
      <c r="P30" s="34">
        <f t="shared" si="0"/>
        <v>77199</v>
      </c>
      <c r="Q30" s="13">
        <f t="shared" si="1"/>
        <v>1</v>
      </c>
      <c r="R30" s="8"/>
    </row>
    <row r="31" spans="1:19" ht="18" thickBot="1" x14ac:dyDescent="0.35">
      <c r="A31" s="24"/>
      <c r="B31" s="25">
        <v>44674</v>
      </c>
      <c r="C31" s="26">
        <v>0</v>
      </c>
      <c r="D31" s="83"/>
      <c r="E31" s="28">
        <v>44674</v>
      </c>
      <c r="F31" s="29">
        <v>117077</v>
      </c>
      <c r="G31" s="2"/>
      <c r="H31" s="30">
        <v>44674</v>
      </c>
      <c r="I31" s="31">
        <v>84</v>
      </c>
      <c r="J31" s="73">
        <v>44674</v>
      </c>
      <c r="K31" s="76" t="s">
        <v>235</v>
      </c>
      <c r="L31" s="77">
        <v>9800</v>
      </c>
      <c r="M31" s="32">
        <f>45000+53783</f>
        <v>98783</v>
      </c>
      <c r="N31" s="33">
        <v>8410</v>
      </c>
      <c r="P31" s="34">
        <f t="shared" si="0"/>
        <v>117077</v>
      </c>
      <c r="Q31" s="13">
        <f t="shared" si="1"/>
        <v>0</v>
      </c>
      <c r="R31" s="8"/>
    </row>
    <row r="32" spans="1:19" ht="18" thickBot="1" x14ac:dyDescent="0.35">
      <c r="A32" s="24"/>
      <c r="B32" s="25">
        <v>44675</v>
      </c>
      <c r="C32" s="26">
        <v>19698</v>
      </c>
      <c r="D32" s="78" t="s">
        <v>236</v>
      </c>
      <c r="E32" s="28">
        <v>44675</v>
      </c>
      <c r="F32" s="29">
        <v>107499</v>
      </c>
      <c r="G32" s="2"/>
      <c r="H32" s="30">
        <v>44675</v>
      </c>
      <c r="I32" s="31">
        <v>0</v>
      </c>
      <c r="J32" s="73"/>
      <c r="K32" s="74"/>
      <c r="L32" s="75"/>
      <c r="M32" s="32">
        <f>55000+29608</f>
        <v>84608</v>
      </c>
      <c r="N32" s="33">
        <v>3193</v>
      </c>
      <c r="P32" s="34">
        <f t="shared" si="0"/>
        <v>107499</v>
      </c>
      <c r="Q32" s="13">
        <f t="shared" si="1"/>
        <v>0</v>
      </c>
      <c r="R32" s="8" t="s">
        <v>131</v>
      </c>
    </row>
    <row r="33" spans="1:18" ht="18" thickBot="1" x14ac:dyDescent="0.35">
      <c r="A33" s="24"/>
      <c r="B33" s="25">
        <v>44676</v>
      </c>
      <c r="C33" s="26">
        <v>3120</v>
      </c>
      <c r="D33" s="79" t="s">
        <v>47</v>
      </c>
      <c r="E33" s="28">
        <v>44676</v>
      </c>
      <c r="F33" s="29">
        <v>73868</v>
      </c>
      <c r="G33" s="2"/>
      <c r="H33" s="30">
        <v>44676</v>
      </c>
      <c r="I33" s="31">
        <v>125</v>
      </c>
      <c r="J33" s="73"/>
      <c r="K33" s="76"/>
      <c r="L33" s="80"/>
      <c r="M33" s="32">
        <f>40000+30090</f>
        <v>70090</v>
      </c>
      <c r="N33" s="33">
        <v>530</v>
      </c>
      <c r="P33" s="34">
        <f t="shared" si="0"/>
        <v>73865</v>
      </c>
      <c r="Q33" s="61">
        <f t="shared" si="1"/>
        <v>-3</v>
      </c>
      <c r="R33" s="8"/>
    </row>
    <row r="34" spans="1:18" ht="18" thickBot="1" x14ac:dyDescent="0.35">
      <c r="A34" s="24"/>
      <c r="B34" s="25">
        <v>44677</v>
      </c>
      <c r="C34" s="26">
        <v>810</v>
      </c>
      <c r="D34" s="78" t="s">
        <v>36</v>
      </c>
      <c r="E34" s="28">
        <v>44677</v>
      </c>
      <c r="F34" s="29">
        <v>42606</v>
      </c>
      <c r="G34" s="2"/>
      <c r="H34" s="30">
        <v>44677</v>
      </c>
      <c r="I34" s="31">
        <v>52</v>
      </c>
      <c r="J34" s="73"/>
      <c r="K34" s="81"/>
      <c r="L34" s="82"/>
      <c r="M34" s="32">
        <f>26744+15000</f>
        <v>41744</v>
      </c>
      <c r="N34" s="33">
        <v>0</v>
      </c>
      <c r="P34" s="34">
        <f t="shared" si="0"/>
        <v>42606</v>
      </c>
      <c r="Q34" s="13">
        <f t="shared" si="1"/>
        <v>0</v>
      </c>
      <c r="R34" s="8" t="s">
        <v>8</v>
      </c>
    </row>
    <row r="35" spans="1:18" ht="18" thickBot="1" x14ac:dyDescent="0.35">
      <c r="A35" s="24"/>
      <c r="B35" s="25">
        <v>44678</v>
      </c>
      <c r="C35" s="26">
        <v>0</v>
      </c>
      <c r="D35" s="83"/>
      <c r="E35" s="28">
        <v>44678</v>
      </c>
      <c r="F35" s="29">
        <v>44907</v>
      </c>
      <c r="G35" s="2"/>
      <c r="H35" s="30">
        <v>44678</v>
      </c>
      <c r="I35" s="31">
        <v>83</v>
      </c>
      <c r="J35" s="73"/>
      <c r="K35" s="76"/>
      <c r="L35" s="80"/>
      <c r="M35" s="32">
        <f>29024+15800</f>
        <v>44824</v>
      </c>
      <c r="N35" s="33">
        <v>0</v>
      </c>
      <c r="P35" s="34">
        <f t="shared" si="0"/>
        <v>44907</v>
      </c>
      <c r="Q35" s="13">
        <f t="shared" si="1"/>
        <v>0</v>
      </c>
      <c r="R35" s="8"/>
    </row>
    <row r="36" spans="1:18" ht="18" thickBot="1" x14ac:dyDescent="0.35">
      <c r="A36" s="24"/>
      <c r="B36" s="25">
        <v>44679</v>
      </c>
      <c r="C36" s="26">
        <v>0</v>
      </c>
      <c r="D36" s="84"/>
      <c r="E36" s="28">
        <v>44679</v>
      </c>
      <c r="F36" s="29">
        <v>62031</v>
      </c>
      <c r="G36" s="2"/>
      <c r="H36" s="30">
        <v>44679</v>
      </c>
      <c r="I36" s="31">
        <v>2956</v>
      </c>
      <c r="J36" s="73"/>
      <c r="K36" s="42"/>
      <c r="L36" s="80"/>
      <c r="M36" s="220">
        <f>20000+39000</f>
        <v>59000</v>
      </c>
      <c r="N36" s="33">
        <v>77</v>
      </c>
      <c r="P36" s="34">
        <f t="shared" si="0"/>
        <v>62033</v>
      </c>
      <c r="Q36" s="13">
        <f t="shared" si="1"/>
        <v>2</v>
      </c>
      <c r="R36" s="8"/>
    </row>
    <row r="37" spans="1:18" ht="18" thickBot="1" x14ac:dyDescent="0.35">
      <c r="A37" s="24"/>
      <c r="B37" s="25">
        <v>44680</v>
      </c>
      <c r="C37" s="26">
        <v>0</v>
      </c>
      <c r="D37" s="78"/>
      <c r="E37" s="28">
        <v>44680</v>
      </c>
      <c r="F37" s="29">
        <v>88492</v>
      </c>
      <c r="G37" s="2"/>
      <c r="H37" s="30">
        <v>44680</v>
      </c>
      <c r="I37" s="31">
        <v>123</v>
      </c>
      <c r="J37" s="73"/>
      <c r="K37" s="221"/>
      <c r="L37" s="80"/>
      <c r="M37" s="220">
        <f>67640+20000</f>
        <v>87640</v>
      </c>
      <c r="N37" s="33">
        <v>731</v>
      </c>
      <c r="P37" s="34">
        <f t="shared" si="0"/>
        <v>88494</v>
      </c>
      <c r="Q37" s="13">
        <f t="shared" si="1"/>
        <v>2</v>
      </c>
    </row>
    <row r="38" spans="1:18" ht="18" thickBot="1" x14ac:dyDescent="0.35">
      <c r="A38" s="24"/>
      <c r="B38" s="25">
        <v>44681</v>
      </c>
      <c r="C38" s="26">
        <v>3520</v>
      </c>
      <c r="D38" s="79" t="s">
        <v>47</v>
      </c>
      <c r="E38" s="28">
        <v>44681</v>
      </c>
      <c r="F38" s="29">
        <v>79664</v>
      </c>
      <c r="G38" s="2"/>
      <c r="H38" s="30">
        <v>44681</v>
      </c>
      <c r="I38" s="31">
        <v>79</v>
      </c>
      <c r="J38" s="73">
        <v>44681</v>
      </c>
      <c r="K38" s="76" t="s">
        <v>235</v>
      </c>
      <c r="L38" s="80">
        <v>12100</v>
      </c>
      <c r="M38" s="32">
        <f>39110+15000</f>
        <v>54110</v>
      </c>
      <c r="N38" s="33">
        <v>9850</v>
      </c>
      <c r="P38" s="34">
        <f t="shared" si="0"/>
        <v>79659</v>
      </c>
      <c r="Q38" s="61">
        <f t="shared" si="1"/>
        <v>-5</v>
      </c>
    </row>
    <row r="39" spans="1:18" ht="18" thickBot="1" x14ac:dyDescent="0.35">
      <c r="A39" s="24"/>
      <c r="B39" s="25">
        <v>44682</v>
      </c>
      <c r="C39" s="26">
        <v>14731</v>
      </c>
      <c r="D39" s="79" t="s">
        <v>232</v>
      </c>
      <c r="E39" s="28">
        <v>44682</v>
      </c>
      <c r="F39" s="85">
        <v>117267</v>
      </c>
      <c r="G39" s="2"/>
      <c r="H39" s="30">
        <v>44682</v>
      </c>
      <c r="I39" s="31">
        <v>56</v>
      </c>
      <c r="J39" s="73"/>
      <c r="K39" s="76"/>
      <c r="L39" s="75"/>
      <c r="M39" s="32">
        <f>20634+80000</f>
        <v>100634</v>
      </c>
      <c r="N39" s="33">
        <v>1846</v>
      </c>
      <c r="P39" s="34">
        <f t="shared" si="0"/>
        <v>117267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>
        <v>44676</v>
      </c>
      <c r="K40" s="247" t="s">
        <v>190</v>
      </c>
      <c r="L40" s="75">
        <v>30225</v>
      </c>
      <c r="M40" s="294">
        <f>SUM(M5:M39)</f>
        <v>2146671</v>
      </c>
      <c r="N40" s="296">
        <f>SUM(N5:N39)</f>
        <v>68590</v>
      </c>
      <c r="P40" s="34">
        <f>SUM(P5:P39)</f>
        <v>2397134</v>
      </c>
      <c r="Q40" s="13">
        <f t="shared" si="1"/>
        <v>2397134</v>
      </c>
    </row>
    <row r="41" spans="1:18" ht="18" thickBot="1" x14ac:dyDescent="0.35">
      <c r="A41" s="24"/>
      <c r="B41" s="25"/>
      <c r="C41" s="86"/>
      <c r="D41" s="84"/>
      <c r="E41" s="28"/>
      <c r="F41" s="260"/>
      <c r="G41" s="2"/>
      <c r="H41" s="261"/>
      <c r="I41" s="88"/>
      <c r="J41" s="73"/>
      <c r="K41" s="246"/>
      <c r="L41" s="75"/>
      <c r="M41" s="295"/>
      <c r="N41" s="297"/>
      <c r="P41" s="34"/>
      <c r="Q41" s="9"/>
    </row>
    <row r="42" spans="1:18" ht="18" thickBot="1" x14ac:dyDescent="0.35">
      <c r="A42" s="24"/>
      <c r="B42" s="159"/>
      <c r="C42" s="86"/>
      <c r="D42" s="84"/>
      <c r="E42" s="263"/>
      <c r="F42" s="246"/>
      <c r="G42" s="262"/>
      <c r="H42" s="37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159"/>
      <c r="C43" s="86"/>
      <c r="D43" s="84"/>
      <c r="E43" s="263"/>
      <c r="F43" s="246"/>
      <c r="G43" s="262"/>
      <c r="H43" s="37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159"/>
      <c r="C44" s="86"/>
      <c r="D44" s="84"/>
      <c r="E44" s="263"/>
      <c r="F44" s="246"/>
      <c r="G44" s="262"/>
      <c r="H44" s="37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159"/>
      <c r="C45" s="86"/>
      <c r="D45" s="84"/>
      <c r="E45" s="263"/>
      <c r="F45" s="246"/>
      <c r="G45" s="262"/>
      <c r="H45" s="37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64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125974</v>
      </c>
      <c r="D51" s="107"/>
      <c r="E51" s="108" t="s">
        <v>9</v>
      </c>
      <c r="F51" s="109">
        <f>SUM(F5:F50)</f>
        <v>2397126</v>
      </c>
      <c r="G51" s="107"/>
      <c r="H51" s="110" t="s">
        <v>10</v>
      </c>
      <c r="I51" s="111">
        <f>SUM(I5:I50)</f>
        <v>5682</v>
      </c>
      <c r="J51" s="112"/>
      <c r="K51" s="113" t="s">
        <v>11</v>
      </c>
      <c r="L51" s="114">
        <f>SUM(L5:L50)</f>
        <v>80442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298" t="s">
        <v>12</v>
      </c>
      <c r="I53" s="299"/>
      <c r="J53" s="119"/>
      <c r="K53" s="300">
        <f>I51+L51</f>
        <v>86124</v>
      </c>
      <c r="L53" s="301"/>
      <c r="M53" s="302">
        <f>N40+M40</f>
        <v>2215261</v>
      </c>
      <c r="N53" s="303"/>
      <c r="P53" s="34"/>
      <c r="Q53" s="9"/>
    </row>
    <row r="54" spans="1:17" ht="15.75" x14ac:dyDescent="0.25">
      <c r="D54" s="304" t="s">
        <v>13</v>
      </c>
      <c r="E54" s="304"/>
      <c r="F54" s="120">
        <f>F51-K53-C51</f>
        <v>2185028</v>
      </c>
      <c r="I54" s="121"/>
      <c r="J54" s="122"/>
      <c r="P54" s="34"/>
      <c r="Q54" s="9"/>
    </row>
    <row r="55" spans="1:17" ht="18.75" x14ac:dyDescent="0.3">
      <c r="D55" s="305" t="s">
        <v>14</v>
      </c>
      <c r="E55" s="305"/>
      <c r="F55" s="115">
        <v>-2227493.48</v>
      </c>
      <c r="I55" s="306" t="s">
        <v>15</v>
      </c>
      <c r="J55" s="307"/>
      <c r="K55" s="308">
        <f>F57+F58+F59</f>
        <v>266670.11000000004</v>
      </c>
      <c r="L55" s="309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-42465.479999999981</v>
      </c>
      <c r="H57" s="24"/>
      <c r="I57" s="129" t="s">
        <v>17</v>
      </c>
      <c r="J57" s="130"/>
      <c r="K57" s="310">
        <f>-C4</f>
        <v>-219417.37</v>
      </c>
      <c r="L57" s="311"/>
    </row>
    <row r="58" spans="1:17" ht="16.5" thickBot="1" x14ac:dyDescent="0.3">
      <c r="D58" s="131" t="s">
        <v>18</v>
      </c>
      <c r="E58" s="117" t="s">
        <v>19</v>
      </c>
      <c r="F58" s="132">
        <v>11261</v>
      </c>
    </row>
    <row r="59" spans="1:17" ht="20.25" thickTop="1" thickBot="1" x14ac:dyDescent="0.35">
      <c r="C59" s="133">
        <v>44682</v>
      </c>
      <c r="D59" s="287" t="s">
        <v>20</v>
      </c>
      <c r="E59" s="288"/>
      <c r="F59" s="134">
        <v>297874.59000000003</v>
      </c>
      <c r="I59" s="289"/>
      <c r="J59" s="290"/>
      <c r="K59" s="291">
        <f>K55+K57</f>
        <v>47252.740000000049</v>
      </c>
      <c r="L59" s="291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25" right="0.25" top="0.75" bottom="0.75" header="0.3" footer="0.3"/>
  <pageSetup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115"/>
  <sheetViews>
    <sheetView topLeftCell="A22" workbookViewId="0">
      <selection activeCell="A22" sqref="A1:XFD1048576"/>
    </sheetView>
  </sheetViews>
  <sheetFormatPr baseColWidth="10" defaultRowHeight="15" x14ac:dyDescent="0.25"/>
  <cols>
    <col min="1" max="1" width="13.42578125" style="201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09" t="s">
        <v>27</v>
      </c>
      <c r="B1" s="231"/>
      <c r="C1" s="188"/>
      <c r="D1" s="198"/>
      <c r="E1" s="188"/>
      <c r="F1" s="153" t="s">
        <v>21</v>
      </c>
    </row>
    <row r="2" spans="1:7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252">
        <v>44679</v>
      </c>
      <c r="B3" s="253" t="s">
        <v>237</v>
      </c>
      <c r="C3" s="254">
        <v>38714.910000000003</v>
      </c>
      <c r="D3" s="239">
        <v>44652</v>
      </c>
      <c r="E3" s="255">
        <v>38714.910000000003</v>
      </c>
      <c r="F3" s="158">
        <f>C3-E3</f>
        <v>0</v>
      </c>
    </row>
    <row r="4" spans="1:7" ht="15.75" x14ac:dyDescent="0.25">
      <c r="A4" s="252">
        <v>44679</v>
      </c>
      <c r="B4" s="253" t="s">
        <v>238</v>
      </c>
      <c r="C4" s="254">
        <v>7324.6</v>
      </c>
      <c r="D4" s="239">
        <v>44652</v>
      </c>
      <c r="E4" s="255">
        <v>7324.6</v>
      </c>
      <c r="F4" s="196">
        <f>C4-E4+F3</f>
        <v>0</v>
      </c>
    </row>
    <row r="5" spans="1:7" s="35" customFormat="1" ht="15.75" x14ac:dyDescent="0.25">
      <c r="A5" s="252">
        <v>44680</v>
      </c>
      <c r="B5" s="253" t="s">
        <v>239</v>
      </c>
      <c r="C5" s="254">
        <v>794.4</v>
      </c>
      <c r="D5" s="239">
        <v>44652</v>
      </c>
      <c r="E5" s="255">
        <v>794.4</v>
      </c>
      <c r="F5" s="196">
        <f t="shared" ref="F5:F47" si="0">C5-E5+F4</f>
        <v>0</v>
      </c>
    </row>
    <row r="6" spans="1:7" ht="18.75" x14ac:dyDescent="0.3">
      <c r="A6" s="252">
        <v>44681</v>
      </c>
      <c r="B6" s="253" t="s">
        <v>240</v>
      </c>
      <c r="C6" s="254">
        <v>112563.39</v>
      </c>
      <c r="D6" s="239">
        <v>44652</v>
      </c>
      <c r="E6" s="255">
        <v>112563.39</v>
      </c>
      <c r="F6" s="196">
        <f t="shared" si="0"/>
        <v>0</v>
      </c>
      <c r="G6" s="162"/>
    </row>
    <row r="7" spans="1:7" ht="15.75" x14ac:dyDescent="0.25">
      <c r="A7" s="252">
        <v>44681</v>
      </c>
      <c r="B7" s="253" t="s">
        <v>241</v>
      </c>
      <c r="C7" s="254">
        <v>1341.6</v>
      </c>
      <c r="D7" s="239">
        <v>44652</v>
      </c>
      <c r="E7" s="255">
        <v>1341.6</v>
      </c>
      <c r="F7" s="196">
        <f t="shared" si="0"/>
        <v>0</v>
      </c>
    </row>
    <row r="8" spans="1:7" ht="15.75" x14ac:dyDescent="0.25">
      <c r="A8" s="249">
        <v>44652</v>
      </c>
      <c r="B8" s="248" t="s">
        <v>242</v>
      </c>
      <c r="C8" s="115">
        <v>109475.36</v>
      </c>
      <c r="D8" s="239">
        <v>44652</v>
      </c>
      <c r="E8" s="256">
        <v>109475.36</v>
      </c>
      <c r="F8" s="196">
        <f t="shared" si="0"/>
        <v>0</v>
      </c>
    </row>
    <row r="9" spans="1:7" ht="15.75" x14ac:dyDescent="0.25">
      <c r="A9" s="249">
        <v>44653</v>
      </c>
      <c r="B9" s="248" t="s">
        <v>243</v>
      </c>
      <c r="C9" s="115">
        <v>93380.9</v>
      </c>
      <c r="D9" s="241">
        <v>44659</v>
      </c>
      <c r="E9" s="259">
        <v>93380.9</v>
      </c>
      <c r="F9" s="196">
        <f t="shared" si="0"/>
        <v>0</v>
      </c>
    </row>
    <row r="10" spans="1:7" ht="15.75" x14ac:dyDescent="0.25">
      <c r="A10" s="249">
        <v>44655</v>
      </c>
      <c r="B10" s="248" t="s">
        <v>244</v>
      </c>
      <c r="C10" s="115">
        <v>90010.89</v>
      </c>
      <c r="D10" s="241">
        <v>44659</v>
      </c>
      <c r="E10" s="259">
        <v>90010.89</v>
      </c>
      <c r="F10" s="196">
        <f t="shared" si="0"/>
        <v>0</v>
      </c>
    </row>
    <row r="11" spans="1:7" ht="15.75" x14ac:dyDescent="0.25">
      <c r="A11" s="249">
        <v>44656</v>
      </c>
      <c r="B11" s="248" t="s">
        <v>245</v>
      </c>
      <c r="C11" s="115">
        <v>0</v>
      </c>
      <c r="D11" s="202" t="s">
        <v>122</v>
      </c>
      <c r="E11" s="115">
        <v>0</v>
      </c>
      <c r="F11" s="196">
        <f t="shared" si="0"/>
        <v>0</v>
      </c>
    </row>
    <row r="12" spans="1:7" ht="18.75" x14ac:dyDescent="0.3">
      <c r="A12" s="249">
        <v>44656</v>
      </c>
      <c r="B12" s="248" t="s">
        <v>246</v>
      </c>
      <c r="C12" s="115">
        <v>20042.650000000001</v>
      </c>
      <c r="D12" s="241">
        <v>44659</v>
      </c>
      <c r="E12" s="259">
        <v>20042.650000000001</v>
      </c>
      <c r="F12" s="196">
        <f t="shared" si="0"/>
        <v>0</v>
      </c>
      <c r="G12" s="162"/>
    </row>
    <row r="13" spans="1:7" ht="15.75" x14ac:dyDescent="0.25">
      <c r="A13" s="249">
        <v>44657</v>
      </c>
      <c r="B13" s="248" t="s">
        <v>247</v>
      </c>
      <c r="C13" s="115">
        <v>91542.2</v>
      </c>
      <c r="D13" s="241">
        <v>44659</v>
      </c>
      <c r="E13" s="259">
        <v>91542.2</v>
      </c>
      <c r="F13" s="196">
        <f t="shared" si="0"/>
        <v>0</v>
      </c>
    </row>
    <row r="14" spans="1:7" ht="15.75" x14ac:dyDescent="0.25">
      <c r="A14" s="249">
        <v>44658</v>
      </c>
      <c r="B14" s="248" t="s">
        <v>248</v>
      </c>
      <c r="C14" s="115">
        <v>98059.12</v>
      </c>
      <c r="D14" s="241">
        <v>44659</v>
      </c>
      <c r="E14" s="259">
        <v>98059.12</v>
      </c>
      <c r="F14" s="196">
        <f t="shared" si="0"/>
        <v>0</v>
      </c>
    </row>
    <row r="15" spans="1:7" ht="15.75" x14ac:dyDescent="0.25">
      <c r="A15" s="249">
        <v>44659</v>
      </c>
      <c r="B15" s="248" t="s">
        <v>249</v>
      </c>
      <c r="C15" s="115">
        <v>82352.600000000006</v>
      </c>
      <c r="D15" s="200">
        <v>44669</v>
      </c>
      <c r="E15" s="115">
        <v>82352.600000000006</v>
      </c>
      <c r="F15" s="196">
        <f t="shared" si="0"/>
        <v>0</v>
      </c>
    </row>
    <row r="16" spans="1:7" ht="15.75" x14ac:dyDescent="0.25">
      <c r="A16" s="249">
        <v>44660</v>
      </c>
      <c r="B16" s="248" t="s">
        <v>250</v>
      </c>
      <c r="C16" s="115">
        <v>10483.23</v>
      </c>
      <c r="D16" s="200">
        <v>44669</v>
      </c>
      <c r="E16" s="115">
        <v>10483.23</v>
      </c>
      <c r="F16" s="196">
        <f t="shared" si="0"/>
        <v>0</v>
      </c>
    </row>
    <row r="17" spans="1:7" ht="15.75" x14ac:dyDescent="0.25">
      <c r="A17" s="249">
        <v>44660</v>
      </c>
      <c r="B17" s="248" t="s">
        <v>251</v>
      </c>
      <c r="C17" s="115">
        <v>58975.89</v>
      </c>
      <c r="D17" s="200">
        <v>44669</v>
      </c>
      <c r="E17" s="115">
        <v>58975.89</v>
      </c>
      <c r="F17" s="196">
        <f t="shared" si="0"/>
        <v>0</v>
      </c>
    </row>
    <row r="18" spans="1:7" ht="15.75" x14ac:dyDescent="0.25">
      <c r="A18" s="249">
        <v>44660</v>
      </c>
      <c r="B18" s="248" t="s">
        <v>252</v>
      </c>
      <c r="C18" s="115">
        <v>8687</v>
      </c>
      <c r="D18" s="200">
        <v>44669</v>
      </c>
      <c r="E18" s="115">
        <v>8687</v>
      </c>
      <c r="F18" s="196">
        <f t="shared" si="0"/>
        <v>0</v>
      </c>
    </row>
    <row r="19" spans="1:7" ht="15.75" x14ac:dyDescent="0.25">
      <c r="A19" s="249">
        <v>44662</v>
      </c>
      <c r="B19" s="248" t="s">
        <v>253</v>
      </c>
      <c r="C19" s="115">
        <v>66983.399999999994</v>
      </c>
      <c r="D19" s="200">
        <v>44669</v>
      </c>
      <c r="E19" s="115">
        <v>66983.399999999994</v>
      </c>
      <c r="F19" s="196">
        <f t="shared" si="0"/>
        <v>0</v>
      </c>
    </row>
    <row r="20" spans="1:7" ht="15.75" x14ac:dyDescent="0.25">
      <c r="A20" s="249">
        <v>44663</v>
      </c>
      <c r="B20" s="248" t="s">
        <v>254</v>
      </c>
      <c r="C20" s="115">
        <v>35876.1</v>
      </c>
      <c r="D20" s="200">
        <v>44669</v>
      </c>
      <c r="E20" s="115">
        <v>35876.1</v>
      </c>
      <c r="F20" s="196">
        <f t="shared" si="0"/>
        <v>0</v>
      </c>
    </row>
    <row r="21" spans="1:7" ht="15.75" x14ac:dyDescent="0.25">
      <c r="A21" s="249">
        <v>44664</v>
      </c>
      <c r="B21" s="248" t="s">
        <v>255</v>
      </c>
      <c r="C21" s="115">
        <v>68255.100000000006</v>
      </c>
      <c r="D21" s="200">
        <v>44669</v>
      </c>
      <c r="E21" s="115">
        <v>68255.100000000006</v>
      </c>
      <c r="F21" s="196">
        <f t="shared" si="0"/>
        <v>0</v>
      </c>
    </row>
    <row r="22" spans="1:7" ht="15.75" x14ac:dyDescent="0.25">
      <c r="A22" s="249">
        <v>44665</v>
      </c>
      <c r="B22" s="248" t="s">
        <v>256</v>
      </c>
      <c r="C22" s="115">
        <v>82981.11</v>
      </c>
      <c r="D22" s="200">
        <v>44669</v>
      </c>
      <c r="E22" s="115">
        <v>82981.11</v>
      </c>
      <c r="F22" s="196">
        <f t="shared" si="0"/>
        <v>0</v>
      </c>
    </row>
    <row r="23" spans="1:7" ht="15.75" x14ac:dyDescent="0.25">
      <c r="A23" s="249">
        <v>44665</v>
      </c>
      <c r="B23" s="248" t="s">
        <v>257</v>
      </c>
      <c r="C23" s="115">
        <v>8015.15</v>
      </c>
      <c r="D23" s="200">
        <v>44669</v>
      </c>
      <c r="E23" s="115">
        <v>8015.15</v>
      </c>
      <c r="F23" s="196">
        <f t="shared" si="0"/>
        <v>0</v>
      </c>
    </row>
    <row r="24" spans="1:7" ht="18.75" x14ac:dyDescent="0.3">
      <c r="A24" s="249">
        <v>44667</v>
      </c>
      <c r="B24" s="248" t="s">
        <v>258</v>
      </c>
      <c r="C24" s="115">
        <v>113918.95</v>
      </c>
      <c r="D24" s="200">
        <v>44669</v>
      </c>
      <c r="E24" s="115">
        <v>113918.95</v>
      </c>
      <c r="F24" s="196">
        <f t="shared" si="0"/>
        <v>0</v>
      </c>
      <c r="G24" s="162"/>
    </row>
    <row r="25" spans="1:7" ht="15.75" x14ac:dyDescent="0.25">
      <c r="A25" s="249">
        <v>44668</v>
      </c>
      <c r="B25" s="248" t="s">
        <v>259</v>
      </c>
      <c r="C25" s="115">
        <v>610.4</v>
      </c>
      <c r="D25" s="200">
        <v>44669</v>
      </c>
      <c r="E25" s="115">
        <v>610.4</v>
      </c>
      <c r="F25" s="196">
        <f t="shared" si="0"/>
        <v>0</v>
      </c>
    </row>
    <row r="26" spans="1:7" ht="15.75" x14ac:dyDescent="0.25">
      <c r="A26" s="249">
        <v>44669</v>
      </c>
      <c r="B26" s="248" t="s">
        <v>260</v>
      </c>
      <c r="C26" s="115">
        <v>69241.3</v>
      </c>
      <c r="D26" s="200">
        <v>44669</v>
      </c>
      <c r="E26" s="115">
        <v>69241.3</v>
      </c>
      <c r="F26" s="196">
        <f t="shared" si="0"/>
        <v>0</v>
      </c>
    </row>
    <row r="27" spans="1:7" ht="15.75" x14ac:dyDescent="0.25">
      <c r="A27" s="249">
        <v>44670</v>
      </c>
      <c r="B27" s="248" t="s">
        <v>261</v>
      </c>
      <c r="C27" s="115">
        <v>19804.8</v>
      </c>
      <c r="D27" s="257">
        <v>44673</v>
      </c>
      <c r="E27" s="258">
        <v>19804.8</v>
      </c>
      <c r="F27" s="196">
        <f t="shared" si="0"/>
        <v>0</v>
      </c>
    </row>
    <row r="28" spans="1:7" ht="15.75" x14ac:dyDescent="0.25">
      <c r="A28" s="249">
        <v>44671</v>
      </c>
      <c r="B28" s="248" t="s">
        <v>262</v>
      </c>
      <c r="C28" s="115">
        <v>97519.7</v>
      </c>
      <c r="D28" s="257">
        <v>44673</v>
      </c>
      <c r="E28" s="258">
        <v>97519.7</v>
      </c>
      <c r="F28" s="196">
        <f t="shared" si="0"/>
        <v>0</v>
      </c>
    </row>
    <row r="29" spans="1:7" ht="15.75" x14ac:dyDescent="0.25">
      <c r="A29" s="249">
        <v>44672</v>
      </c>
      <c r="B29" s="248" t="s">
        <v>263</v>
      </c>
      <c r="C29" s="115">
        <v>108559.18</v>
      </c>
      <c r="D29" s="257">
        <v>44673</v>
      </c>
      <c r="E29" s="258">
        <v>108559.18</v>
      </c>
      <c r="F29" s="196">
        <f t="shared" si="0"/>
        <v>0</v>
      </c>
    </row>
    <row r="30" spans="1:7" ht="15.75" x14ac:dyDescent="0.25">
      <c r="A30" s="249">
        <v>44673</v>
      </c>
      <c r="B30" s="248" t="s">
        <v>264</v>
      </c>
      <c r="C30" s="115">
        <v>0</v>
      </c>
      <c r="D30" s="250" t="s">
        <v>122</v>
      </c>
      <c r="E30" s="115">
        <v>0</v>
      </c>
      <c r="F30" s="196">
        <f t="shared" si="0"/>
        <v>0</v>
      </c>
    </row>
    <row r="31" spans="1:7" ht="15.75" x14ac:dyDescent="0.25">
      <c r="A31" s="249">
        <v>44673</v>
      </c>
      <c r="B31" s="248" t="s">
        <v>265</v>
      </c>
      <c r="C31" s="115">
        <v>90834.65</v>
      </c>
      <c r="D31" s="257">
        <v>44673</v>
      </c>
      <c r="E31" s="258">
        <v>90834.65</v>
      </c>
      <c r="F31" s="196">
        <f t="shared" si="0"/>
        <v>0</v>
      </c>
    </row>
    <row r="32" spans="1:7" ht="18.75" x14ac:dyDescent="0.3">
      <c r="A32" s="249">
        <v>44673</v>
      </c>
      <c r="B32" s="248" t="s">
        <v>266</v>
      </c>
      <c r="C32" s="115">
        <v>6798</v>
      </c>
      <c r="D32" s="257">
        <v>44673</v>
      </c>
      <c r="E32" s="258">
        <v>6798</v>
      </c>
      <c r="F32" s="196">
        <f t="shared" si="0"/>
        <v>0</v>
      </c>
      <c r="G32" s="162"/>
    </row>
    <row r="33" spans="1:6" ht="15.75" x14ac:dyDescent="0.25">
      <c r="A33" s="249">
        <v>44674</v>
      </c>
      <c r="B33" s="248" t="s">
        <v>267</v>
      </c>
      <c r="C33" s="115">
        <v>106135.36</v>
      </c>
      <c r="D33" s="200">
        <v>44681</v>
      </c>
      <c r="E33" s="115">
        <v>106135.36</v>
      </c>
      <c r="F33" s="196">
        <f t="shared" si="0"/>
        <v>0</v>
      </c>
    </row>
    <row r="34" spans="1:6" ht="15.75" x14ac:dyDescent="0.25">
      <c r="A34" s="249">
        <v>44676</v>
      </c>
      <c r="B34" s="248" t="s">
        <v>268</v>
      </c>
      <c r="C34" s="115">
        <v>53461.2</v>
      </c>
      <c r="D34" s="200">
        <v>44681</v>
      </c>
      <c r="E34" s="115">
        <v>53461.2</v>
      </c>
      <c r="F34" s="196">
        <f t="shared" si="0"/>
        <v>0</v>
      </c>
    </row>
    <row r="35" spans="1:6" ht="15.75" x14ac:dyDescent="0.25">
      <c r="A35" s="249">
        <v>44677</v>
      </c>
      <c r="B35" s="248" t="s">
        <v>269</v>
      </c>
      <c r="C35" s="115">
        <v>106910.84</v>
      </c>
      <c r="D35" s="200">
        <v>44681</v>
      </c>
      <c r="E35" s="115">
        <v>106910.84</v>
      </c>
      <c r="F35" s="196">
        <f t="shared" si="0"/>
        <v>0</v>
      </c>
    </row>
    <row r="36" spans="1:6" ht="15.75" x14ac:dyDescent="0.25">
      <c r="A36" s="249">
        <v>44678</v>
      </c>
      <c r="B36" s="248" t="s">
        <v>270</v>
      </c>
      <c r="C36" s="115">
        <v>73927.600000000006</v>
      </c>
      <c r="D36" s="200">
        <v>44681</v>
      </c>
      <c r="E36" s="115">
        <v>73927.600000000006</v>
      </c>
      <c r="F36" s="196">
        <f t="shared" si="0"/>
        <v>0</v>
      </c>
    </row>
    <row r="37" spans="1:6" ht="15.75" x14ac:dyDescent="0.25">
      <c r="A37" s="249">
        <v>44679</v>
      </c>
      <c r="B37" s="248" t="s">
        <v>271</v>
      </c>
      <c r="C37" s="115">
        <v>94122.1</v>
      </c>
      <c r="D37" s="200">
        <v>44681</v>
      </c>
      <c r="E37" s="115">
        <v>94122.1</v>
      </c>
      <c r="F37" s="196">
        <f t="shared" si="0"/>
        <v>0</v>
      </c>
    </row>
    <row r="38" spans="1:6" ht="15.75" x14ac:dyDescent="0.25">
      <c r="A38" s="249">
        <v>44679</v>
      </c>
      <c r="B38" s="248" t="s">
        <v>272</v>
      </c>
      <c r="C38" s="115">
        <v>3672</v>
      </c>
      <c r="D38" s="200">
        <v>44681</v>
      </c>
      <c r="E38" s="115">
        <v>3672</v>
      </c>
      <c r="F38" s="196">
        <f t="shared" si="0"/>
        <v>0</v>
      </c>
    </row>
    <row r="39" spans="1:6" ht="15.75" x14ac:dyDescent="0.25">
      <c r="A39" s="249">
        <v>44680</v>
      </c>
      <c r="B39" s="248" t="s">
        <v>273</v>
      </c>
      <c r="C39" s="115">
        <v>66412.5</v>
      </c>
      <c r="D39" s="200">
        <v>44681</v>
      </c>
      <c r="E39" s="115">
        <v>66412.5</v>
      </c>
      <c r="F39" s="196">
        <f t="shared" si="0"/>
        <v>0</v>
      </c>
    </row>
    <row r="40" spans="1:6" ht="15.75" x14ac:dyDescent="0.25">
      <c r="A40" s="249" t="s">
        <v>274</v>
      </c>
      <c r="B40" s="248" t="s">
        <v>275</v>
      </c>
      <c r="C40" s="115">
        <v>101114.1</v>
      </c>
      <c r="D40" s="200"/>
      <c r="E40" s="195"/>
      <c r="F40" s="196">
        <f t="shared" si="0"/>
        <v>101114.1</v>
      </c>
    </row>
    <row r="41" spans="1:6" ht="15.75" x14ac:dyDescent="0.25">
      <c r="A41" s="249" t="s">
        <v>274</v>
      </c>
      <c r="B41" s="248" t="s">
        <v>276</v>
      </c>
      <c r="C41" s="115">
        <v>28591.200000000001</v>
      </c>
      <c r="D41" s="200"/>
      <c r="E41" s="195"/>
      <c r="F41" s="196">
        <f t="shared" si="0"/>
        <v>129705.3</v>
      </c>
    </row>
    <row r="42" spans="1:6" ht="15.75" x14ac:dyDescent="0.25">
      <c r="A42" s="211"/>
      <c r="B42" s="194"/>
      <c r="C42" s="195"/>
      <c r="D42" s="200"/>
      <c r="E42" s="195"/>
      <c r="F42" s="196">
        <f t="shared" si="0"/>
        <v>129705.3</v>
      </c>
    </row>
    <row r="43" spans="1:6" ht="16.5" thickBot="1" x14ac:dyDescent="0.3">
      <c r="A43" s="163"/>
      <c r="B43" s="160"/>
      <c r="C43" s="86"/>
      <c r="D43" s="159"/>
      <c r="E43" s="86"/>
      <c r="F43" s="196">
        <f t="shared" si="0"/>
        <v>129705.3</v>
      </c>
    </row>
    <row r="44" spans="1:6" ht="15" hidden="1" customHeight="1" x14ac:dyDescent="0.25">
      <c r="A44" s="164"/>
      <c r="B44" s="165"/>
      <c r="C44" s="166"/>
      <c r="D44" s="159"/>
      <c r="E44" s="86"/>
      <c r="F44" s="196">
        <f t="shared" si="0"/>
        <v>129705.3</v>
      </c>
    </row>
    <row r="45" spans="1:6" ht="16.5" hidden="1" thickBot="1" x14ac:dyDescent="0.3">
      <c r="A45" s="164"/>
      <c r="B45" s="165"/>
      <c r="C45" s="166"/>
      <c r="D45" s="159"/>
      <c r="E45" s="86"/>
      <c r="F45" s="196">
        <f t="shared" si="0"/>
        <v>129705.3</v>
      </c>
    </row>
    <row r="46" spans="1:6" ht="16.5" hidden="1" thickBot="1" x14ac:dyDescent="0.3">
      <c r="A46" s="164"/>
      <c r="B46" s="165"/>
      <c r="C46" s="166"/>
      <c r="D46" s="159"/>
      <c r="E46" s="86"/>
      <c r="F46" s="196">
        <f t="shared" si="0"/>
        <v>129705.3</v>
      </c>
    </row>
    <row r="47" spans="1:6" ht="16.5" hidden="1" thickBot="1" x14ac:dyDescent="0.3">
      <c r="A47" s="164"/>
      <c r="B47" s="165"/>
      <c r="C47" s="166"/>
      <c r="D47" s="159"/>
      <c r="E47" s="86"/>
      <c r="F47" s="196">
        <f t="shared" si="0"/>
        <v>129705.3</v>
      </c>
    </row>
    <row r="48" spans="1:6" ht="16.5" hidden="1" thickBot="1" x14ac:dyDescent="0.3">
      <c r="A48" s="164"/>
      <c r="B48" s="165"/>
      <c r="C48" s="166"/>
      <c r="D48" s="159"/>
      <c r="E48" s="86"/>
      <c r="F48" s="196">
        <f t="shared" ref="F48:F78" si="1">C48-E48+F47</f>
        <v>129705.3</v>
      </c>
    </row>
    <row r="49" spans="1:6" ht="16.5" hidden="1" thickBot="1" x14ac:dyDescent="0.3">
      <c r="A49" s="164"/>
      <c r="B49" s="165"/>
      <c r="C49" s="166"/>
      <c r="D49" s="159"/>
      <c r="E49" s="86"/>
      <c r="F49" s="196">
        <f t="shared" si="1"/>
        <v>129705.3</v>
      </c>
    </row>
    <row r="50" spans="1:6" ht="16.5" hidden="1" thickBot="1" x14ac:dyDescent="0.3">
      <c r="A50" s="164"/>
      <c r="B50" s="165"/>
      <c r="C50" s="166"/>
      <c r="D50" s="159"/>
      <c r="E50" s="86"/>
      <c r="F50" s="196">
        <f t="shared" si="1"/>
        <v>129705.3</v>
      </c>
    </row>
    <row r="51" spans="1:6" ht="16.5" hidden="1" thickBot="1" x14ac:dyDescent="0.3">
      <c r="A51" s="164"/>
      <c r="B51" s="165"/>
      <c r="C51" s="166"/>
      <c r="D51" s="159"/>
      <c r="E51" s="86"/>
      <c r="F51" s="196">
        <f t="shared" si="1"/>
        <v>129705.3</v>
      </c>
    </row>
    <row r="52" spans="1:6" ht="16.5" hidden="1" thickBot="1" x14ac:dyDescent="0.3">
      <c r="A52" s="164"/>
      <c r="B52" s="165"/>
      <c r="C52" s="166"/>
      <c r="D52" s="159"/>
      <c r="E52" s="86"/>
      <c r="F52" s="196">
        <f t="shared" si="1"/>
        <v>129705.3</v>
      </c>
    </row>
    <row r="53" spans="1:6" ht="16.5" hidden="1" thickBot="1" x14ac:dyDescent="0.3">
      <c r="A53" s="164"/>
      <c r="B53" s="165"/>
      <c r="C53" s="166"/>
      <c r="D53" s="159"/>
      <c r="E53" s="86"/>
      <c r="F53" s="196">
        <f t="shared" si="1"/>
        <v>129705.3</v>
      </c>
    </row>
    <row r="54" spans="1:6" ht="16.5" hidden="1" thickBot="1" x14ac:dyDescent="0.3">
      <c r="A54" s="164"/>
      <c r="B54" s="165"/>
      <c r="C54" s="166"/>
      <c r="D54" s="159"/>
      <c r="E54" s="86"/>
      <c r="F54" s="196">
        <f t="shared" si="1"/>
        <v>129705.3</v>
      </c>
    </row>
    <row r="55" spans="1:6" ht="16.5" hidden="1" thickBot="1" x14ac:dyDescent="0.3">
      <c r="A55" s="164"/>
      <c r="B55" s="165"/>
      <c r="C55" s="166"/>
      <c r="D55" s="159"/>
      <c r="E55" s="86"/>
      <c r="F55" s="196">
        <f t="shared" si="1"/>
        <v>129705.3</v>
      </c>
    </row>
    <row r="56" spans="1:6" ht="16.5" hidden="1" thickBot="1" x14ac:dyDescent="0.3">
      <c r="A56" s="164"/>
      <c r="B56" s="165"/>
      <c r="C56" s="166"/>
      <c r="D56" s="159"/>
      <c r="E56" s="86"/>
      <c r="F56" s="196">
        <f t="shared" si="1"/>
        <v>129705.3</v>
      </c>
    </row>
    <row r="57" spans="1:6" ht="16.5" hidden="1" thickBot="1" x14ac:dyDescent="0.3">
      <c r="A57" s="164"/>
      <c r="B57" s="165"/>
      <c r="C57" s="166"/>
      <c r="D57" s="159"/>
      <c r="E57" s="86"/>
      <c r="F57" s="196">
        <f t="shared" si="1"/>
        <v>129705.3</v>
      </c>
    </row>
    <row r="58" spans="1:6" ht="16.5" hidden="1" thickBot="1" x14ac:dyDescent="0.3">
      <c r="A58" s="164"/>
      <c r="B58" s="165"/>
      <c r="C58" s="166"/>
      <c r="D58" s="159"/>
      <c r="E58" s="86"/>
      <c r="F58" s="196">
        <f t="shared" si="1"/>
        <v>129705.3</v>
      </c>
    </row>
    <row r="59" spans="1:6" ht="16.5" hidden="1" thickBot="1" x14ac:dyDescent="0.3">
      <c r="A59" s="164"/>
      <c r="B59" s="165"/>
      <c r="C59" s="166"/>
      <c r="D59" s="159"/>
      <c r="E59" s="86"/>
      <c r="F59" s="196">
        <f t="shared" si="1"/>
        <v>129705.3</v>
      </c>
    </row>
    <row r="60" spans="1:6" ht="16.5" hidden="1" thickBot="1" x14ac:dyDescent="0.3">
      <c r="A60" s="164"/>
      <c r="B60" s="165"/>
      <c r="C60" s="166"/>
      <c r="D60" s="159"/>
      <c r="E60" s="86"/>
      <c r="F60" s="196">
        <f t="shared" si="1"/>
        <v>129705.3</v>
      </c>
    </row>
    <row r="61" spans="1:6" ht="16.5" hidden="1" thickBot="1" x14ac:dyDescent="0.3">
      <c r="A61" s="164"/>
      <c r="B61" s="165"/>
      <c r="C61" s="166"/>
      <c r="D61" s="159"/>
      <c r="E61" s="86"/>
      <c r="F61" s="196">
        <f t="shared" si="1"/>
        <v>129705.3</v>
      </c>
    </row>
    <row r="62" spans="1:6" ht="16.5" hidden="1" thickBot="1" x14ac:dyDescent="0.3">
      <c r="A62" s="167"/>
      <c r="B62" s="168"/>
      <c r="C62" s="169"/>
      <c r="D62" s="170"/>
      <c r="E62" s="34"/>
      <c r="F62" s="196">
        <f t="shared" si="1"/>
        <v>129705.3</v>
      </c>
    </row>
    <row r="63" spans="1:6" ht="16.5" hidden="1" thickBot="1" x14ac:dyDescent="0.3">
      <c r="A63" s="167"/>
      <c r="B63" s="168"/>
      <c r="C63" s="169"/>
      <c r="D63" s="170"/>
      <c r="E63" s="34"/>
      <c r="F63" s="196">
        <f t="shared" si="1"/>
        <v>129705.3</v>
      </c>
    </row>
    <row r="64" spans="1:6" ht="16.5" hidden="1" thickBot="1" x14ac:dyDescent="0.3">
      <c r="A64" s="167"/>
      <c r="B64" s="168"/>
      <c r="C64" s="169"/>
      <c r="D64" s="170"/>
      <c r="E64" s="34"/>
      <c r="F64" s="196">
        <f t="shared" si="1"/>
        <v>129705.3</v>
      </c>
    </row>
    <row r="65" spans="1:6" ht="16.5" hidden="1" thickBot="1" x14ac:dyDescent="0.3">
      <c r="A65" s="167"/>
      <c r="B65" s="168"/>
      <c r="C65" s="169"/>
      <c r="D65" s="170"/>
      <c r="E65" s="34"/>
      <c r="F65" s="196">
        <f t="shared" si="1"/>
        <v>129705.3</v>
      </c>
    </row>
    <row r="66" spans="1:6" ht="16.5" hidden="1" thickBot="1" x14ac:dyDescent="0.3">
      <c r="A66" s="167"/>
      <c r="B66" s="168"/>
      <c r="C66" s="169"/>
      <c r="D66" s="170"/>
      <c r="E66" s="34"/>
      <c r="F66" s="196">
        <f t="shared" si="1"/>
        <v>129705.3</v>
      </c>
    </row>
    <row r="67" spans="1:6" ht="16.5" hidden="1" thickBot="1" x14ac:dyDescent="0.3">
      <c r="A67" s="167"/>
      <c r="B67" s="168"/>
      <c r="C67" s="169"/>
      <c r="D67" s="170"/>
      <c r="E67" s="34"/>
      <c r="F67" s="196">
        <f t="shared" si="1"/>
        <v>129705.3</v>
      </c>
    </row>
    <row r="68" spans="1:6" ht="16.5" hidden="1" thickBot="1" x14ac:dyDescent="0.3">
      <c r="A68" s="164"/>
      <c r="B68" s="165"/>
      <c r="C68" s="166"/>
      <c r="D68" s="171"/>
      <c r="E68" s="86"/>
      <c r="F68" s="196">
        <f t="shared" si="1"/>
        <v>129705.3</v>
      </c>
    </row>
    <row r="69" spans="1:6" ht="16.5" hidden="1" thickBot="1" x14ac:dyDescent="0.3">
      <c r="A69" s="164"/>
      <c r="B69" s="165"/>
      <c r="C69" s="166"/>
      <c r="D69" s="171"/>
      <c r="E69" s="86"/>
      <c r="F69" s="196">
        <f t="shared" si="1"/>
        <v>129705.3</v>
      </c>
    </row>
    <row r="70" spans="1:6" ht="16.5" hidden="1" thickBot="1" x14ac:dyDescent="0.3">
      <c r="A70" s="164"/>
      <c r="B70" s="165"/>
      <c r="C70" s="166"/>
      <c r="D70" s="171"/>
      <c r="E70" s="86"/>
      <c r="F70" s="196">
        <f t="shared" si="1"/>
        <v>129705.3</v>
      </c>
    </row>
    <row r="71" spans="1:6" ht="16.5" hidden="1" thickBot="1" x14ac:dyDescent="0.3">
      <c r="A71" s="164"/>
      <c r="B71" s="165"/>
      <c r="C71" s="166"/>
      <c r="D71" s="171"/>
      <c r="E71" s="86"/>
      <c r="F71" s="196">
        <f t="shared" si="1"/>
        <v>129705.3</v>
      </c>
    </row>
    <row r="72" spans="1:6" ht="16.5" hidden="1" thickBot="1" x14ac:dyDescent="0.3">
      <c r="A72" s="164"/>
      <c r="B72" s="165"/>
      <c r="C72" s="166"/>
      <c r="D72" s="171"/>
      <c r="E72" s="86"/>
      <c r="F72" s="196">
        <f t="shared" si="1"/>
        <v>129705.3</v>
      </c>
    </row>
    <row r="73" spans="1:6" ht="16.5" hidden="1" thickBot="1" x14ac:dyDescent="0.3">
      <c r="A73" s="164"/>
      <c r="B73" s="165"/>
      <c r="C73" s="166"/>
      <c r="D73" s="171"/>
      <c r="E73" s="86"/>
      <c r="F73" s="196">
        <f t="shared" si="1"/>
        <v>129705.3</v>
      </c>
    </row>
    <row r="74" spans="1:6" ht="16.5" hidden="1" thickBot="1" x14ac:dyDescent="0.3">
      <c r="A74" s="164"/>
      <c r="B74" s="165"/>
      <c r="C74" s="166"/>
      <c r="D74" s="171"/>
      <c r="E74" s="86"/>
      <c r="F74" s="196">
        <f t="shared" si="1"/>
        <v>129705.3</v>
      </c>
    </row>
    <row r="75" spans="1:6" ht="16.5" hidden="1" thickBot="1" x14ac:dyDescent="0.3">
      <c r="A75" s="164"/>
      <c r="B75" s="165"/>
      <c r="C75" s="166"/>
      <c r="D75" s="171"/>
      <c r="E75" s="86"/>
      <c r="F75" s="196">
        <f t="shared" si="1"/>
        <v>129705.3</v>
      </c>
    </row>
    <row r="76" spans="1:6" ht="16.5" hidden="1" thickBot="1" x14ac:dyDescent="0.3">
      <c r="A76" s="164"/>
      <c r="B76" s="165"/>
      <c r="C76" s="166"/>
      <c r="D76" s="171"/>
      <c r="E76" s="86"/>
      <c r="F76" s="196">
        <f t="shared" si="1"/>
        <v>129705.3</v>
      </c>
    </row>
    <row r="77" spans="1:6" ht="16.5" hidden="1" thickBot="1" x14ac:dyDescent="0.3">
      <c r="A77" s="164"/>
      <c r="B77" s="165"/>
      <c r="C77" s="166"/>
      <c r="D77" s="171"/>
      <c r="E77" s="86"/>
      <c r="F77" s="196">
        <f t="shared" si="1"/>
        <v>129705.3</v>
      </c>
    </row>
    <row r="78" spans="1:6" ht="16.5" hidden="1" thickBot="1" x14ac:dyDescent="0.3">
      <c r="A78" s="172"/>
      <c r="B78" s="173"/>
      <c r="C78" s="34">
        <v>0</v>
      </c>
      <c r="D78" s="174"/>
      <c r="E78" s="34"/>
      <c r="F78" s="196">
        <f t="shared" si="1"/>
        <v>129705.3</v>
      </c>
    </row>
    <row r="79" spans="1:6" ht="19.5" thickBot="1" x14ac:dyDescent="0.35">
      <c r="A79" s="212"/>
      <c r="B79" s="232"/>
      <c r="C79" s="251">
        <f>SUM(C3:C78)</f>
        <v>2227493.48</v>
      </c>
      <c r="D79" s="189"/>
      <c r="E79" s="178">
        <f>SUM(E3:E78)</f>
        <v>2097788.1799999997</v>
      </c>
      <c r="F79" s="179">
        <f>F78</f>
        <v>129705.3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U81"/>
  <sheetViews>
    <sheetView tabSelected="1" topLeftCell="J3" zoomScale="115" zoomScaleNormal="115" workbookViewId="0">
      <selection activeCell="P12" sqref="P12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45" customWidth="1"/>
    <col min="18" max="18" width="14.85546875" style="3" customWidth="1"/>
  </cols>
  <sheetData>
    <row r="1" spans="1:21" ht="23.25" x14ac:dyDescent="0.35">
      <c r="B1" s="274"/>
      <c r="C1" s="276" t="s">
        <v>277</v>
      </c>
      <c r="D1" s="277"/>
      <c r="E1" s="277"/>
      <c r="F1" s="277"/>
      <c r="G1" s="277"/>
      <c r="H1" s="277"/>
      <c r="I1" s="277"/>
      <c r="J1" s="277"/>
      <c r="K1" s="277"/>
      <c r="L1" s="277"/>
      <c r="M1" s="277"/>
    </row>
    <row r="2" spans="1:21" ht="16.5" thickBot="1" x14ac:dyDescent="0.3">
      <c r="B2" s="275"/>
      <c r="C2" s="3"/>
      <c r="H2" s="5"/>
      <c r="I2" s="6"/>
      <c r="J2" s="7"/>
      <c r="L2" s="8"/>
      <c r="M2" s="6"/>
      <c r="N2" s="9"/>
    </row>
    <row r="3" spans="1:21" ht="21.75" thickBot="1" x14ac:dyDescent="0.35">
      <c r="B3" s="278" t="s">
        <v>0</v>
      </c>
      <c r="C3" s="279"/>
      <c r="D3" s="10"/>
      <c r="E3" s="11"/>
      <c r="F3" s="11"/>
      <c r="H3" s="280" t="s">
        <v>1</v>
      </c>
      <c r="I3" s="280"/>
      <c r="K3" s="13"/>
      <c r="L3" s="13"/>
      <c r="M3" s="14"/>
      <c r="R3" s="285" t="s">
        <v>38</v>
      </c>
    </row>
    <row r="4" spans="1:21" ht="20.25" thickTop="1" thickBot="1" x14ac:dyDescent="0.35">
      <c r="A4" s="15" t="s">
        <v>2</v>
      </c>
      <c r="B4" s="16"/>
      <c r="C4" s="17">
        <v>297874.59000000003</v>
      </c>
      <c r="D4" s="18">
        <v>44682</v>
      </c>
      <c r="E4" s="281" t="s">
        <v>3</v>
      </c>
      <c r="F4" s="282"/>
      <c r="H4" s="283" t="s">
        <v>4</v>
      </c>
      <c r="I4" s="284"/>
      <c r="J4" s="19"/>
      <c r="K4" s="20"/>
      <c r="L4" s="21"/>
      <c r="M4" s="22" t="s">
        <v>5</v>
      </c>
      <c r="N4" s="23" t="s">
        <v>6</v>
      </c>
      <c r="P4" s="292" t="s">
        <v>7</v>
      </c>
      <c r="Q4" s="293"/>
      <c r="R4" s="286"/>
    </row>
    <row r="5" spans="1:21" ht="18" thickBot="1" x14ac:dyDescent="0.35">
      <c r="A5" s="24" t="s">
        <v>8</v>
      </c>
      <c r="B5" s="25">
        <v>44683</v>
      </c>
      <c r="C5" s="26">
        <v>0</v>
      </c>
      <c r="D5" s="27"/>
      <c r="E5" s="28">
        <v>44683</v>
      </c>
      <c r="F5" s="29">
        <v>59482</v>
      </c>
      <c r="G5" s="2"/>
      <c r="H5" s="30">
        <v>44683</v>
      </c>
      <c r="I5" s="31">
        <v>147</v>
      </c>
      <c r="J5" s="7"/>
      <c r="K5" s="182"/>
      <c r="L5" s="9"/>
      <c r="M5" s="32">
        <f>22600+35936</f>
        <v>58536</v>
      </c>
      <c r="N5" s="33">
        <v>800</v>
      </c>
      <c r="O5" s="2"/>
      <c r="P5" s="34">
        <f>N5+M5+L5+I5+C5</f>
        <v>59483</v>
      </c>
      <c r="Q5" s="13">
        <f>P5-F5</f>
        <v>1</v>
      </c>
      <c r="R5" s="9"/>
    </row>
    <row r="6" spans="1:21" ht="18" thickBot="1" x14ac:dyDescent="0.35">
      <c r="A6" s="24"/>
      <c r="B6" s="25">
        <v>44684</v>
      </c>
      <c r="C6" s="26">
        <v>0</v>
      </c>
      <c r="D6" s="36"/>
      <c r="E6" s="28">
        <v>44684</v>
      </c>
      <c r="F6" s="29">
        <v>78395</v>
      </c>
      <c r="G6" s="2"/>
      <c r="H6" s="30">
        <v>44684</v>
      </c>
      <c r="I6" s="31">
        <v>10</v>
      </c>
      <c r="J6" s="38"/>
      <c r="K6" s="39"/>
      <c r="L6" s="40"/>
      <c r="M6" s="32">
        <f>30000+48311</f>
        <v>78311</v>
      </c>
      <c r="N6" s="33">
        <v>74</v>
      </c>
      <c r="O6" s="2"/>
      <c r="P6" s="34">
        <f t="shared" ref="P6:P39" si="0">N6+M6+L6+I6+C6</f>
        <v>78395</v>
      </c>
      <c r="Q6" s="13">
        <f t="shared" ref="Q6:Q40" si="1">P6-F6</f>
        <v>0</v>
      </c>
      <c r="R6" s="8"/>
      <c r="S6">
        <v>3</v>
      </c>
    </row>
    <row r="7" spans="1:21" ht="18" thickBot="1" x14ac:dyDescent="0.35">
      <c r="A7" s="24"/>
      <c r="B7" s="25">
        <v>44685</v>
      </c>
      <c r="C7" s="26">
        <v>0</v>
      </c>
      <c r="D7" s="41"/>
      <c r="E7" s="28">
        <v>44685</v>
      </c>
      <c r="F7" s="29">
        <v>33167</v>
      </c>
      <c r="G7" s="2"/>
      <c r="H7" s="30">
        <v>44685</v>
      </c>
      <c r="I7" s="31">
        <v>98</v>
      </c>
      <c r="J7" s="38"/>
      <c r="K7" s="42"/>
      <c r="L7" s="40"/>
      <c r="M7" s="32">
        <f>5000+27569</f>
        <v>32569</v>
      </c>
      <c r="N7" s="33">
        <v>500</v>
      </c>
      <c r="O7" s="2"/>
      <c r="P7" s="34">
        <f t="shared" si="0"/>
        <v>33167</v>
      </c>
      <c r="Q7" s="13">
        <f t="shared" si="1"/>
        <v>0</v>
      </c>
      <c r="R7" s="9"/>
      <c r="S7">
        <v>3</v>
      </c>
    </row>
    <row r="8" spans="1:21" ht="18" thickBot="1" x14ac:dyDescent="0.35">
      <c r="A8" s="24"/>
      <c r="B8" s="25">
        <v>44686</v>
      </c>
      <c r="C8" s="26">
        <v>1360</v>
      </c>
      <c r="D8" s="41" t="s">
        <v>47</v>
      </c>
      <c r="E8" s="28">
        <v>44686</v>
      </c>
      <c r="F8" s="29">
        <v>58940</v>
      </c>
      <c r="G8" s="2"/>
      <c r="H8" s="30">
        <v>44686</v>
      </c>
      <c r="I8" s="31">
        <v>28</v>
      </c>
      <c r="J8" s="44"/>
      <c r="K8" s="45"/>
      <c r="L8" s="40"/>
      <c r="M8" s="32">
        <f>52916+15000</f>
        <v>67916</v>
      </c>
      <c r="N8" s="33">
        <v>897</v>
      </c>
      <c r="O8" s="2"/>
      <c r="P8" s="34">
        <f t="shared" si="0"/>
        <v>70201</v>
      </c>
      <c r="Q8" s="13">
        <v>0</v>
      </c>
      <c r="R8" s="184">
        <v>11261</v>
      </c>
      <c r="S8">
        <v>9</v>
      </c>
    </row>
    <row r="9" spans="1:21" ht="18" thickBot="1" x14ac:dyDescent="0.35">
      <c r="A9" s="24"/>
      <c r="B9" s="25">
        <v>44687</v>
      </c>
      <c r="C9" s="26">
        <v>0</v>
      </c>
      <c r="D9" s="41"/>
      <c r="E9" s="28">
        <v>44687</v>
      </c>
      <c r="F9" s="29">
        <v>98700</v>
      </c>
      <c r="G9" s="2"/>
      <c r="H9" s="30">
        <v>44687</v>
      </c>
      <c r="I9" s="31">
        <v>85</v>
      </c>
      <c r="J9" s="38"/>
      <c r="K9" s="46"/>
      <c r="L9" s="40"/>
      <c r="M9" s="32">
        <f>20000+40000+38615</f>
        <v>98615</v>
      </c>
      <c r="N9" s="33">
        <v>0</v>
      </c>
      <c r="O9" s="2"/>
      <c r="P9" s="34">
        <f>N9+M9+L9+I9+C9</f>
        <v>98700</v>
      </c>
      <c r="Q9" s="13">
        <f t="shared" si="1"/>
        <v>0</v>
      </c>
      <c r="R9" s="8"/>
      <c r="S9">
        <v>4</v>
      </c>
    </row>
    <row r="10" spans="1:21" ht="18" thickBot="1" x14ac:dyDescent="0.35">
      <c r="A10" s="24"/>
      <c r="B10" s="25">
        <v>44688</v>
      </c>
      <c r="C10" s="26">
        <v>7184</v>
      </c>
      <c r="D10" s="36" t="s">
        <v>49</v>
      </c>
      <c r="E10" s="28">
        <v>44688</v>
      </c>
      <c r="F10" s="29">
        <v>102747</v>
      </c>
      <c r="G10" s="2"/>
      <c r="H10" s="30">
        <v>44688</v>
      </c>
      <c r="I10" s="31">
        <v>60</v>
      </c>
      <c r="J10" s="38"/>
      <c r="K10" s="47"/>
      <c r="L10" s="48"/>
      <c r="M10" s="32">
        <f>40000+47403</f>
        <v>87403</v>
      </c>
      <c r="N10" s="33">
        <v>8100</v>
      </c>
      <c r="O10" s="2"/>
      <c r="P10" s="34">
        <f t="shared" si="0"/>
        <v>102747</v>
      </c>
      <c r="Q10" s="13">
        <f t="shared" si="1"/>
        <v>0</v>
      </c>
      <c r="R10" s="9"/>
      <c r="S10">
        <v>-14</v>
      </c>
      <c r="U10" t="s">
        <v>8</v>
      </c>
    </row>
    <row r="11" spans="1:21" ht="18" thickBot="1" x14ac:dyDescent="0.35">
      <c r="A11" s="24"/>
      <c r="B11" s="25">
        <v>44689</v>
      </c>
      <c r="C11" s="26">
        <v>5204</v>
      </c>
      <c r="D11" s="36" t="s">
        <v>49</v>
      </c>
      <c r="E11" s="28">
        <v>44689</v>
      </c>
      <c r="F11" s="29">
        <v>114024</v>
      </c>
      <c r="G11" s="2"/>
      <c r="H11" s="30">
        <v>44689</v>
      </c>
      <c r="I11" s="31">
        <v>22</v>
      </c>
      <c r="J11" s="44">
        <v>44689</v>
      </c>
      <c r="K11" s="49" t="s">
        <v>278</v>
      </c>
      <c r="L11" s="40">
        <v>9717</v>
      </c>
      <c r="M11" s="32">
        <f>80000+18221</f>
        <v>98221</v>
      </c>
      <c r="N11" s="33">
        <v>860</v>
      </c>
      <c r="O11" s="2"/>
      <c r="P11" s="34">
        <f>N11+M11+L11+I11+C11</f>
        <v>114024</v>
      </c>
      <c r="Q11" s="13">
        <f>P11-F11</f>
        <v>0</v>
      </c>
      <c r="R11" s="8" t="s">
        <v>8</v>
      </c>
      <c r="S11">
        <v>0</v>
      </c>
    </row>
    <row r="12" spans="1:21" ht="18" thickBot="1" x14ac:dyDescent="0.35">
      <c r="A12" s="24"/>
      <c r="B12" s="25">
        <v>44690</v>
      </c>
      <c r="C12" s="26">
        <v>2800</v>
      </c>
      <c r="D12" s="36" t="s">
        <v>47</v>
      </c>
      <c r="E12" s="28">
        <v>44690</v>
      </c>
      <c r="F12" s="29">
        <v>85296</v>
      </c>
      <c r="G12" s="2"/>
      <c r="H12" s="30">
        <v>44690</v>
      </c>
      <c r="I12" s="31">
        <v>39</v>
      </c>
      <c r="J12" s="38"/>
      <c r="K12" s="50"/>
      <c r="L12" s="40"/>
      <c r="M12" s="32">
        <f>57065+24240+200</f>
        <v>81505</v>
      </c>
      <c r="N12" s="33">
        <v>1152</v>
      </c>
      <c r="O12" s="2"/>
      <c r="P12" s="34">
        <f t="shared" si="0"/>
        <v>85496</v>
      </c>
      <c r="Q12" s="13">
        <f t="shared" si="1"/>
        <v>200</v>
      </c>
      <c r="R12" s="8"/>
      <c r="S12">
        <v>0</v>
      </c>
    </row>
    <row r="13" spans="1:21" ht="18" thickBot="1" x14ac:dyDescent="0.35">
      <c r="A13" s="24"/>
      <c r="B13" s="25">
        <v>44691</v>
      </c>
      <c r="C13" s="26">
        <v>800</v>
      </c>
      <c r="D13" s="41" t="s">
        <v>47</v>
      </c>
      <c r="E13" s="28">
        <v>44691</v>
      </c>
      <c r="F13" s="29">
        <v>92517</v>
      </c>
      <c r="G13" s="2"/>
      <c r="H13" s="30">
        <v>44691</v>
      </c>
      <c r="I13" s="31">
        <v>19</v>
      </c>
      <c r="J13" s="38"/>
      <c r="K13" s="39"/>
      <c r="L13" s="40"/>
      <c r="M13" s="32">
        <f>20000+40000+31098</f>
        <v>91098</v>
      </c>
      <c r="N13" s="33">
        <v>600</v>
      </c>
      <c r="O13" s="2"/>
      <c r="P13" s="34">
        <f t="shared" si="0"/>
        <v>92517</v>
      </c>
      <c r="Q13" s="13">
        <f t="shared" si="1"/>
        <v>0</v>
      </c>
      <c r="R13" s="185"/>
      <c r="S13">
        <v>5</v>
      </c>
    </row>
    <row r="14" spans="1:21" ht="18" thickBot="1" x14ac:dyDescent="0.35">
      <c r="A14" s="24"/>
      <c r="B14" s="25">
        <v>44692</v>
      </c>
      <c r="C14" s="26">
        <v>0</v>
      </c>
      <c r="D14" s="51"/>
      <c r="E14" s="28">
        <v>44692</v>
      </c>
      <c r="F14" s="29">
        <v>35612</v>
      </c>
      <c r="G14" s="2"/>
      <c r="H14" s="30">
        <v>44692</v>
      </c>
      <c r="I14" s="31">
        <v>309</v>
      </c>
      <c r="J14" s="38"/>
      <c r="K14" s="45"/>
      <c r="L14" s="40"/>
      <c r="M14" s="32">
        <v>35029</v>
      </c>
      <c r="N14" s="33">
        <v>274</v>
      </c>
      <c r="O14" s="2"/>
      <c r="P14" s="34">
        <f t="shared" si="0"/>
        <v>35612</v>
      </c>
      <c r="Q14" s="13">
        <f t="shared" si="1"/>
        <v>0</v>
      </c>
      <c r="R14" s="185"/>
      <c r="S14">
        <v>3</v>
      </c>
    </row>
    <row r="15" spans="1:21" ht="18" thickBot="1" x14ac:dyDescent="0.35">
      <c r="A15" s="24"/>
      <c r="B15" s="25">
        <v>44693</v>
      </c>
      <c r="C15" s="26">
        <v>18388</v>
      </c>
      <c r="D15" s="51" t="s">
        <v>49</v>
      </c>
      <c r="E15" s="28">
        <v>44693</v>
      </c>
      <c r="F15" s="29">
        <v>69146</v>
      </c>
      <c r="G15" s="2"/>
      <c r="H15" s="30">
        <v>44693</v>
      </c>
      <c r="I15" s="31">
        <v>90</v>
      </c>
      <c r="J15" s="38"/>
      <c r="K15" s="45"/>
      <c r="L15" s="40"/>
      <c r="M15" s="32">
        <f>30668+20000</f>
        <v>50668</v>
      </c>
      <c r="N15" s="33">
        <v>0</v>
      </c>
      <c r="P15" s="34">
        <f t="shared" si="0"/>
        <v>69146</v>
      </c>
      <c r="Q15" s="13">
        <f t="shared" si="1"/>
        <v>0</v>
      </c>
      <c r="R15" s="8"/>
      <c r="S15">
        <v>-8</v>
      </c>
    </row>
    <row r="16" spans="1:21" ht="18" thickBot="1" x14ac:dyDescent="0.35">
      <c r="A16" s="24"/>
      <c r="B16" s="25">
        <v>44694</v>
      </c>
      <c r="C16" s="26">
        <v>0</v>
      </c>
      <c r="D16" s="36"/>
      <c r="E16" s="28">
        <v>44694</v>
      </c>
      <c r="F16" s="29">
        <v>98563</v>
      </c>
      <c r="G16" s="2"/>
      <c r="H16" s="30">
        <v>44694</v>
      </c>
      <c r="I16" s="31">
        <v>220</v>
      </c>
      <c r="J16" s="38"/>
      <c r="K16" s="45"/>
      <c r="L16" s="9"/>
      <c r="M16" s="32">
        <f>63232+25000</f>
        <v>88232</v>
      </c>
      <c r="N16" s="33">
        <v>10111</v>
      </c>
      <c r="P16" s="34">
        <f t="shared" si="0"/>
        <v>98563</v>
      </c>
      <c r="Q16" s="13">
        <f t="shared" si="1"/>
        <v>0</v>
      </c>
      <c r="R16" s="8" t="s">
        <v>8</v>
      </c>
      <c r="S16">
        <v>2</v>
      </c>
    </row>
    <row r="17" spans="1:19" ht="18" thickBot="1" x14ac:dyDescent="0.35">
      <c r="A17" s="24"/>
      <c r="B17" s="25">
        <v>44695</v>
      </c>
      <c r="C17" s="26">
        <v>1411</v>
      </c>
      <c r="D17" s="41" t="s">
        <v>279</v>
      </c>
      <c r="E17" s="28">
        <v>44695</v>
      </c>
      <c r="F17" s="29">
        <v>149845</v>
      </c>
      <c r="G17" s="2"/>
      <c r="H17" s="30">
        <v>44695</v>
      </c>
      <c r="I17" s="31">
        <v>364</v>
      </c>
      <c r="J17" s="38">
        <v>44695</v>
      </c>
      <c r="K17" s="52" t="s">
        <v>280</v>
      </c>
      <c r="L17" s="48">
        <v>11900</v>
      </c>
      <c r="M17" s="32">
        <f>12366+41750+45477+25000</f>
        <v>124593</v>
      </c>
      <c r="N17" s="33">
        <v>11577</v>
      </c>
      <c r="P17" s="34">
        <f t="shared" si="0"/>
        <v>149845</v>
      </c>
      <c r="Q17" s="13">
        <f t="shared" si="1"/>
        <v>0</v>
      </c>
      <c r="R17" s="8"/>
      <c r="S17">
        <v>4</v>
      </c>
    </row>
    <row r="18" spans="1:19" ht="18" thickBot="1" x14ac:dyDescent="0.35">
      <c r="A18" s="24"/>
      <c r="B18" s="25">
        <v>44696</v>
      </c>
      <c r="C18" s="26">
        <v>0</v>
      </c>
      <c r="D18" s="36"/>
      <c r="E18" s="28">
        <v>44696</v>
      </c>
      <c r="F18" s="29">
        <v>122601</v>
      </c>
      <c r="G18" s="2"/>
      <c r="H18" s="30">
        <v>44696</v>
      </c>
      <c r="I18" s="31">
        <v>0</v>
      </c>
      <c r="J18" s="38"/>
      <c r="K18" s="53"/>
      <c r="L18" s="40"/>
      <c r="M18" s="32">
        <f>95000+26901</f>
        <v>121901</v>
      </c>
      <c r="N18" s="33">
        <v>700</v>
      </c>
      <c r="P18" s="34">
        <f t="shared" si="0"/>
        <v>122601</v>
      </c>
      <c r="Q18" s="13">
        <f t="shared" si="1"/>
        <v>0</v>
      </c>
      <c r="R18" s="8"/>
      <c r="S18">
        <v>0</v>
      </c>
    </row>
    <row r="19" spans="1:19" ht="18" thickBot="1" x14ac:dyDescent="0.35">
      <c r="A19" s="24"/>
      <c r="B19" s="25">
        <v>44697</v>
      </c>
      <c r="C19" s="26">
        <v>0</v>
      </c>
      <c r="D19" s="36"/>
      <c r="E19" s="28">
        <v>44697</v>
      </c>
      <c r="F19" s="29">
        <v>62516</v>
      </c>
      <c r="G19" s="2"/>
      <c r="H19" s="30">
        <v>44697</v>
      </c>
      <c r="I19" s="31">
        <v>59</v>
      </c>
      <c r="J19" s="38"/>
      <c r="K19" s="54"/>
      <c r="L19" s="55"/>
      <c r="M19" s="32">
        <f>22000+39329</f>
        <v>61329</v>
      </c>
      <c r="N19" s="33">
        <v>1130</v>
      </c>
      <c r="O19" s="2"/>
      <c r="P19" s="34">
        <f t="shared" si="0"/>
        <v>62518</v>
      </c>
      <c r="Q19" s="13">
        <f t="shared" si="1"/>
        <v>2</v>
      </c>
      <c r="R19" s="8"/>
      <c r="S19">
        <v>0</v>
      </c>
    </row>
    <row r="20" spans="1:19" ht="18" thickBot="1" x14ac:dyDescent="0.35">
      <c r="A20" s="24"/>
      <c r="B20" s="25">
        <v>44698</v>
      </c>
      <c r="C20" s="26">
        <v>0</v>
      </c>
      <c r="D20" s="36"/>
      <c r="E20" s="28">
        <v>44698</v>
      </c>
      <c r="F20" s="29">
        <v>87181</v>
      </c>
      <c r="G20" s="2"/>
      <c r="H20" s="30">
        <v>44698</v>
      </c>
      <c r="I20" s="31">
        <v>48</v>
      </c>
      <c r="J20" s="38"/>
      <c r="K20" s="56"/>
      <c r="L20" s="48"/>
      <c r="M20" s="32">
        <f>36535+50000</f>
        <v>86535</v>
      </c>
      <c r="N20" s="33">
        <v>598</v>
      </c>
      <c r="P20" s="34">
        <f t="shared" si="0"/>
        <v>87181</v>
      </c>
      <c r="Q20" s="13">
        <f t="shared" si="1"/>
        <v>0</v>
      </c>
      <c r="R20" s="8"/>
      <c r="S20">
        <v>-7</v>
      </c>
    </row>
    <row r="21" spans="1:19" ht="18" thickBot="1" x14ac:dyDescent="0.35">
      <c r="A21" s="24"/>
      <c r="B21" s="25">
        <v>44699</v>
      </c>
      <c r="C21" s="26">
        <v>2100</v>
      </c>
      <c r="D21" s="36" t="s">
        <v>47</v>
      </c>
      <c r="E21" s="28">
        <v>44699</v>
      </c>
      <c r="F21" s="29">
        <v>43454</v>
      </c>
      <c r="G21" s="2"/>
      <c r="H21" s="30">
        <v>44699</v>
      </c>
      <c r="I21" s="31">
        <v>90</v>
      </c>
      <c r="J21" s="38"/>
      <c r="K21" s="57"/>
      <c r="L21" s="48"/>
      <c r="M21" s="32">
        <f>31220+10000</f>
        <v>41220</v>
      </c>
      <c r="N21" s="33">
        <v>44</v>
      </c>
      <c r="P21" s="34">
        <f t="shared" si="0"/>
        <v>43454</v>
      </c>
      <c r="Q21" s="13">
        <f t="shared" si="1"/>
        <v>0</v>
      </c>
      <c r="R21" s="8"/>
      <c r="S21">
        <v>1</v>
      </c>
    </row>
    <row r="22" spans="1:19" ht="18" thickBot="1" x14ac:dyDescent="0.35">
      <c r="A22" s="24"/>
      <c r="B22" s="25">
        <v>44700</v>
      </c>
      <c r="C22" s="26">
        <v>0</v>
      </c>
      <c r="D22" s="36"/>
      <c r="E22" s="28">
        <v>44700</v>
      </c>
      <c r="F22" s="29"/>
      <c r="G22" s="2"/>
      <c r="H22" s="30">
        <v>44700</v>
      </c>
      <c r="I22" s="31"/>
      <c r="J22" s="38"/>
      <c r="K22" s="45"/>
      <c r="L22" s="58"/>
      <c r="M22" s="32">
        <v>0</v>
      </c>
      <c r="N22" s="33">
        <v>0</v>
      </c>
      <c r="P22" s="34">
        <f t="shared" si="0"/>
        <v>0</v>
      </c>
      <c r="Q22" s="13">
        <f t="shared" si="1"/>
        <v>0</v>
      </c>
      <c r="R22" s="8"/>
      <c r="S22">
        <v>1</v>
      </c>
    </row>
    <row r="23" spans="1:19" ht="18" thickBot="1" x14ac:dyDescent="0.35">
      <c r="A23" s="24"/>
      <c r="B23" s="25">
        <v>44701</v>
      </c>
      <c r="C23" s="26">
        <v>0</v>
      </c>
      <c r="D23" s="36"/>
      <c r="E23" s="28">
        <v>44701</v>
      </c>
      <c r="F23" s="29"/>
      <c r="G23" s="2"/>
      <c r="H23" s="30">
        <v>44701</v>
      </c>
      <c r="I23" s="31"/>
      <c r="J23" s="59"/>
      <c r="K23" s="60"/>
      <c r="L23" s="48"/>
      <c r="M23" s="32">
        <v>0</v>
      </c>
      <c r="N23" s="33">
        <v>0</v>
      </c>
      <c r="P23" s="34">
        <f t="shared" si="0"/>
        <v>0</v>
      </c>
      <c r="Q23" s="13">
        <f t="shared" si="1"/>
        <v>0</v>
      </c>
      <c r="R23" s="8"/>
      <c r="S23">
        <v>0</v>
      </c>
    </row>
    <row r="24" spans="1:19" ht="18" thickBot="1" x14ac:dyDescent="0.35">
      <c r="A24" s="24"/>
      <c r="B24" s="25">
        <v>44702</v>
      </c>
      <c r="C24" s="26">
        <v>0</v>
      </c>
      <c r="D24" s="41"/>
      <c r="E24" s="28">
        <v>44702</v>
      </c>
      <c r="F24" s="29"/>
      <c r="G24" s="2"/>
      <c r="H24" s="30">
        <v>44702</v>
      </c>
      <c r="I24" s="31"/>
      <c r="J24" s="181"/>
      <c r="K24" s="62"/>
      <c r="L24" s="63"/>
      <c r="M24" s="32">
        <v>0</v>
      </c>
      <c r="N24" s="33">
        <v>0</v>
      </c>
      <c r="P24" s="34">
        <f t="shared" si="0"/>
        <v>0</v>
      </c>
      <c r="Q24" s="13">
        <f t="shared" si="1"/>
        <v>0</v>
      </c>
      <c r="R24" s="8"/>
      <c r="S24">
        <v>1</v>
      </c>
    </row>
    <row r="25" spans="1:19" ht="18" thickBot="1" x14ac:dyDescent="0.35">
      <c r="A25" s="24"/>
      <c r="B25" s="25">
        <v>44703</v>
      </c>
      <c r="C25" s="26">
        <v>0</v>
      </c>
      <c r="D25" s="36"/>
      <c r="E25" s="28">
        <v>44703</v>
      </c>
      <c r="F25" s="29"/>
      <c r="G25" s="2"/>
      <c r="H25" s="30">
        <v>44703</v>
      </c>
      <c r="I25" s="31"/>
      <c r="J25" s="64"/>
      <c r="K25" s="65"/>
      <c r="L25" s="66"/>
      <c r="M25" s="32">
        <v>0</v>
      </c>
      <c r="N25" s="33">
        <v>0</v>
      </c>
      <c r="O25" t="s">
        <v>8</v>
      </c>
      <c r="P25" s="34">
        <f t="shared" si="0"/>
        <v>0</v>
      </c>
      <c r="Q25" s="13">
        <f t="shared" si="1"/>
        <v>0</v>
      </c>
      <c r="R25" s="8"/>
      <c r="S25">
        <v>0</v>
      </c>
    </row>
    <row r="26" spans="1:19" ht="18" thickBot="1" x14ac:dyDescent="0.35">
      <c r="A26" s="24"/>
      <c r="B26" s="25">
        <v>44704</v>
      </c>
      <c r="C26" s="26">
        <v>0</v>
      </c>
      <c r="D26" s="36"/>
      <c r="E26" s="28">
        <v>44704</v>
      </c>
      <c r="F26" s="29"/>
      <c r="G26" s="2"/>
      <c r="H26" s="30">
        <v>44704</v>
      </c>
      <c r="I26" s="31"/>
      <c r="J26" s="38"/>
      <c r="K26" s="62"/>
      <c r="L26" s="48"/>
      <c r="M26" s="32">
        <v>0</v>
      </c>
      <c r="N26" s="33">
        <v>0</v>
      </c>
      <c r="P26" s="34">
        <f t="shared" si="0"/>
        <v>0</v>
      </c>
      <c r="Q26" s="13">
        <f t="shared" si="1"/>
        <v>0</v>
      </c>
      <c r="R26" s="9"/>
      <c r="S26">
        <v>0</v>
      </c>
    </row>
    <row r="27" spans="1:19" ht="18" thickBot="1" x14ac:dyDescent="0.35">
      <c r="A27" s="24"/>
      <c r="B27" s="25">
        <v>44705</v>
      </c>
      <c r="C27" s="26">
        <v>0</v>
      </c>
      <c r="D27" s="41"/>
      <c r="E27" s="28">
        <v>44705</v>
      </c>
      <c r="F27" s="29"/>
      <c r="G27" s="2"/>
      <c r="H27" s="30">
        <v>44705</v>
      </c>
      <c r="I27" s="31"/>
      <c r="J27" s="67"/>
      <c r="K27" s="68"/>
      <c r="L27" s="66"/>
      <c r="M27" s="32">
        <v>0</v>
      </c>
      <c r="N27" s="33">
        <v>0</v>
      </c>
      <c r="P27" s="34">
        <f t="shared" si="0"/>
        <v>0</v>
      </c>
      <c r="Q27" s="13">
        <f t="shared" si="1"/>
        <v>0</v>
      </c>
      <c r="R27" s="8"/>
      <c r="S27">
        <v>3</v>
      </c>
    </row>
    <row r="28" spans="1:19" ht="18" thickBot="1" x14ac:dyDescent="0.35">
      <c r="A28" s="24"/>
      <c r="B28" s="25">
        <v>44706</v>
      </c>
      <c r="C28" s="26">
        <v>0</v>
      </c>
      <c r="D28" s="41"/>
      <c r="E28" s="28">
        <v>44706</v>
      </c>
      <c r="F28" s="29"/>
      <c r="G28" s="2"/>
      <c r="H28" s="30">
        <v>44706</v>
      </c>
      <c r="I28" s="31"/>
      <c r="J28" s="69"/>
      <c r="K28" s="70"/>
      <c r="L28" s="66"/>
      <c r="M28" s="32">
        <v>0</v>
      </c>
      <c r="N28" s="33">
        <v>0</v>
      </c>
      <c r="P28" s="34">
        <f t="shared" si="0"/>
        <v>0</v>
      </c>
      <c r="Q28" s="13">
        <f t="shared" si="1"/>
        <v>0</v>
      </c>
      <c r="R28" s="8"/>
      <c r="S28">
        <v>2</v>
      </c>
    </row>
    <row r="29" spans="1:19" ht="18" thickBot="1" x14ac:dyDescent="0.35">
      <c r="A29" s="24"/>
      <c r="B29" s="25">
        <v>44707</v>
      </c>
      <c r="C29" s="26">
        <v>0</v>
      </c>
      <c r="D29" s="71"/>
      <c r="E29" s="28">
        <v>44707</v>
      </c>
      <c r="F29" s="29"/>
      <c r="G29" s="2"/>
      <c r="H29" s="30">
        <v>44707</v>
      </c>
      <c r="I29" s="31"/>
      <c r="J29" s="67"/>
      <c r="K29" s="72"/>
      <c r="L29" s="66"/>
      <c r="M29" s="32">
        <v>0</v>
      </c>
      <c r="N29" s="33">
        <v>0</v>
      </c>
      <c r="P29" s="34">
        <f t="shared" si="0"/>
        <v>0</v>
      </c>
      <c r="Q29" s="13">
        <f t="shared" si="1"/>
        <v>0</v>
      </c>
      <c r="R29" s="8"/>
      <c r="S29">
        <v>-1</v>
      </c>
    </row>
    <row r="30" spans="1:19" ht="18" thickBot="1" x14ac:dyDescent="0.35">
      <c r="A30" s="24"/>
      <c r="B30" s="25">
        <v>44708</v>
      </c>
      <c r="C30" s="26">
        <v>0</v>
      </c>
      <c r="D30" s="71"/>
      <c r="E30" s="28">
        <v>44708</v>
      </c>
      <c r="F30" s="29"/>
      <c r="G30" s="2"/>
      <c r="H30" s="30">
        <v>44708</v>
      </c>
      <c r="I30" s="31"/>
      <c r="J30" s="73"/>
      <c r="K30" s="74"/>
      <c r="L30" s="75"/>
      <c r="M30" s="32">
        <v>0</v>
      </c>
      <c r="N30" s="33">
        <v>0</v>
      </c>
      <c r="P30" s="34">
        <f t="shared" si="0"/>
        <v>0</v>
      </c>
      <c r="Q30" s="13">
        <f t="shared" si="1"/>
        <v>0</v>
      </c>
      <c r="R30" s="8"/>
    </row>
    <row r="31" spans="1:19" ht="18" thickBot="1" x14ac:dyDescent="0.35">
      <c r="A31" s="24"/>
      <c r="B31" s="25">
        <v>44709</v>
      </c>
      <c r="C31" s="26">
        <v>0</v>
      </c>
      <c r="D31" s="83"/>
      <c r="E31" s="28">
        <v>44709</v>
      </c>
      <c r="F31" s="29"/>
      <c r="G31" s="2"/>
      <c r="H31" s="30">
        <v>44709</v>
      </c>
      <c r="I31" s="31"/>
      <c r="J31" s="73"/>
      <c r="K31" s="76"/>
      <c r="L31" s="77"/>
      <c r="M31" s="32">
        <v>0</v>
      </c>
      <c r="N31" s="33">
        <v>0</v>
      </c>
      <c r="P31" s="34">
        <f t="shared" si="0"/>
        <v>0</v>
      </c>
      <c r="Q31" s="13">
        <f t="shared" si="1"/>
        <v>0</v>
      </c>
      <c r="R31" s="8"/>
    </row>
    <row r="32" spans="1:19" ht="18" thickBot="1" x14ac:dyDescent="0.35">
      <c r="A32" s="24"/>
      <c r="B32" s="25">
        <v>44710</v>
      </c>
      <c r="C32" s="26">
        <v>0</v>
      </c>
      <c r="D32" s="78"/>
      <c r="E32" s="28">
        <v>44710</v>
      </c>
      <c r="F32" s="29"/>
      <c r="G32" s="2"/>
      <c r="H32" s="30">
        <v>44710</v>
      </c>
      <c r="I32" s="31"/>
      <c r="J32" s="73"/>
      <c r="K32" s="74"/>
      <c r="L32" s="75"/>
      <c r="M32" s="32">
        <v>0</v>
      </c>
      <c r="N32" s="33">
        <v>0</v>
      </c>
      <c r="P32" s="34">
        <f t="shared" si="0"/>
        <v>0</v>
      </c>
      <c r="Q32" s="13">
        <f t="shared" si="1"/>
        <v>0</v>
      </c>
      <c r="R32" s="8" t="s">
        <v>131</v>
      </c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0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61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0"/>
      <c r="I34" s="31"/>
      <c r="J34" s="73"/>
      <c r="K34" s="81"/>
      <c r="L34" s="82"/>
      <c r="M34" s="32">
        <v>0</v>
      </c>
      <c r="N34" s="33">
        <v>0</v>
      </c>
      <c r="P34" s="34">
        <f t="shared" si="0"/>
        <v>0</v>
      </c>
      <c r="Q34" s="13">
        <f t="shared" si="1"/>
        <v>0</v>
      </c>
      <c r="R34" s="8" t="s">
        <v>8</v>
      </c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0"/>
      <c r="I35" s="31"/>
      <c r="J35" s="73"/>
      <c r="K35" s="76"/>
      <c r="L35" s="80"/>
      <c r="M35" s="32">
        <v>0</v>
      </c>
      <c r="N35" s="33">
        <v>0</v>
      </c>
      <c r="P35" s="34">
        <f t="shared" si="0"/>
        <v>0</v>
      </c>
      <c r="Q35" s="13">
        <f t="shared" si="1"/>
        <v>0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0"/>
      <c r="I36" s="31"/>
      <c r="J36" s="73"/>
      <c r="K36" s="42"/>
      <c r="L36" s="80"/>
      <c r="M36" s="32">
        <v>0</v>
      </c>
      <c r="N36" s="33">
        <v>0</v>
      </c>
      <c r="P36" s="34">
        <f t="shared" si="0"/>
        <v>0</v>
      </c>
      <c r="Q36" s="13">
        <f t="shared" si="1"/>
        <v>0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0"/>
      <c r="I37" s="31"/>
      <c r="J37" s="73"/>
      <c r="K37" s="221"/>
      <c r="L37" s="80"/>
      <c r="M37" s="32">
        <v>0</v>
      </c>
      <c r="N37" s="33">
        <v>0</v>
      </c>
      <c r="P37" s="34">
        <f t="shared" si="0"/>
        <v>0</v>
      </c>
      <c r="Q37" s="13">
        <f t="shared" si="1"/>
        <v>0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0"/>
      <c r="I38" s="31"/>
      <c r="J38" s="73"/>
      <c r="K38" s="76"/>
      <c r="L38" s="80"/>
      <c r="M38" s="32">
        <v>0</v>
      </c>
      <c r="N38" s="33">
        <v>0</v>
      </c>
      <c r="P38" s="34">
        <f t="shared" si="0"/>
        <v>0</v>
      </c>
      <c r="Q38" s="61">
        <f t="shared" si="1"/>
        <v>0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0"/>
      <c r="I39" s="31"/>
      <c r="J39" s="73"/>
      <c r="K39" s="76"/>
      <c r="L39" s="75"/>
      <c r="M39" s="32">
        <v>0</v>
      </c>
      <c r="N39" s="33">
        <v>0</v>
      </c>
      <c r="P39" s="34">
        <f t="shared" si="0"/>
        <v>0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273"/>
      <c r="L40" s="75"/>
      <c r="M40" s="294">
        <f>SUM(M5:M39)</f>
        <v>1303681</v>
      </c>
      <c r="N40" s="296">
        <f>SUM(N5:N39)</f>
        <v>37417</v>
      </c>
      <c r="P40" s="34">
        <f>SUM(P5:P39)</f>
        <v>1403650</v>
      </c>
      <c r="Q40" s="13">
        <f t="shared" si="1"/>
        <v>1403650</v>
      </c>
    </row>
    <row r="41" spans="1:18" ht="18" thickBot="1" x14ac:dyDescent="0.35">
      <c r="A41" s="24"/>
      <c r="B41" s="25"/>
      <c r="C41" s="86"/>
      <c r="D41" s="84"/>
      <c r="E41" s="28"/>
      <c r="F41" s="260"/>
      <c r="G41" s="2"/>
      <c r="H41" s="261"/>
      <c r="I41" s="88"/>
      <c r="J41" s="73"/>
      <c r="K41" s="246"/>
      <c r="L41" s="75"/>
      <c r="M41" s="295"/>
      <c r="N41" s="297"/>
      <c r="P41" s="34"/>
      <c r="Q41" s="9"/>
    </row>
    <row r="42" spans="1:18" ht="18" thickBot="1" x14ac:dyDescent="0.35">
      <c r="A42" s="24"/>
      <c r="B42" s="159"/>
      <c r="C42" s="86"/>
      <c r="D42" s="84"/>
      <c r="E42" s="263"/>
      <c r="F42" s="246"/>
      <c r="G42" s="262"/>
      <c r="H42" s="37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159"/>
      <c r="C43" s="86"/>
      <c r="D43" s="84"/>
      <c r="E43" s="263"/>
      <c r="F43" s="246"/>
      <c r="G43" s="262"/>
      <c r="H43" s="37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159"/>
      <c r="C44" s="86"/>
      <c r="D44" s="84"/>
      <c r="E44" s="263"/>
      <c r="F44" s="246"/>
      <c r="G44" s="262"/>
      <c r="H44" s="37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159"/>
      <c r="C45" s="86"/>
      <c r="D45" s="84"/>
      <c r="E45" s="263"/>
      <c r="F45" s="246"/>
      <c r="G45" s="262"/>
      <c r="H45" s="37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64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39247</v>
      </c>
      <c r="D51" s="107"/>
      <c r="E51" s="108" t="s">
        <v>9</v>
      </c>
      <c r="F51" s="109">
        <f>SUM(F5:F50)</f>
        <v>1392186</v>
      </c>
      <c r="G51" s="107"/>
      <c r="H51" s="110" t="s">
        <v>10</v>
      </c>
      <c r="I51" s="111">
        <f>SUM(I5:I50)</f>
        <v>1688</v>
      </c>
      <c r="J51" s="112"/>
      <c r="K51" s="113" t="s">
        <v>11</v>
      </c>
      <c r="L51" s="114">
        <f>SUM(L5:L50)</f>
        <v>21617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298" t="s">
        <v>12</v>
      </c>
      <c r="I53" s="299"/>
      <c r="J53" s="119"/>
      <c r="K53" s="300">
        <f>I51+L51</f>
        <v>23305</v>
      </c>
      <c r="L53" s="301"/>
      <c r="M53" s="302">
        <f>N40+M40</f>
        <v>1341098</v>
      </c>
      <c r="N53" s="303"/>
      <c r="P53" s="34"/>
      <c r="Q53" s="9"/>
    </row>
    <row r="54" spans="1:17" ht="15.75" x14ac:dyDescent="0.25">
      <c r="D54" s="304" t="s">
        <v>13</v>
      </c>
      <c r="E54" s="304"/>
      <c r="F54" s="120">
        <f>F51-K53-C51</f>
        <v>1329634</v>
      </c>
      <c r="I54" s="121"/>
      <c r="J54" s="122"/>
      <c r="P54" s="34"/>
      <c r="Q54" s="9"/>
    </row>
    <row r="55" spans="1:17" ht="18.75" x14ac:dyDescent="0.3">
      <c r="D55" s="305" t="s">
        <v>14</v>
      </c>
      <c r="E55" s="305"/>
      <c r="F55" s="115">
        <v>0</v>
      </c>
      <c r="I55" s="306" t="s">
        <v>15</v>
      </c>
      <c r="J55" s="307"/>
      <c r="K55" s="308">
        <f>F57+F58+F59</f>
        <v>1329634</v>
      </c>
      <c r="L55" s="309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1329634</v>
      </c>
      <c r="H57" s="24"/>
      <c r="I57" s="129" t="s">
        <v>17</v>
      </c>
      <c r="J57" s="130"/>
      <c r="K57" s="310">
        <f>-C4</f>
        <v>-297874.59000000003</v>
      </c>
      <c r="L57" s="311"/>
    </row>
    <row r="58" spans="1:17" ht="16.5" thickBot="1" x14ac:dyDescent="0.3">
      <c r="D58" s="131" t="s">
        <v>18</v>
      </c>
      <c r="E58" s="117" t="s">
        <v>19</v>
      </c>
      <c r="F58" s="132">
        <v>0</v>
      </c>
    </row>
    <row r="59" spans="1:17" ht="20.25" thickTop="1" thickBot="1" x14ac:dyDescent="0.35">
      <c r="C59" s="133"/>
      <c r="D59" s="287" t="s">
        <v>20</v>
      </c>
      <c r="E59" s="288"/>
      <c r="F59" s="134">
        <v>0</v>
      </c>
      <c r="I59" s="289"/>
      <c r="J59" s="290"/>
      <c r="K59" s="291">
        <f>K55+K57</f>
        <v>1031759.4099999999</v>
      </c>
      <c r="L59" s="291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R3:R4"/>
    <mergeCell ref="E4:F4"/>
    <mergeCell ref="H4:I4"/>
    <mergeCell ref="P4:Q4"/>
    <mergeCell ref="D54:E54"/>
    <mergeCell ref="B1:B2"/>
    <mergeCell ref="C1:M1"/>
    <mergeCell ref="B3:C3"/>
    <mergeCell ref="H3:I3"/>
    <mergeCell ref="M40:M41"/>
    <mergeCell ref="N40:N41"/>
    <mergeCell ref="H53:I53"/>
    <mergeCell ref="K53:L53"/>
    <mergeCell ref="M53:N53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E N E R O    2 0 2 2         </vt:lpstr>
      <vt:lpstr>REMISIONES    ENERO    2 0 2 2 </vt:lpstr>
      <vt:lpstr>F E B R E R O      2 0 2 2     </vt:lpstr>
      <vt:lpstr>REMISIONES  FEBRERO   2 0 2 2  </vt:lpstr>
      <vt:lpstr>    M A R Z O    2 0 2 2     </vt:lpstr>
      <vt:lpstr>  REMISIONES   MARZO   2022   </vt:lpstr>
      <vt:lpstr>    A B R I L      2 0 2 2     </vt:lpstr>
      <vt:lpstr>REMISIONES   ABRIL   2022  </vt:lpstr>
      <vt:lpstr>    M A Y O     2 0 2 2     </vt:lpstr>
      <vt:lpstr>REMISIONES    MAYO   2022 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2022-04-23T15:53:12Z</cp:lastPrinted>
  <dcterms:created xsi:type="dcterms:W3CDTF">2022-01-21T15:38:45Z</dcterms:created>
  <dcterms:modified xsi:type="dcterms:W3CDTF">2022-05-23T17:49:29Z</dcterms:modified>
</cp:coreProperties>
</file>